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evelopment\hkproject\task2\7.29.800\"/>
    </mc:Choice>
  </mc:AlternateContent>
  <xr:revisionPtr revIDLastSave="0" documentId="13_ncr:1_{01953E8D-E5B0-4813-B7D8-73D10A4BF4E1}" xr6:coauthVersionLast="47" xr6:coauthVersionMax="47" xr10:uidLastSave="{00000000-0000-0000-0000-000000000000}"/>
  <bookViews>
    <workbookView xWindow="-120" yWindow="-120" windowWidth="29040" windowHeight="15840" tabRatio="456" xr2:uid="{39B7F77A-3180-4ED6-8DD8-2C3F3C784BDF}"/>
  </bookViews>
  <sheets>
    <sheet name="Sheet1 (3)" sheetId="4" r:id="rId1"/>
    <sheet name="Sheet1 (2)" sheetId="3" r:id="rId2"/>
    <sheet name="Sheet1" sheetId="1" r:id="rId3"/>
  </sheets>
  <definedNames>
    <definedName name="_xlnm._FilterDatabase" localSheetId="2" hidden="1">Sheet1!$B$1:$B$3054</definedName>
    <definedName name="_xlnm._FilterDatabase" localSheetId="1" hidden="1">'Sheet1 (2)'!$C$1:$C$3053</definedName>
    <definedName name="_xlnm._FilterDatabase" localSheetId="0" hidden="1">'Sheet1 (3)'!$B$1:$B$3054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5" i="1"/>
  <c r="L6" i="1"/>
  <c r="L7" i="1"/>
  <c r="L8" i="1"/>
  <c r="L9" i="1"/>
  <c r="L4" i="1"/>
  <c r="I2771" i="1"/>
  <c r="H2771" i="1"/>
  <c r="G2771" i="1"/>
  <c r="F2771" i="1"/>
  <c r="E2771" i="1"/>
  <c r="D2771" i="1"/>
  <c r="C2771" i="1"/>
  <c r="I2770" i="1"/>
  <c r="H2770" i="1"/>
  <c r="G2770" i="1"/>
  <c r="F2770" i="1"/>
  <c r="E2770" i="1"/>
  <c r="D2770" i="1"/>
  <c r="C2770" i="1"/>
  <c r="I2769" i="1"/>
  <c r="H2769" i="1"/>
  <c r="G2769" i="1"/>
  <c r="F2769" i="1"/>
  <c r="E2769" i="1"/>
  <c r="D2769" i="1"/>
  <c r="C2769" i="1"/>
  <c r="I2768" i="1"/>
  <c r="H2768" i="1"/>
  <c r="G2768" i="1"/>
  <c r="F2768" i="1"/>
  <c r="E2768" i="1"/>
  <c r="D2768" i="1"/>
  <c r="C2768" i="1"/>
  <c r="I2767" i="1"/>
  <c r="H2767" i="1"/>
  <c r="G2767" i="1"/>
  <c r="F2767" i="1"/>
  <c r="E2767" i="1"/>
  <c r="D2767" i="1"/>
  <c r="C2767" i="1"/>
  <c r="I2766" i="1"/>
  <c r="H2766" i="1"/>
  <c r="G2766" i="1"/>
  <c r="F2766" i="1"/>
  <c r="E2766" i="1"/>
  <c r="D2766" i="1"/>
  <c r="C2766" i="1"/>
  <c r="I2765" i="1"/>
  <c r="H2765" i="1"/>
  <c r="G2765" i="1"/>
  <c r="F2765" i="1"/>
  <c r="E2765" i="1"/>
  <c r="D2765" i="1"/>
  <c r="C2765" i="1"/>
  <c r="I2764" i="1"/>
  <c r="H2764" i="1"/>
  <c r="G2764" i="1"/>
  <c r="F2764" i="1"/>
  <c r="E2764" i="1"/>
  <c r="D2764" i="1"/>
  <c r="C2764" i="1"/>
  <c r="I2763" i="1"/>
  <c r="H2763" i="1"/>
  <c r="G2763" i="1"/>
  <c r="F2763" i="1"/>
  <c r="E2763" i="1"/>
  <c r="D2763" i="1"/>
  <c r="C2763" i="1"/>
  <c r="I2762" i="1"/>
  <c r="H2762" i="1"/>
  <c r="G2762" i="1"/>
  <c r="F2762" i="1"/>
  <c r="E2762" i="1"/>
  <c r="D2762" i="1"/>
  <c r="C2762" i="1"/>
  <c r="I2761" i="1"/>
  <c r="H2761" i="1"/>
  <c r="G2761" i="1"/>
  <c r="F2761" i="1"/>
  <c r="E2761" i="1"/>
  <c r="D2761" i="1"/>
  <c r="C2761" i="1"/>
  <c r="I2760" i="1"/>
  <c r="H2760" i="1"/>
  <c r="G2760" i="1"/>
  <c r="F2760" i="1"/>
  <c r="E2760" i="1"/>
  <c r="D2760" i="1"/>
  <c r="C2760" i="1"/>
  <c r="I2759" i="1"/>
  <c r="H2759" i="1"/>
  <c r="G2759" i="1"/>
  <c r="F2759" i="1"/>
  <c r="E2759" i="1"/>
  <c r="D2759" i="1"/>
  <c r="C2759" i="1"/>
  <c r="I2758" i="1"/>
  <c r="H2758" i="1"/>
  <c r="G2758" i="1"/>
  <c r="F2758" i="1"/>
  <c r="E2758" i="1"/>
  <c r="D2758" i="1"/>
  <c r="C2758" i="1"/>
  <c r="I2757" i="1"/>
  <c r="H2757" i="1"/>
  <c r="G2757" i="1"/>
  <c r="F2757" i="1"/>
  <c r="E2757" i="1"/>
  <c r="D2757" i="1"/>
  <c r="C2757" i="1"/>
  <c r="I2756" i="1"/>
  <c r="H2756" i="1"/>
  <c r="G2756" i="1"/>
  <c r="F2756" i="1"/>
  <c r="E2756" i="1"/>
  <c r="D2756" i="1"/>
  <c r="C2756" i="1"/>
  <c r="I2755" i="1"/>
  <c r="H2755" i="1"/>
  <c r="G2755" i="1"/>
  <c r="F2755" i="1"/>
  <c r="E2755" i="1"/>
  <c r="D2755" i="1"/>
  <c r="C2755" i="1"/>
  <c r="I2754" i="1"/>
  <c r="H2754" i="1"/>
  <c r="G2754" i="1"/>
  <c r="F2754" i="1"/>
  <c r="E2754" i="1"/>
  <c r="D2754" i="1"/>
  <c r="C2754" i="1"/>
  <c r="I2753" i="1"/>
  <c r="H2753" i="1"/>
  <c r="G2753" i="1"/>
  <c r="F2753" i="1"/>
  <c r="E2753" i="1"/>
  <c r="D2753" i="1"/>
  <c r="C2753" i="1"/>
  <c r="I2752" i="1"/>
  <c r="H2752" i="1"/>
  <c r="G2752" i="1"/>
  <c r="F2752" i="1"/>
  <c r="E2752" i="1"/>
  <c r="D2752" i="1"/>
  <c r="C2752" i="1"/>
  <c r="I2751" i="1"/>
  <c r="H2751" i="1"/>
  <c r="G2751" i="1"/>
  <c r="F2751" i="1"/>
  <c r="E2751" i="1"/>
  <c r="D2751" i="1"/>
  <c r="C2751" i="1"/>
  <c r="I2750" i="1"/>
  <c r="H2750" i="1"/>
  <c r="G2750" i="1"/>
  <c r="F2750" i="1"/>
  <c r="E2750" i="1"/>
  <c r="D2750" i="1"/>
  <c r="C2750" i="1"/>
  <c r="I2749" i="1"/>
  <c r="H2749" i="1"/>
  <c r="G2749" i="1"/>
  <c r="F2749" i="1"/>
  <c r="E2749" i="1"/>
  <c r="D2749" i="1"/>
  <c r="C2749" i="1"/>
  <c r="I2748" i="1"/>
  <c r="H2748" i="1"/>
  <c r="G2748" i="1"/>
  <c r="F2748" i="1"/>
  <c r="E2748" i="1"/>
  <c r="D2748" i="1"/>
  <c r="C2748" i="1"/>
  <c r="I2747" i="1"/>
  <c r="H2747" i="1"/>
  <c r="G2747" i="1"/>
  <c r="F2747" i="1"/>
  <c r="E2747" i="1"/>
  <c r="D2747" i="1"/>
  <c r="C2747" i="1"/>
  <c r="I2746" i="1"/>
  <c r="H2746" i="1"/>
  <c r="G2746" i="1"/>
  <c r="F2746" i="1"/>
  <c r="E2746" i="1"/>
  <c r="D2746" i="1"/>
  <c r="C2746" i="1"/>
  <c r="I2745" i="1"/>
  <c r="H2745" i="1"/>
  <c r="G2745" i="1"/>
  <c r="F2745" i="1"/>
  <c r="E2745" i="1"/>
  <c r="D2745" i="1"/>
  <c r="C2745" i="1"/>
  <c r="I2744" i="1"/>
  <c r="H2744" i="1"/>
  <c r="G2744" i="1"/>
  <c r="F2744" i="1"/>
  <c r="E2744" i="1"/>
  <c r="D2744" i="1"/>
  <c r="C2744" i="1"/>
  <c r="I2743" i="1"/>
  <c r="H2743" i="1"/>
  <c r="G2743" i="1"/>
  <c r="F2743" i="1"/>
  <c r="E2743" i="1"/>
  <c r="D2743" i="1"/>
  <c r="C2743" i="1"/>
  <c r="I2742" i="1"/>
  <c r="H2742" i="1"/>
  <c r="G2742" i="1"/>
  <c r="F2742" i="1"/>
  <c r="E2742" i="1"/>
  <c r="D2742" i="1"/>
  <c r="C2742" i="1"/>
  <c r="I2741" i="1"/>
  <c r="H2741" i="1"/>
  <c r="G2741" i="1"/>
  <c r="F2741" i="1"/>
  <c r="E2741" i="1"/>
  <c r="D2741" i="1"/>
  <c r="C2741" i="1"/>
  <c r="I2740" i="1"/>
  <c r="H2740" i="1"/>
  <c r="G2740" i="1"/>
  <c r="F2740" i="1"/>
  <c r="E2740" i="1"/>
  <c r="D2740" i="1"/>
  <c r="C2740" i="1"/>
  <c r="I2739" i="1"/>
  <c r="H2739" i="1"/>
  <c r="G2739" i="1"/>
  <c r="F2739" i="1"/>
  <c r="E2739" i="1"/>
  <c r="D2739" i="1"/>
  <c r="C2739" i="1"/>
  <c r="I2738" i="1"/>
  <c r="H2738" i="1"/>
  <c r="G2738" i="1"/>
  <c r="F2738" i="1"/>
  <c r="E2738" i="1"/>
  <c r="D2738" i="1"/>
  <c r="C2738" i="1"/>
  <c r="I2737" i="1"/>
  <c r="H2737" i="1"/>
  <c r="G2737" i="1"/>
  <c r="F2737" i="1"/>
  <c r="E2737" i="1"/>
  <c r="D2737" i="1"/>
  <c r="C2737" i="1"/>
  <c r="I2736" i="1"/>
  <c r="H2736" i="1"/>
  <c r="G2736" i="1"/>
  <c r="F2736" i="1"/>
  <c r="E2736" i="1"/>
  <c r="D2736" i="1"/>
  <c r="C2736" i="1"/>
  <c r="I2735" i="1"/>
  <c r="H2735" i="1"/>
  <c r="G2735" i="1"/>
  <c r="F2735" i="1"/>
  <c r="E2735" i="1"/>
  <c r="D2735" i="1"/>
  <c r="C2735" i="1"/>
  <c r="I2734" i="1"/>
  <c r="H2734" i="1"/>
  <c r="G2734" i="1"/>
  <c r="F2734" i="1"/>
  <c r="E2734" i="1"/>
  <c r="D2734" i="1"/>
  <c r="C2734" i="1"/>
  <c r="I2733" i="1"/>
  <c r="H2733" i="1"/>
  <c r="G2733" i="1"/>
  <c r="F2733" i="1"/>
  <c r="E2733" i="1"/>
  <c r="D2733" i="1"/>
  <c r="C2733" i="1"/>
  <c r="I2732" i="1"/>
  <c r="H2732" i="1"/>
  <c r="G2732" i="1"/>
  <c r="F2732" i="1"/>
  <c r="E2732" i="1"/>
  <c r="D2732" i="1"/>
  <c r="C2732" i="1"/>
  <c r="I2731" i="1"/>
  <c r="H2731" i="1"/>
  <c r="G2731" i="1"/>
  <c r="F2731" i="1"/>
  <c r="E2731" i="1"/>
  <c r="D2731" i="1"/>
  <c r="C2731" i="1"/>
  <c r="I2730" i="1"/>
  <c r="H2730" i="1"/>
  <c r="G2730" i="1"/>
  <c r="F2730" i="1"/>
  <c r="E2730" i="1"/>
  <c r="D2730" i="1"/>
  <c r="C2730" i="1"/>
  <c r="I2729" i="1"/>
  <c r="H2729" i="1"/>
  <c r="G2729" i="1"/>
  <c r="F2729" i="1"/>
  <c r="E2729" i="1"/>
  <c r="D2729" i="1"/>
  <c r="C2729" i="1"/>
  <c r="I2728" i="1"/>
  <c r="H2728" i="1"/>
  <c r="G2728" i="1"/>
  <c r="F2728" i="1"/>
  <c r="E2728" i="1"/>
  <c r="D2728" i="1"/>
  <c r="C2728" i="1"/>
  <c r="I2727" i="1"/>
  <c r="H2727" i="1"/>
  <c r="G2727" i="1"/>
  <c r="F2727" i="1"/>
  <c r="E2727" i="1"/>
  <c r="D2727" i="1"/>
  <c r="C2727" i="1"/>
  <c r="I2726" i="1"/>
  <c r="H2726" i="1"/>
  <c r="G2726" i="1"/>
  <c r="F2726" i="1"/>
  <c r="E2726" i="1"/>
  <c r="D2726" i="1"/>
  <c r="C2726" i="1"/>
  <c r="I2725" i="1"/>
  <c r="H2725" i="1"/>
  <c r="G2725" i="1"/>
  <c r="F2725" i="1"/>
  <c r="E2725" i="1"/>
  <c r="D2725" i="1"/>
  <c r="C2725" i="1"/>
  <c r="I2724" i="1"/>
  <c r="H2724" i="1"/>
  <c r="G2724" i="1"/>
  <c r="F2724" i="1"/>
  <c r="E2724" i="1"/>
  <c r="D2724" i="1"/>
  <c r="C2724" i="1"/>
  <c r="I2723" i="1"/>
  <c r="H2723" i="1"/>
  <c r="G2723" i="1"/>
  <c r="F2723" i="1"/>
  <c r="E2723" i="1"/>
  <c r="D2723" i="1"/>
  <c r="C2723" i="1"/>
  <c r="I2722" i="1"/>
  <c r="H2722" i="1"/>
  <c r="G2722" i="1"/>
  <c r="F2722" i="1"/>
  <c r="E2722" i="1"/>
  <c r="D2722" i="1"/>
  <c r="C2722" i="1"/>
  <c r="I2721" i="1"/>
  <c r="H2721" i="1"/>
  <c r="G2721" i="1"/>
  <c r="F2721" i="1"/>
  <c r="E2721" i="1"/>
  <c r="D2721" i="1"/>
  <c r="C2721" i="1"/>
  <c r="I2720" i="1"/>
  <c r="H2720" i="1"/>
  <c r="G2720" i="1"/>
  <c r="F2720" i="1"/>
  <c r="E2720" i="1"/>
  <c r="D2720" i="1"/>
  <c r="C2720" i="1"/>
  <c r="I2719" i="1"/>
  <c r="H2719" i="1"/>
  <c r="G2719" i="1"/>
  <c r="F2719" i="1"/>
  <c r="E2719" i="1"/>
  <c r="D2719" i="1"/>
  <c r="C2719" i="1"/>
  <c r="I2718" i="1"/>
  <c r="H2718" i="1"/>
  <c r="G2718" i="1"/>
  <c r="F2718" i="1"/>
  <c r="E2718" i="1"/>
  <c r="D2718" i="1"/>
  <c r="C2718" i="1"/>
  <c r="I2717" i="1"/>
  <c r="H2717" i="1"/>
  <c r="G2717" i="1"/>
  <c r="F2717" i="1"/>
  <c r="E2717" i="1"/>
  <c r="D2717" i="1"/>
  <c r="C2717" i="1"/>
  <c r="I2716" i="1"/>
  <c r="H2716" i="1"/>
  <c r="G2716" i="1"/>
  <c r="F2716" i="1"/>
  <c r="E2716" i="1"/>
  <c r="D2716" i="1"/>
  <c r="C2716" i="1"/>
  <c r="I2715" i="1"/>
  <c r="H2715" i="1"/>
  <c r="G2715" i="1"/>
  <c r="F2715" i="1"/>
  <c r="E2715" i="1"/>
  <c r="D2715" i="1"/>
  <c r="C2715" i="1"/>
  <c r="I2714" i="1"/>
  <c r="H2714" i="1"/>
  <c r="G2714" i="1"/>
  <c r="F2714" i="1"/>
  <c r="E2714" i="1"/>
  <c r="D2714" i="1"/>
  <c r="C2714" i="1"/>
  <c r="I2713" i="1"/>
  <c r="H2713" i="1"/>
  <c r="G2713" i="1"/>
  <c r="F2713" i="1"/>
  <c r="E2713" i="1"/>
  <c r="D2713" i="1"/>
  <c r="C2713" i="1"/>
  <c r="I2712" i="1"/>
  <c r="H2712" i="1"/>
  <c r="G2712" i="1"/>
  <c r="F2712" i="1"/>
  <c r="E2712" i="1"/>
  <c r="D2712" i="1"/>
  <c r="C2712" i="1"/>
  <c r="I2711" i="1"/>
  <c r="H2711" i="1"/>
  <c r="G2711" i="1"/>
  <c r="F2711" i="1"/>
  <c r="E2711" i="1"/>
  <c r="D2711" i="1"/>
  <c r="C2711" i="1"/>
  <c r="I2710" i="1"/>
  <c r="H2710" i="1"/>
  <c r="G2710" i="1"/>
  <c r="F2710" i="1"/>
  <c r="E2710" i="1"/>
  <c r="D2710" i="1"/>
  <c r="C2710" i="1"/>
  <c r="I2709" i="1"/>
  <c r="H2709" i="1"/>
  <c r="G2709" i="1"/>
  <c r="F2709" i="1"/>
  <c r="E2709" i="1"/>
  <c r="D2709" i="1"/>
  <c r="C2709" i="1"/>
  <c r="I2708" i="1"/>
  <c r="H2708" i="1"/>
  <c r="G2708" i="1"/>
  <c r="F2708" i="1"/>
  <c r="E2708" i="1"/>
  <c r="D2708" i="1"/>
  <c r="C2708" i="1"/>
  <c r="I2707" i="1"/>
  <c r="H2707" i="1"/>
  <c r="G2707" i="1"/>
  <c r="F2707" i="1"/>
  <c r="E2707" i="1"/>
  <c r="D2707" i="1"/>
  <c r="C2707" i="1"/>
  <c r="I2706" i="1"/>
  <c r="H2706" i="1"/>
  <c r="G2706" i="1"/>
  <c r="F2706" i="1"/>
  <c r="E2706" i="1"/>
  <c r="D2706" i="1"/>
  <c r="C2706" i="1"/>
  <c r="I2705" i="1"/>
  <c r="H2705" i="1"/>
  <c r="G2705" i="1"/>
  <c r="F2705" i="1"/>
  <c r="E2705" i="1"/>
  <c r="D2705" i="1"/>
  <c r="C2705" i="1"/>
  <c r="I2704" i="1"/>
  <c r="H2704" i="1"/>
  <c r="G2704" i="1"/>
  <c r="F2704" i="1"/>
  <c r="E2704" i="1"/>
  <c r="D2704" i="1"/>
  <c r="C2704" i="1"/>
  <c r="I2703" i="1"/>
  <c r="H2703" i="1"/>
  <c r="G2703" i="1"/>
  <c r="F2703" i="1"/>
  <c r="E2703" i="1"/>
  <c r="D2703" i="1"/>
  <c r="C2703" i="1"/>
  <c r="I2702" i="1"/>
  <c r="H2702" i="1"/>
  <c r="G2702" i="1"/>
  <c r="F2702" i="1"/>
  <c r="E2702" i="1"/>
  <c r="D2702" i="1"/>
  <c r="C2702" i="1"/>
  <c r="I2701" i="1"/>
  <c r="H2701" i="1"/>
  <c r="G2701" i="1"/>
  <c r="F2701" i="1"/>
  <c r="E2701" i="1"/>
  <c r="D2701" i="1"/>
  <c r="C2701" i="1"/>
  <c r="I2700" i="1"/>
  <c r="H2700" i="1"/>
  <c r="G2700" i="1"/>
  <c r="F2700" i="1"/>
  <c r="E2700" i="1"/>
  <c r="D2700" i="1"/>
  <c r="C2700" i="1"/>
  <c r="I2699" i="1"/>
  <c r="H2699" i="1"/>
  <c r="G2699" i="1"/>
  <c r="F2699" i="1"/>
  <c r="E2699" i="1"/>
  <c r="D2699" i="1"/>
  <c r="C2699" i="1"/>
  <c r="I2698" i="1"/>
  <c r="H2698" i="1"/>
  <c r="G2698" i="1"/>
  <c r="F2698" i="1"/>
  <c r="E2698" i="1"/>
  <c r="D2698" i="1"/>
  <c r="C2698" i="1"/>
  <c r="I2697" i="1"/>
  <c r="H2697" i="1"/>
  <c r="G2697" i="1"/>
  <c r="F2697" i="1"/>
  <c r="E2697" i="1"/>
  <c r="D2697" i="1"/>
  <c r="C2697" i="1"/>
  <c r="I2696" i="1"/>
  <c r="H2696" i="1"/>
  <c r="G2696" i="1"/>
  <c r="F2696" i="1"/>
  <c r="E2696" i="1"/>
  <c r="D2696" i="1"/>
  <c r="C2696" i="1"/>
  <c r="I2695" i="1"/>
  <c r="H2695" i="1"/>
  <c r="G2695" i="1"/>
  <c r="F2695" i="1"/>
  <c r="E2695" i="1"/>
  <c r="D2695" i="1"/>
  <c r="C2695" i="1"/>
  <c r="I2694" i="1"/>
  <c r="H2694" i="1"/>
  <c r="G2694" i="1"/>
  <c r="F2694" i="1"/>
  <c r="E2694" i="1"/>
  <c r="D2694" i="1"/>
  <c r="C2694" i="1"/>
  <c r="I2693" i="1"/>
  <c r="H2693" i="1"/>
  <c r="G2693" i="1"/>
  <c r="F2693" i="1"/>
  <c r="E2693" i="1"/>
  <c r="D2693" i="1"/>
  <c r="C2693" i="1"/>
  <c r="I2692" i="1"/>
  <c r="H2692" i="1"/>
  <c r="G2692" i="1"/>
  <c r="F2692" i="1"/>
  <c r="E2692" i="1"/>
  <c r="D2692" i="1"/>
  <c r="C2692" i="1"/>
  <c r="I2691" i="1"/>
  <c r="H2691" i="1"/>
  <c r="G2691" i="1"/>
  <c r="F2691" i="1"/>
  <c r="E2691" i="1"/>
  <c r="D2691" i="1"/>
  <c r="C2691" i="1"/>
  <c r="I2690" i="1"/>
  <c r="H2690" i="1"/>
  <c r="G2690" i="1"/>
  <c r="F2690" i="1"/>
  <c r="E2690" i="1"/>
  <c r="D2690" i="1"/>
  <c r="C2690" i="1"/>
  <c r="I2689" i="1"/>
  <c r="H2689" i="1"/>
  <c r="G2689" i="1"/>
  <c r="F2689" i="1"/>
  <c r="E2689" i="1"/>
  <c r="D2689" i="1"/>
  <c r="C2689" i="1"/>
  <c r="I2688" i="1"/>
  <c r="H2688" i="1"/>
  <c r="G2688" i="1"/>
  <c r="F2688" i="1"/>
  <c r="E2688" i="1"/>
  <c r="D2688" i="1"/>
  <c r="C2688" i="1"/>
  <c r="I2687" i="1"/>
  <c r="H2687" i="1"/>
  <c r="G2687" i="1"/>
  <c r="F2687" i="1"/>
  <c r="E2687" i="1"/>
  <c r="D2687" i="1"/>
  <c r="C2687" i="1"/>
  <c r="I2686" i="1"/>
  <c r="H2686" i="1"/>
  <c r="G2686" i="1"/>
  <c r="F2686" i="1"/>
  <c r="E2686" i="1"/>
  <c r="D2686" i="1"/>
  <c r="C2686" i="1"/>
  <c r="I2685" i="1"/>
  <c r="H2685" i="1"/>
  <c r="G2685" i="1"/>
  <c r="F2685" i="1"/>
  <c r="E2685" i="1"/>
  <c r="D2685" i="1"/>
  <c r="C2685" i="1"/>
  <c r="I2684" i="1"/>
  <c r="H2684" i="1"/>
  <c r="G2684" i="1"/>
  <c r="F2684" i="1"/>
  <c r="E2684" i="1"/>
  <c r="D2684" i="1"/>
  <c r="C2684" i="1"/>
  <c r="I2683" i="1"/>
  <c r="H2683" i="1"/>
  <c r="G2683" i="1"/>
  <c r="F2683" i="1"/>
  <c r="E2683" i="1"/>
  <c r="D2683" i="1"/>
  <c r="C2683" i="1"/>
  <c r="I2682" i="1"/>
  <c r="H2682" i="1"/>
  <c r="G2682" i="1"/>
  <c r="F2682" i="1"/>
  <c r="E2682" i="1"/>
  <c r="D2682" i="1"/>
  <c r="C2682" i="1"/>
  <c r="I2681" i="1"/>
  <c r="H2681" i="1"/>
  <c r="G2681" i="1"/>
  <c r="F2681" i="1"/>
  <c r="E2681" i="1"/>
  <c r="D2681" i="1"/>
  <c r="C2681" i="1"/>
  <c r="I2680" i="1"/>
  <c r="H2680" i="1"/>
  <c r="G2680" i="1"/>
  <c r="F2680" i="1"/>
  <c r="E2680" i="1"/>
  <c r="D2680" i="1"/>
  <c r="C2680" i="1"/>
  <c r="I2679" i="1"/>
  <c r="H2679" i="1"/>
  <c r="G2679" i="1"/>
  <c r="F2679" i="1"/>
  <c r="E2679" i="1"/>
  <c r="D2679" i="1"/>
  <c r="C2679" i="1"/>
  <c r="I2678" i="1"/>
  <c r="H2678" i="1"/>
  <c r="G2678" i="1"/>
  <c r="F2678" i="1"/>
  <c r="E2678" i="1"/>
  <c r="D2678" i="1"/>
  <c r="C2678" i="1"/>
  <c r="I2677" i="1"/>
  <c r="H2677" i="1"/>
  <c r="G2677" i="1"/>
  <c r="F2677" i="1"/>
  <c r="E2677" i="1"/>
  <c r="D2677" i="1"/>
  <c r="C2677" i="1"/>
  <c r="I2676" i="1"/>
  <c r="H2676" i="1"/>
  <c r="G2676" i="1"/>
  <c r="F2676" i="1"/>
  <c r="E2676" i="1"/>
  <c r="D2676" i="1"/>
  <c r="C2676" i="1"/>
  <c r="I2675" i="1"/>
  <c r="H2675" i="1"/>
  <c r="G2675" i="1"/>
  <c r="F2675" i="1"/>
  <c r="E2675" i="1"/>
  <c r="D2675" i="1"/>
  <c r="C2675" i="1"/>
  <c r="I2674" i="1"/>
  <c r="H2674" i="1"/>
  <c r="G2674" i="1"/>
  <c r="F2674" i="1"/>
  <c r="E2674" i="1"/>
  <c r="D2674" i="1"/>
  <c r="C2674" i="1"/>
  <c r="I2673" i="1"/>
  <c r="H2673" i="1"/>
  <c r="G2673" i="1"/>
  <c r="F2673" i="1"/>
  <c r="E2673" i="1"/>
  <c r="D2673" i="1"/>
  <c r="C2673" i="1"/>
  <c r="I2672" i="1"/>
  <c r="H2672" i="1"/>
  <c r="G2672" i="1"/>
  <c r="F2672" i="1"/>
  <c r="E2672" i="1"/>
  <c r="D2672" i="1"/>
  <c r="C2672" i="1"/>
  <c r="I2671" i="1"/>
  <c r="H2671" i="1"/>
  <c r="G2671" i="1"/>
  <c r="F2671" i="1"/>
  <c r="E2671" i="1"/>
  <c r="D2671" i="1"/>
  <c r="C2671" i="1"/>
  <c r="I2670" i="1"/>
  <c r="H2670" i="1"/>
  <c r="G2670" i="1"/>
  <c r="F2670" i="1"/>
  <c r="E2670" i="1"/>
  <c r="D2670" i="1"/>
  <c r="C2670" i="1"/>
  <c r="I2669" i="1"/>
  <c r="H2669" i="1"/>
  <c r="G2669" i="1"/>
  <c r="F2669" i="1"/>
  <c r="E2669" i="1"/>
  <c r="D2669" i="1"/>
  <c r="C2669" i="1"/>
  <c r="I2668" i="1"/>
  <c r="H2668" i="1"/>
  <c r="G2668" i="1"/>
  <c r="F2668" i="1"/>
  <c r="E2668" i="1"/>
  <c r="D2668" i="1"/>
  <c r="C2668" i="1"/>
  <c r="I2667" i="1"/>
  <c r="H2667" i="1"/>
  <c r="G2667" i="1"/>
  <c r="F2667" i="1"/>
  <c r="E2667" i="1"/>
  <c r="D2667" i="1"/>
  <c r="C2667" i="1"/>
  <c r="I2666" i="1"/>
  <c r="H2666" i="1"/>
  <c r="G2666" i="1"/>
  <c r="F2666" i="1"/>
  <c r="E2666" i="1"/>
  <c r="D2666" i="1"/>
  <c r="C2666" i="1"/>
  <c r="I2665" i="1"/>
  <c r="H2665" i="1"/>
  <c r="G2665" i="1"/>
  <c r="F2665" i="1"/>
  <c r="E2665" i="1"/>
  <c r="D2665" i="1"/>
  <c r="C2665" i="1"/>
  <c r="I2664" i="1"/>
  <c r="H2664" i="1"/>
  <c r="G2664" i="1"/>
  <c r="F2664" i="1"/>
  <c r="E2664" i="1"/>
  <c r="D2664" i="1"/>
  <c r="C2664" i="1"/>
  <c r="I2663" i="1"/>
  <c r="H2663" i="1"/>
  <c r="G2663" i="1"/>
  <c r="F2663" i="1"/>
  <c r="E2663" i="1"/>
  <c r="D2663" i="1"/>
  <c r="C2663" i="1"/>
  <c r="I2662" i="1"/>
  <c r="H2662" i="1"/>
  <c r="G2662" i="1"/>
  <c r="F2662" i="1"/>
  <c r="E2662" i="1"/>
  <c r="D2662" i="1"/>
  <c r="C2662" i="1"/>
  <c r="I2661" i="1"/>
  <c r="H2661" i="1"/>
  <c r="G2661" i="1"/>
  <c r="F2661" i="1"/>
  <c r="E2661" i="1"/>
  <c r="D2661" i="1"/>
  <c r="C2661" i="1"/>
  <c r="I2660" i="1"/>
  <c r="H2660" i="1"/>
  <c r="G2660" i="1"/>
  <c r="F2660" i="1"/>
  <c r="E2660" i="1"/>
  <c r="D2660" i="1"/>
  <c r="C2660" i="1"/>
  <c r="I2659" i="1"/>
  <c r="H2659" i="1"/>
  <c r="G2659" i="1"/>
  <c r="F2659" i="1"/>
  <c r="E2659" i="1"/>
  <c r="D2659" i="1"/>
  <c r="C2659" i="1"/>
  <c r="I2658" i="1"/>
  <c r="H2658" i="1"/>
  <c r="G2658" i="1"/>
  <c r="F2658" i="1"/>
  <c r="E2658" i="1"/>
  <c r="D2658" i="1"/>
  <c r="C2658" i="1"/>
  <c r="I2657" i="1"/>
  <c r="H2657" i="1"/>
  <c r="G2657" i="1"/>
  <c r="F2657" i="1"/>
  <c r="E2657" i="1"/>
  <c r="D2657" i="1"/>
  <c r="C2657" i="1"/>
  <c r="I2656" i="1"/>
  <c r="H2656" i="1"/>
  <c r="G2656" i="1"/>
  <c r="F2656" i="1"/>
  <c r="E2656" i="1"/>
  <c r="D2656" i="1"/>
  <c r="C2656" i="1"/>
  <c r="I2655" i="1"/>
  <c r="H2655" i="1"/>
  <c r="G2655" i="1"/>
  <c r="F2655" i="1"/>
  <c r="E2655" i="1"/>
  <c r="D2655" i="1"/>
  <c r="C2655" i="1"/>
  <c r="I2654" i="1"/>
  <c r="H2654" i="1"/>
  <c r="G2654" i="1"/>
  <c r="F2654" i="1"/>
  <c r="E2654" i="1"/>
  <c r="D2654" i="1"/>
  <c r="C2654" i="1"/>
  <c r="I2653" i="1"/>
  <c r="H2653" i="1"/>
  <c r="G2653" i="1"/>
  <c r="F2653" i="1"/>
  <c r="E2653" i="1"/>
  <c r="D2653" i="1"/>
  <c r="C2653" i="1"/>
  <c r="I2652" i="1"/>
  <c r="H2652" i="1"/>
  <c r="G2652" i="1"/>
  <c r="F2652" i="1"/>
  <c r="E2652" i="1"/>
  <c r="D2652" i="1"/>
  <c r="C2652" i="1"/>
  <c r="I2651" i="1"/>
  <c r="H2651" i="1"/>
  <c r="G2651" i="1"/>
  <c r="F2651" i="1"/>
  <c r="E2651" i="1"/>
  <c r="D2651" i="1"/>
  <c r="C2651" i="1"/>
  <c r="I2650" i="1"/>
  <c r="H2650" i="1"/>
  <c r="G2650" i="1"/>
  <c r="F2650" i="1"/>
  <c r="E2650" i="1"/>
  <c r="D2650" i="1"/>
  <c r="C2650" i="1"/>
  <c r="I2649" i="1"/>
  <c r="H2649" i="1"/>
  <c r="G2649" i="1"/>
  <c r="F2649" i="1"/>
  <c r="E2649" i="1"/>
  <c r="D2649" i="1"/>
  <c r="C2649" i="1"/>
  <c r="I2648" i="1"/>
  <c r="H2648" i="1"/>
  <c r="G2648" i="1"/>
  <c r="F2648" i="1"/>
  <c r="E2648" i="1"/>
  <c r="D2648" i="1"/>
  <c r="C2648" i="1"/>
  <c r="I2647" i="1"/>
  <c r="H2647" i="1"/>
  <c r="G2647" i="1"/>
  <c r="F2647" i="1"/>
  <c r="E2647" i="1"/>
  <c r="D2647" i="1"/>
  <c r="C2647" i="1"/>
  <c r="I2646" i="1"/>
  <c r="H2646" i="1"/>
  <c r="G2646" i="1"/>
  <c r="F2646" i="1"/>
  <c r="E2646" i="1"/>
  <c r="D2646" i="1"/>
  <c r="C2646" i="1"/>
  <c r="I2645" i="1"/>
  <c r="H2645" i="1"/>
  <c r="G2645" i="1"/>
  <c r="F2645" i="1"/>
  <c r="E2645" i="1"/>
  <c r="D2645" i="1"/>
  <c r="C2645" i="1"/>
  <c r="I2644" i="1"/>
  <c r="H2644" i="1"/>
  <c r="G2644" i="1"/>
  <c r="F2644" i="1"/>
  <c r="E2644" i="1"/>
  <c r="D2644" i="1"/>
  <c r="C2644" i="1"/>
  <c r="I2643" i="1"/>
  <c r="H2643" i="1"/>
  <c r="G2643" i="1"/>
  <c r="F2643" i="1"/>
  <c r="E2643" i="1"/>
  <c r="D2643" i="1"/>
  <c r="C2643" i="1"/>
  <c r="I2642" i="1"/>
  <c r="H2642" i="1"/>
  <c r="G2642" i="1"/>
  <c r="F2642" i="1"/>
  <c r="E2642" i="1"/>
  <c r="D2642" i="1"/>
  <c r="C2642" i="1"/>
  <c r="I2641" i="1"/>
  <c r="H2641" i="1"/>
  <c r="G2641" i="1"/>
  <c r="F2641" i="1"/>
  <c r="E2641" i="1"/>
  <c r="D2641" i="1"/>
  <c r="C2641" i="1"/>
  <c r="I2640" i="1"/>
  <c r="H2640" i="1"/>
  <c r="G2640" i="1"/>
  <c r="F2640" i="1"/>
  <c r="E2640" i="1"/>
  <c r="D2640" i="1"/>
  <c r="C2640" i="1"/>
  <c r="I2639" i="1"/>
  <c r="H2639" i="1"/>
  <c r="G2639" i="1"/>
  <c r="F2639" i="1"/>
  <c r="E2639" i="1"/>
  <c r="D2639" i="1"/>
  <c r="C2639" i="1"/>
  <c r="I2638" i="1"/>
  <c r="H2638" i="1"/>
  <c r="G2638" i="1"/>
  <c r="F2638" i="1"/>
  <c r="E2638" i="1"/>
  <c r="D2638" i="1"/>
  <c r="C2638" i="1"/>
  <c r="I2637" i="1"/>
  <c r="H2637" i="1"/>
  <c r="G2637" i="1"/>
  <c r="F2637" i="1"/>
  <c r="E2637" i="1"/>
  <c r="D2637" i="1"/>
  <c r="C2637" i="1"/>
  <c r="I2636" i="1"/>
  <c r="H2636" i="1"/>
  <c r="G2636" i="1"/>
  <c r="F2636" i="1"/>
  <c r="E2636" i="1"/>
  <c r="D2636" i="1"/>
  <c r="C2636" i="1"/>
  <c r="I2635" i="1"/>
  <c r="H2635" i="1"/>
  <c r="G2635" i="1"/>
  <c r="F2635" i="1"/>
  <c r="E2635" i="1"/>
  <c r="D2635" i="1"/>
  <c r="C2635" i="1"/>
  <c r="I2634" i="1"/>
  <c r="H2634" i="1"/>
  <c r="G2634" i="1"/>
  <c r="F2634" i="1"/>
  <c r="E2634" i="1"/>
  <c r="D2634" i="1"/>
  <c r="C2634" i="1"/>
  <c r="I2633" i="1"/>
  <c r="H2633" i="1"/>
  <c r="G2633" i="1"/>
  <c r="F2633" i="1"/>
  <c r="E2633" i="1"/>
  <c r="D2633" i="1"/>
  <c r="C2633" i="1"/>
  <c r="I2632" i="1"/>
  <c r="H2632" i="1"/>
  <c r="G2632" i="1"/>
  <c r="F2632" i="1"/>
  <c r="E2632" i="1"/>
  <c r="D2632" i="1"/>
  <c r="C2632" i="1"/>
  <c r="I2631" i="1"/>
  <c r="H2631" i="1"/>
  <c r="G2631" i="1"/>
  <c r="F2631" i="1"/>
  <c r="E2631" i="1"/>
  <c r="D2631" i="1"/>
  <c r="C2631" i="1"/>
  <c r="I2630" i="1"/>
  <c r="H2630" i="1"/>
  <c r="G2630" i="1"/>
  <c r="F2630" i="1"/>
  <c r="E2630" i="1"/>
  <c r="D2630" i="1"/>
  <c r="C2630" i="1"/>
  <c r="I2629" i="1"/>
  <c r="H2629" i="1"/>
  <c r="G2629" i="1"/>
  <c r="F2629" i="1"/>
  <c r="E2629" i="1"/>
  <c r="D2629" i="1"/>
  <c r="C2629" i="1"/>
  <c r="I2628" i="1"/>
  <c r="H2628" i="1"/>
  <c r="G2628" i="1"/>
  <c r="F2628" i="1"/>
  <c r="E2628" i="1"/>
  <c r="D2628" i="1"/>
  <c r="C2628" i="1"/>
  <c r="I2627" i="1"/>
  <c r="H2627" i="1"/>
  <c r="G2627" i="1"/>
  <c r="F2627" i="1"/>
  <c r="E2627" i="1"/>
  <c r="D2627" i="1"/>
  <c r="C2627" i="1"/>
  <c r="I2626" i="1"/>
  <c r="H2626" i="1"/>
  <c r="G2626" i="1"/>
  <c r="F2626" i="1"/>
  <c r="E2626" i="1"/>
  <c r="D2626" i="1"/>
  <c r="C2626" i="1"/>
  <c r="I2625" i="1"/>
  <c r="H2625" i="1"/>
  <c r="G2625" i="1"/>
  <c r="F2625" i="1"/>
  <c r="E2625" i="1"/>
  <c r="D2625" i="1"/>
  <c r="C2625" i="1"/>
  <c r="I2624" i="1"/>
  <c r="H2624" i="1"/>
  <c r="G2624" i="1"/>
  <c r="F2624" i="1"/>
  <c r="E2624" i="1"/>
  <c r="D2624" i="1"/>
  <c r="C2624" i="1"/>
  <c r="I2623" i="1"/>
  <c r="H2623" i="1"/>
  <c r="G2623" i="1"/>
  <c r="F2623" i="1"/>
  <c r="E2623" i="1"/>
  <c r="D2623" i="1"/>
  <c r="C2623" i="1"/>
  <c r="I2622" i="1"/>
  <c r="H2622" i="1"/>
  <c r="G2622" i="1"/>
  <c r="F2622" i="1"/>
  <c r="E2622" i="1"/>
  <c r="D2622" i="1"/>
  <c r="C2622" i="1"/>
  <c r="I2621" i="1"/>
  <c r="H2621" i="1"/>
  <c r="G2621" i="1"/>
  <c r="F2621" i="1"/>
  <c r="E2621" i="1"/>
  <c r="D2621" i="1"/>
  <c r="C2621" i="1"/>
  <c r="I2620" i="1"/>
  <c r="H2620" i="1"/>
  <c r="G2620" i="1"/>
  <c r="F2620" i="1"/>
  <c r="E2620" i="1"/>
  <c r="D2620" i="1"/>
  <c r="C2620" i="1"/>
  <c r="I2619" i="1"/>
  <c r="H2619" i="1"/>
  <c r="G2619" i="1"/>
  <c r="F2619" i="1"/>
  <c r="E2619" i="1"/>
  <c r="D2619" i="1"/>
  <c r="C2619" i="1"/>
  <c r="I2618" i="1"/>
  <c r="H2618" i="1"/>
  <c r="G2618" i="1"/>
  <c r="F2618" i="1"/>
  <c r="E2618" i="1"/>
  <c r="D2618" i="1"/>
  <c r="C2618" i="1"/>
  <c r="I2617" i="1"/>
  <c r="H2617" i="1"/>
  <c r="G2617" i="1"/>
  <c r="F2617" i="1"/>
  <c r="E2617" i="1"/>
  <c r="D2617" i="1"/>
  <c r="C2617" i="1"/>
  <c r="I2616" i="1"/>
  <c r="H2616" i="1"/>
  <c r="G2616" i="1"/>
  <c r="F2616" i="1"/>
  <c r="E2616" i="1"/>
  <c r="D2616" i="1"/>
  <c r="C2616" i="1"/>
  <c r="I2615" i="1"/>
  <c r="H2615" i="1"/>
  <c r="G2615" i="1"/>
  <c r="F2615" i="1"/>
  <c r="E2615" i="1"/>
  <c r="D2615" i="1"/>
  <c r="C2615" i="1"/>
  <c r="I2614" i="1"/>
  <c r="H2614" i="1"/>
  <c r="G2614" i="1"/>
  <c r="F2614" i="1"/>
  <c r="E2614" i="1"/>
  <c r="D2614" i="1"/>
  <c r="C2614" i="1"/>
  <c r="I2613" i="1"/>
  <c r="H2613" i="1"/>
  <c r="G2613" i="1"/>
  <c r="F2613" i="1"/>
  <c r="E2613" i="1"/>
  <c r="D2613" i="1"/>
  <c r="C2613" i="1"/>
  <c r="I2612" i="1"/>
  <c r="H2612" i="1"/>
  <c r="G2612" i="1"/>
  <c r="F2612" i="1"/>
  <c r="E2612" i="1"/>
  <c r="D2612" i="1"/>
  <c r="C2612" i="1"/>
  <c r="I2611" i="1"/>
  <c r="H2611" i="1"/>
  <c r="G2611" i="1"/>
  <c r="F2611" i="1"/>
  <c r="E2611" i="1"/>
  <c r="D2611" i="1"/>
  <c r="C2611" i="1"/>
  <c r="I2610" i="1"/>
  <c r="H2610" i="1"/>
  <c r="G2610" i="1"/>
  <c r="F2610" i="1"/>
  <c r="E2610" i="1"/>
  <c r="D2610" i="1"/>
  <c r="C2610" i="1"/>
  <c r="I2609" i="1"/>
  <c r="H2609" i="1"/>
  <c r="G2609" i="1"/>
  <c r="F2609" i="1"/>
  <c r="E2609" i="1"/>
  <c r="D2609" i="1"/>
  <c r="C2609" i="1"/>
  <c r="I2608" i="1"/>
  <c r="H2608" i="1"/>
  <c r="G2608" i="1"/>
  <c r="F2608" i="1"/>
  <c r="E2608" i="1"/>
  <c r="D2608" i="1"/>
  <c r="C2608" i="1"/>
  <c r="I2607" i="1"/>
  <c r="H2607" i="1"/>
  <c r="G2607" i="1"/>
  <c r="F2607" i="1"/>
  <c r="E2607" i="1"/>
  <c r="D2607" i="1"/>
  <c r="C2607" i="1"/>
  <c r="I2606" i="1"/>
  <c r="H2606" i="1"/>
  <c r="G2606" i="1"/>
  <c r="F2606" i="1"/>
  <c r="E2606" i="1"/>
  <c r="D2606" i="1"/>
  <c r="C2606" i="1"/>
  <c r="I2605" i="1"/>
  <c r="H2605" i="1"/>
  <c r="G2605" i="1"/>
  <c r="F2605" i="1"/>
  <c r="E2605" i="1"/>
  <c r="D2605" i="1"/>
  <c r="C2605" i="1"/>
  <c r="I2604" i="1"/>
  <c r="H2604" i="1"/>
  <c r="G2604" i="1"/>
  <c r="F2604" i="1"/>
  <c r="E2604" i="1"/>
  <c r="D2604" i="1"/>
  <c r="C2604" i="1"/>
  <c r="I2603" i="1"/>
  <c r="H2603" i="1"/>
  <c r="G2603" i="1"/>
  <c r="F2603" i="1"/>
  <c r="E2603" i="1"/>
  <c r="D2603" i="1"/>
  <c r="C2603" i="1"/>
  <c r="I2602" i="1"/>
  <c r="H2602" i="1"/>
  <c r="G2602" i="1"/>
  <c r="F2602" i="1"/>
  <c r="E2602" i="1"/>
  <c r="D2602" i="1"/>
  <c r="C2602" i="1"/>
  <c r="I2601" i="1"/>
  <c r="H2601" i="1"/>
  <c r="G2601" i="1"/>
  <c r="F2601" i="1"/>
  <c r="E2601" i="1"/>
  <c r="D2601" i="1"/>
  <c r="C2601" i="1"/>
  <c r="I2600" i="1"/>
  <c r="H2600" i="1"/>
  <c r="G2600" i="1"/>
  <c r="F2600" i="1"/>
  <c r="E2600" i="1"/>
  <c r="D2600" i="1"/>
  <c r="C2600" i="1"/>
  <c r="I2599" i="1"/>
  <c r="H2599" i="1"/>
  <c r="G2599" i="1"/>
  <c r="F2599" i="1"/>
  <c r="E2599" i="1"/>
  <c r="D2599" i="1"/>
  <c r="C2599" i="1"/>
  <c r="I2598" i="1"/>
  <c r="H2598" i="1"/>
  <c r="G2598" i="1"/>
  <c r="F2598" i="1"/>
  <c r="E2598" i="1"/>
  <c r="D2598" i="1"/>
  <c r="C2598" i="1"/>
  <c r="I2597" i="1"/>
  <c r="H2597" i="1"/>
  <c r="G2597" i="1"/>
  <c r="F2597" i="1"/>
  <c r="E2597" i="1"/>
  <c r="D2597" i="1"/>
  <c r="C2597" i="1"/>
  <c r="I2596" i="1"/>
  <c r="H2596" i="1"/>
  <c r="G2596" i="1"/>
  <c r="F2596" i="1"/>
  <c r="E2596" i="1"/>
  <c r="D2596" i="1"/>
  <c r="C2596" i="1"/>
  <c r="I2595" i="1"/>
  <c r="H2595" i="1"/>
  <c r="G2595" i="1"/>
  <c r="F2595" i="1"/>
  <c r="E2595" i="1"/>
  <c r="D2595" i="1"/>
  <c r="C2595" i="1"/>
  <c r="I2594" i="1"/>
  <c r="H2594" i="1"/>
  <c r="G2594" i="1"/>
  <c r="F2594" i="1"/>
  <c r="E2594" i="1"/>
  <c r="D2594" i="1"/>
  <c r="C2594" i="1"/>
  <c r="I2593" i="1"/>
  <c r="H2593" i="1"/>
  <c r="G2593" i="1"/>
  <c r="F2593" i="1"/>
  <c r="E2593" i="1"/>
  <c r="D2593" i="1"/>
  <c r="C2593" i="1"/>
  <c r="I2592" i="1"/>
  <c r="H2592" i="1"/>
  <c r="G2592" i="1"/>
  <c r="F2592" i="1"/>
  <c r="E2592" i="1"/>
  <c r="D2592" i="1"/>
  <c r="C2592" i="1"/>
  <c r="I2591" i="1"/>
  <c r="H2591" i="1"/>
  <c r="G2591" i="1"/>
  <c r="F2591" i="1"/>
  <c r="E2591" i="1"/>
  <c r="D2591" i="1"/>
  <c r="C2591" i="1"/>
  <c r="I2590" i="1"/>
  <c r="H2590" i="1"/>
  <c r="G2590" i="1"/>
  <c r="F2590" i="1"/>
  <c r="E2590" i="1"/>
  <c r="D2590" i="1"/>
  <c r="C2590" i="1"/>
  <c r="I2589" i="1"/>
  <c r="H2589" i="1"/>
  <c r="G2589" i="1"/>
  <c r="F2589" i="1"/>
  <c r="E2589" i="1"/>
  <c r="D2589" i="1"/>
  <c r="C2589" i="1"/>
  <c r="I2588" i="1"/>
  <c r="H2588" i="1"/>
  <c r="G2588" i="1"/>
  <c r="F2588" i="1"/>
  <c r="E2588" i="1"/>
  <c r="D2588" i="1"/>
  <c r="C2588" i="1"/>
  <c r="I2587" i="1"/>
  <c r="H2587" i="1"/>
  <c r="G2587" i="1"/>
  <c r="F2587" i="1"/>
  <c r="E2587" i="1"/>
  <c r="D2587" i="1"/>
  <c r="C2587" i="1"/>
  <c r="I2586" i="1"/>
  <c r="H2586" i="1"/>
  <c r="G2586" i="1"/>
  <c r="F2586" i="1"/>
  <c r="E2586" i="1"/>
  <c r="D2586" i="1"/>
  <c r="C2586" i="1"/>
  <c r="I2585" i="1"/>
  <c r="H2585" i="1"/>
  <c r="G2585" i="1"/>
  <c r="F2585" i="1"/>
  <c r="E2585" i="1"/>
  <c r="D2585" i="1"/>
  <c r="C2585" i="1"/>
  <c r="I2584" i="1"/>
  <c r="H2584" i="1"/>
  <c r="G2584" i="1"/>
  <c r="F2584" i="1"/>
  <c r="E2584" i="1"/>
  <c r="D2584" i="1"/>
  <c r="C2584" i="1"/>
  <c r="I2583" i="1"/>
  <c r="H2583" i="1"/>
  <c r="G2583" i="1"/>
  <c r="F2583" i="1"/>
  <c r="E2583" i="1"/>
  <c r="D2583" i="1"/>
  <c r="C2583" i="1"/>
  <c r="I2582" i="1"/>
  <c r="H2582" i="1"/>
  <c r="G2582" i="1"/>
  <c r="F2582" i="1"/>
  <c r="E2582" i="1"/>
  <c r="D2582" i="1"/>
  <c r="C2582" i="1"/>
  <c r="I2581" i="1"/>
  <c r="H2581" i="1"/>
  <c r="G2581" i="1"/>
  <c r="F2581" i="1"/>
  <c r="E2581" i="1"/>
  <c r="D2581" i="1"/>
  <c r="C2581" i="1"/>
  <c r="I2580" i="1"/>
  <c r="H2580" i="1"/>
  <c r="G2580" i="1"/>
  <c r="F2580" i="1"/>
  <c r="E2580" i="1"/>
  <c r="D2580" i="1"/>
  <c r="C2580" i="1"/>
  <c r="I2579" i="1"/>
  <c r="H2579" i="1"/>
  <c r="G2579" i="1"/>
  <c r="F2579" i="1"/>
  <c r="E2579" i="1"/>
  <c r="D2579" i="1"/>
  <c r="C2579" i="1"/>
  <c r="I2578" i="1"/>
  <c r="H2578" i="1"/>
  <c r="G2578" i="1"/>
  <c r="F2578" i="1"/>
  <c r="E2578" i="1"/>
  <c r="D2578" i="1"/>
  <c r="C2578" i="1"/>
  <c r="I2577" i="1"/>
  <c r="H2577" i="1"/>
  <c r="G2577" i="1"/>
  <c r="F2577" i="1"/>
  <c r="E2577" i="1"/>
  <c r="D2577" i="1"/>
  <c r="C2577" i="1"/>
  <c r="I2576" i="1"/>
  <c r="H2576" i="1"/>
  <c r="G2576" i="1"/>
  <c r="F2576" i="1"/>
  <c r="E2576" i="1"/>
  <c r="D2576" i="1"/>
  <c r="C2576" i="1"/>
  <c r="I2575" i="1"/>
  <c r="H2575" i="1"/>
  <c r="G2575" i="1"/>
  <c r="F2575" i="1"/>
  <c r="E2575" i="1"/>
  <c r="D2575" i="1"/>
  <c r="C2575" i="1"/>
  <c r="I2574" i="1"/>
  <c r="H2574" i="1"/>
  <c r="G2574" i="1"/>
  <c r="F2574" i="1"/>
  <c r="E2574" i="1"/>
  <c r="D2574" i="1"/>
  <c r="C2574" i="1"/>
  <c r="I2573" i="1"/>
  <c r="H2573" i="1"/>
  <c r="G2573" i="1"/>
  <c r="F2573" i="1"/>
  <c r="E2573" i="1"/>
  <c r="D2573" i="1"/>
  <c r="C2573" i="1"/>
  <c r="I2572" i="1"/>
  <c r="H2572" i="1"/>
  <c r="G2572" i="1"/>
  <c r="F2572" i="1"/>
  <c r="E2572" i="1"/>
  <c r="D2572" i="1"/>
  <c r="C2572" i="1"/>
  <c r="I2571" i="1"/>
  <c r="H2571" i="1"/>
  <c r="G2571" i="1"/>
  <c r="F2571" i="1"/>
  <c r="E2571" i="1"/>
  <c r="D2571" i="1"/>
  <c r="C2571" i="1"/>
  <c r="I2570" i="1"/>
  <c r="H2570" i="1"/>
  <c r="G2570" i="1"/>
  <c r="F2570" i="1"/>
  <c r="E2570" i="1"/>
  <c r="D2570" i="1"/>
  <c r="C2570" i="1"/>
  <c r="I2569" i="1"/>
  <c r="H2569" i="1"/>
  <c r="G2569" i="1"/>
  <c r="F2569" i="1"/>
  <c r="E2569" i="1"/>
  <c r="D2569" i="1"/>
  <c r="C2569" i="1"/>
  <c r="I2568" i="1"/>
  <c r="H2568" i="1"/>
  <c r="G2568" i="1"/>
  <c r="F2568" i="1"/>
  <c r="E2568" i="1"/>
  <c r="D2568" i="1"/>
  <c r="C2568" i="1"/>
  <c r="I2567" i="1"/>
  <c r="H2567" i="1"/>
  <c r="G2567" i="1"/>
  <c r="F2567" i="1"/>
  <c r="E2567" i="1"/>
  <c r="D2567" i="1"/>
  <c r="C2567" i="1"/>
  <c r="I2566" i="1"/>
  <c r="H2566" i="1"/>
  <c r="G2566" i="1"/>
  <c r="F2566" i="1"/>
  <c r="E2566" i="1"/>
  <c r="D2566" i="1"/>
  <c r="C2566" i="1"/>
  <c r="I2565" i="1"/>
  <c r="H2565" i="1"/>
  <c r="G2565" i="1"/>
  <c r="F2565" i="1"/>
  <c r="E2565" i="1"/>
  <c r="D2565" i="1"/>
  <c r="C2565" i="1"/>
  <c r="I2564" i="1"/>
  <c r="H2564" i="1"/>
  <c r="G2564" i="1"/>
  <c r="F2564" i="1"/>
  <c r="E2564" i="1"/>
  <c r="D2564" i="1"/>
  <c r="C2564" i="1"/>
  <c r="I2563" i="1"/>
  <c r="H2563" i="1"/>
  <c r="G2563" i="1"/>
  <c r="F2563" i="1"/>
  <c r="E2563" i="1"/>
  <c r="D2563" i="1"/>
  <c r="C2563" i="1"/>
  <c r="I2562" i="1"/>
  <c r="H2562" i="1"/>
  <c r="G2562" i="1"/>
  <c r="F2562" i="1"/>
  <c r="E2562" i="1"/>
  <c r="D2562" i="1"/>
  <c r="C2562" i="1"/>
  <c r="I2561" i="1"/>
  <c r="H2561" i="1"/>
  <c r="G2561" i="1"/>
  <c r="F2561" i="1"/>
  <c r="E2561" i="1"/>
  <c r="D2561" i="1"/>
  <c r="C2561" i="1"/>
  <c r="I2560" i="1"/>
  <c r="H2560" i="1"/>
  <c r="G2560" i="1"/>
  <c r="F2560" i="1"/>
  <c r="E2560" i="1"/>
  <c r="D2560" i="1"/>
  <c r="C2560" i="1"/>
  <c r="I2559" i="1"/>
  <c r="H2559" i="1"/>
  <c r="G2559" i="1"/>
  <c r="F2559" i="1"/>
  <c r="E2559" i="1"/>
  <c r="D2559" i="1"/>
  <c r="C2559" i="1"/>
  <c r="I2558" i="1"/>
  <c r="H2558" i="1"/>
  <c r="G2558" i="1"/>
  <c r="F2558" i="1"/>
  <c r="E2558" i="1"/>
  <c r="D2558" i="1"/>
  <c r="C2558" i="1"/>
  <c r="I2557" i="1"/>
  <c r="H2557" i="1"/>
  <c r="G2557" i="1"/>
  <c r="F2557" i="1"/>
  <c r="E2557" i="1"/>
  <c r="D2557" i="1"/>
  <c r="C2557" i="1"/>
  <c r="I2556" i="1"/>
  <c r="H2556" i="1"/>
  <c r="G2556" i="1"/>
  <c r="F2556" i="1"/>
  <c r="E2556" i="1"/>
  <c r="D2556" i="1"/>
  <c r="C2556" i="1"/>
  <c r="I2555" i="1"/>
  <c r="H2555" i="1"/>
  <c r="G2555" i="1"/>
  <c r="F2555" i="1"/>
  <c r="E2555" i="1"/>
  <c r="D2555" i="1"/>
  <c r="C2555" i="1"/>
  <c r="I2554" i="1"/>
  <c r="H2554" i="1"/>
  <c r="G2554" i="1"/>
  <c r="F2554" i="1"/>
  <c r="E2554" i="1"/>
  <c r="D2554" i="1"/>
  <c r="C2554" i="1"/>
  <c r="I2553" i="1"/>
  <c r="H2553" i="1"/>
  <c r="G2553" i="1"/>
  <c r="F2553" i="1"/>
  <c r="E2553" i="1"/>
  <c r="D2553" i="1"/>
  <c r="C2553" i="1"/>
  <c r="I2552" i="1"/>
  <c r="H2552" i="1"/>
  <c r="G2552" i="1"/>
  <c r="F2552" i="1"/>
  <c r="E2552" i="1"/>
  <c r="D2552" i="1"/>
  <c r="C2552" i="1"/>
  <c r="I2551" i="1"/>
  <c r="H2551" i="1"/>
  <c r="G2551" i="1"/>
  <c r="F2551" i="1"/>
  <c r="E2551" i="1"/>
  <c r="D2551" i="1"/>
  <c r="C2551" i="1"/>
  <c r="I2550" i="1"/>
  <c r="H2550" i="1"/>
  <c r="G2550" i="1"/>
  <c r="F2550" i="1"/>
  <c r="E2550" i="1"/>
  <c r="D2550" i="1"/>
  <c r="C2550" i="1"/>
  <c r="I2549" i="1"/>
  <c r="H2549" i="1"/>
  <c r="G2549" i="1"/>
  <c r="F2549" i="1"/>
  <c r="E2549" i="1"/>
  <c r="D2549" i="1"/>
  <c r="C2549" i="1"/>
  <c r="I2548" i="1"/>
  <c r="H2548" i="1"/>
  <c r="G2548" i="1"/>
  <c r="F2548" i="1"/>
  <c r="E2548" i="1"/>
  <c r="D2548" i="1"/>
  <c r="C2548" i="1"/>
  <c r="I2547" i="1"/>
  <c r="H2547" i="1"/>
  <c r="G2547" i="1"/>
  <c r="F2547" i="1"/>
  <c r="E2547" i="1"/>
  <c r="D2547" i="1"/>
  <c r="C2547" i="1"/>
  <c r="I2546" i="1"/>
  <c r="H2546" i="1"/>
  <c r="G2546" i="1"/>
  <c r="F2546" i="1"/>
  <c r="E2546" i="1"/>
  <c r="D2546" i="1"/>
  <c r="C2546" i="1"/>
  <c r="I2545" i="1"/>
  <c r="H2545" i="1"/>
  <c r="G2545" i="1"/>
  <c r="F2545" i="1"/>
  <c r="E2545" i="1"/>
  <c r="D2545" i="1"/>
  <c r="C2545" i="1"/>
  <c r="I2544" i="1"/>
  <c r="H2544" i="1"/>
  <c r="G2544" i="1"/>
  <c r="F2544" i="1"/>
  <c r="E2544" i="1"/>
  <c r="D2544" i="1"/>
  <c r="C2544" i="1"/>
  <c r="I2543" i="1"/>
  <c r="H2543" i="1"/>
  <c r="G2543" i="1"/>
  <c r="F2543" i="1"/>
  <c r="E2543" i="1"/>
  <c r="D2543" i="1"/>
  <c r="C2543" i="1"/>
  <c r="I2542" i="1"/>
  <c r="H2542" i="1"/>
  <c r="G2542" i="1"/>
  <c r="F2542" i="1"/>
  <c r="E2542" i="1"/>
  <c r="D2542" i="1"/>
  <c r="C2542" i="1"/>
  <c r="I2541" i="1"/>
  <c r="H2541" i="1"/>
  <c r="G2541" i="1"/>
  <c r="F2541" i="1"/>
  <c r="E2541" i="1"/>
  <c r="D2541" i="1"/>
  <c r="C2541" i="1"/>
  <c r="I2540" i="1"/>
  <c r="H2540" i="1"/>
  <c r="G2540" i="1"/>
  <c r="F2540" i="1"/>
  <c r="E2540" i="1"/>
  <c r="D2540" i="1"/>
  <c r="C2540" i="1"/>
  <c r="I2539" i="1"/>
  <c r="H2539" i="1"/>
  <c r="G2539" i="1"/>
  <c r="F2539" i="1"/>
  <c r="E2539" i="1"/>
  <c r="D2539" i="1"/>
  <c r="C2539" i="1"/>
  <c r="I2538" i="1"/>
  <c r="H2538" i="1"/>
  <c r="G2538" i="1"/>
  <c r="F2538" i="1"/>
  <c r="E2538" i="1"/>
  <c r="D2538" i="1"/>
  <c r="C2538" i="1"/>
  <c r="I2537" i="1"/>
  <c r="H2537" i="1"/>
  <c r="G2537" i="1"/>
  <c r="F2537" i="1"/>
  <c r="E2537" i="1"/>
  <c r="D2537" i="1"/>
  <c r="C2537" i="1"/>
  <c r="I2536" i="1"/>
  <c r="H2536" i="1"/>
  <c r="G2536" i="1"/>
  <c r="F2536" i="1"/>
  <c r="E2536" i="1"/>
  <c r="D2536" i="1"/>
  <c r="C2536" i="1"/>
  <c r="I2535" i="1"/>
  <c r="H2535" i="1"/>
  <c r="G2535" i="1"/>
  <c r="F2535" i="1"/>
  <c r="E2535" i="1"/>
  <c r="D2535" i="1"/>
  <c r="C2535" i="1"/>
  <c r="I2534" i="1"/>
  <c r="H2534" i="1"/>
  <c r="G2534" i="1"/>
  <c r="F2534" i="1"/>
  <c r="E2534" i="1"/>
  <c r="D2534" i="1"/>
  <c r="C2534" i="1"/>
  <c r="I2533" i="1"/>
  <c r="H2533" i="1"/>
  <c r="G2533" i="1"/>
  <c r="F2533" i="1"/>
  <c r="E2533" i="1"/>
  <c r="D2533" i="1"/>
  <c r="C2533" i="1"/>
  <c r="I2532" i="1"/>
  <c r="H2532" i="1"/>
  <c r="G2532" i="1"/>
  <c r="F2532" i="1"/>
  <c r="E2532" i="1"/>
  <c r="D2532" i="1"/>
  <c r="C2532" i="1"/>
  <c r="I2531" i="1"/>
  <c r="H2531" i="1"/>
  <c r="G2531" i="1"/>
  <c r="F2531" i="1"/>
  <c r="E2531" i="1"/>
  <c r="D2531" i="1"/>
  <c r="C2531" i="1"/>
  <c r="I2530" i="1"/>
  <c r="H2530" i="1"/>
  <c r="G2530" i="1"/>
  <c r="F2530" i="1"/>
  <c r="E2530" i="1"/>
  <c r="D2530" i="1"/>
  <c r="C2530" i="1"/>
  <c r="I2529" i="1"/>
  <c r="H2529" i="1"/>
  <c r="G2529" i="1"/>
  <c r="F2529" i="1"/>
  <c r="E2529" i="1"/>
  <c r="D2529" i="1"/>
  <c r="C2529" i="1"/>
  <c r="I2528" i="1"/>
  <c r="H2528" i="1"/>
  <c r="G2528" i="1"/>
  <c r="F2528" i="1"/>
  <c r="E2528" i="1"/>
  <c r="D2528" i="1"/>
  <c r="C2528" i="1"/>
  <c r="I2527" i="1"/>
  <c r="H2527" i="1"/>
  <c r="G2527" i="1"/>
  <c r="F2527" i="1"/>
  <c r="E2527" i="1"/>
  <c r="D2527" i="1"/>
  <c r="C2527" i="1"/>
  <c r="I2526" i="1"/>
  <c r="H2526" i="1"/>
  <c r="G2526" i="1"/>
  <c r="F2526" i="1"/>
  <c r="E2526" i="1"/>
  <c r="D2526" i="1"/>
  <c r="C2526" i="1"/>
  <c r="I2525" i="1"/>
  <c r="H2525" i="1"/>
  <c r="G2525" i="1"/>
  <c r="F2525" i="1"/>
  <c r="E2525" i="1"/>
  <c r="D2525" i="1"/>
  <c r="C2525" i="1"/>
  <c r="I2524" i="1"/>
  <c r="H2524" i="1"/>
  <c r="G2524" i="1"/>
  <c r="F2524" i="1"/>
  <c r="E2524" i="1"/>
  <c r="D2524" i="1"/>
  <c r="C2524" i="1"/>
  <c r="I2523" i="1"/>
  <c r="H2523" i="1"/>
  <c r="G2523" i="1"/>
  <c r="F2523" i="1"/>
  <c r="E2523" i="1"/>
  <c r="D2523" i="1"/>
  <c r="C2523" i="1"/>
  <c r="I2522" i="1"/>
  <c r="H2522" i="1"/>
  <c r="G2522" i="1"/>
  <c r="F2522" i="1"/>
  <c r="E2522" i="1"/>
  <c r="D2522" i="1"/>
  <c r="C2522" i="1"/>
  <c r="I2521" i="1"/>
  <c r="H2521" i="1"/>
  <c r="G2521" i="1"/>
  <c r="F2521" i="1"/>
  <c r="E2521" i="1"/>
  <c r="D2521" i="1"/>
  <c r="C2521" i="1"/>
  <c r="I2520" i="1"/>
  <c r="H2520" i="1"/>
  <c r="G2520" i="1"/>
  <c r="F2520" i="1"/>
  <c r="E2520" i="1"/>
  <c r="D2520" i="1"/>
  <c r="C2520" i="1"/>
  <c r="I2519" i="1"/>
  <c r="H2519" i="1"/>
  <c r="G2519" i="1"/>
  <c r="F2519" i="1"/>
  <c r="E2519" i="1"/>
  <c r="D2519" i="1"/>
  <c r="C2519" i="1"/>
  <c r="I2518" i="1"/>
  <c r="H2518" i="1"/>
  <c r="G2518" i="1"/>
  <c r="F2518" i="1"/>
  <c r="E2518" i="1"/>
  <c r="D2518" i="1"/>
  <c r="C2518" i="1"/>
  <c r="I2517" i="1"/>
  <c r="H2517" i="1"/>
  <c r="G2517" i="1"/>
  <c r="F2517" i="1"/>
  <c r="E2517" i="1"/>
  <c r="D2517" i="1"/>
  <c r="C2517" i="1"/>
  <c r="I2516" i="1"/>
  <c r="H2516" i="1"/>
  <c r="G2516" i="1"/>
  <c r="F2516" i="1"/>
  <c r="E2516" i="1"/>
  <c r="D2516" i="1"/>
  <c r="C2516" i="1"/>
  <c r="I2515" i="1"/>
  <c r="H2515" i="1"/>
  <c r="G2515" i="1"/>
  <c r="F2515" i="1"/>
  <c r="E2515" i="1"/>
  <c r="D2515" i="1"/>
  <c r="C2515" i="1"/>
  <c r="I2514" i="1"/>
  <c r="H2514" i="1"/>
  <c r="G2514" i="1"/>
  <c r="F2514" i="1"/>
  <c r="E2514" i="1"/>
  <c r="D2514" i="1"/>
  <c r="C2514" i="1"/>
  <c r="I2513" i="1"/>
  <c r="H2513" i="1"/>
  <c r="G2513" i="1"/>
  <c r="F2513" i="1"/>
  <c r="E2513" i="1"/>
  <c r="D2513" i="1"/>
  <c r="C2513" i="1"/>
  <c r="I2512" i="1"/>
  <c r="H2512" i="1"/>
  <c r="G2512" i="1"/>
  <c r="F2512" i="1"/>
  <c r="E2512" i="1"/>
  <c r="D2512" i="1"/>
  <c r="C2512" i="1"/>
  <c r="I2511" i="1"/>
  <c r="H2511" i="1"/>
  <c r="G2511" i="1"/>
  <c r="F2511" i="1"/>
  <c r="E2511" i="1"/>
  <c r="D2511" i="1"/>
  <c r="C2511" i="1"/>
  <c r="I2510" i="1"/>
  <c r="H2510" i="1"/>
  <c r="G2510" i="1"/>
  <c r="F2510" i="1"/>
  <c r="E2510" i="1"/>
  <c r="D2510" i="1"/>
  <c r="C2510" i="1"/>
  <c r="I2509" i="1"/>
  <c r="H2509" i="1"/>
  <c r="G2509" i="1"/>
  <c r="F2509" i="1"/>
  <c r="E2509" i="1"/>
  <c r="D2509" i="1"/>
  <c r="C2509" i="1"/>
  <c r="I2508" i="1"/>
  <c r="H2508" i="1"/>
  <c r="G2508" i="1"/>
  <c r="F2508" i="1"/>
  <c r="E2508" i="1"/>
  <c r="D2508" i="1"/>
  <c r="C2508" i="1"/>
  <c r="I2507" i="1"/>
  <c r="H2507" i="1"/>
  <c r="G2507" i="1"/>
  <c r="F2507" i="1"/>
  <c r="E2507" i="1"/>
  <c r="D2507" i="1"/>
  <c r="C2507" i="1"/>
  <c r="I2506" i="1"/>
  <c r="H2506" i="1"/>
  <c r="G2506" i="1"/>
  <c r="F2506" i="1"/>
  <c r="E2506" i="1"/>
  <c r="D2506" i="1"/>
  <c r="C2506" i="1"/>
  <c r="I2505" i="1"/>
  <c r="H2505" i="1"/>
  <c r="G2505" i="1"/>
  <c r="F2505" i="1"/>
  <c r="E2505" i="1"/>
  <c r="D2505" i="1"/>
  <c r="C2505" i="1"/>
  <c r="I2504" i="1"/>
  <c r="H2504" i="1"/>
  <c r="G2504" i="1"/>
  <c r="F2504" i="1"/>
  <c r="E2504" i="1"/>
  <c r="D2504" i="1"/>
  <c r="C2504" i="1"/>
  <c r="I2503" i="1"/>
  <c r="H2503" i="1"/>
  <c r="G2503" i="1"/>
  <c r="F2503" i="1"/>
  <c r="E2503" i="1"/>
  <c r="D2503" i="1"/>
  <c r="C2503" i="1"/>
  <c r="I2502" i="1"/>
  <c r="H2502" i="1"/>
  <c r="G2502" i="1"/>
  <c r="F2502" i="1"/>
  <c r="E2502" i="1"/>
  <c r="D2502" i="1"/>
  <c r="C2502" i="1"/>
  <c r="I2501" i="1"/>
  <c r="H2501" i="1"/>
  <c r="G2501" i="1"/>
  <c r="F2501" i="1"/>
  <c r="E2501" i="1"/>
  <c r="D2501" i="1"/>
  <c r="C2501" i="1"/>
  <c r="I2500" i="1"/>
  <c r="H2500" i="1"/>
  <c r="G2500" i="1"/>
  <c r="F2500" i="1"/>
  <c r="E2500" i="1"/>
  <c r="D2500" i="1"/>
  <c r="C2500" i="1"/>
  <c r="I2499" i="1"/>
  <c r="H2499" i="1"/>
  <c r="G2499" i="1"/>
  <c r="F2499" i="1"/>
  <c r="E2499" i="1"/>
  <c r="D2499" i="1"/>
  <c r="C2499" i="1"/>
  <c r="I2498" i="1"/>
  <c r="H2498" i="1"/>
  <c r="G2498" i="1"/>
  <c r="F2498" i="1"/>
  <c r="E2498" i="1"/>
  <c r="D2498" i="1"/>
  <c r="C2498" i="1"/>
  <c r="I2497" i="1"/>
  <c r="H2497" i="1"/>
  <c r="G2497" i="1"/>
  <c r="F2497" i="1"/>
  <c r="E2497" i="1"/>
  <c r="D2497" i="1"/>
  <c r="C2497" i="1"/>
  <c r="I2496" i="1"/>
  <c r="H2496" i="1"/>
  <c r="G2496" i="1"/>
  <c r="F2496" i="1"/>
  <c r="E2496" i="1"/>
  <c r="D2496" i="1"/>
  <c r="C2496" i="1"/>
  <c r="I2495" i="1"/>
  <c r="H2495" i="1"/>
  <c r="G2495" i="1"/>
  <c r="F2495" i="1"/>
  <c r="E2495" i="1"/>
  <c r="D2495" i="1"/>
  <c r="C2495" i="1"/>
  <c r="I2494" i="1"/>
  <c r="H2494" i="1"/>
  <c r="G2494" i="1"/>
  <c r="F2494" i="1"/>
  <c r="E2494" i="1"/>
  <c r="D2494" i="1"/>
  <c r="C2494" i="1"/>
  <c r="I2493" i="1"/>
  <c r="H2493" i="1"/>
  <c r="G2493" i="1"/>
  <c r="F2493" i="1"/>
  <c r="E2493" i="1"/>
  <c r="D2493" i="1"/>
  <c r="C2493" i="1"/>
  <c r="I2492" i="1"/>
  <c r="H2492" i="1"/>
  <c r="G2492" i="1"/>
  <c r="F2492" i="1"/>
  <c r="E2492" i="1"/>
  <c r="D2492" i="1"/>
  <c r="C2492" i="1"/>
  <c r="I2491" i="1"/>
  <c r="H2491" i="1"/>
  <c r="G2491" i="1"/>
  <c r="F2491" i="1"/>
  <c r="E2491" i="1"/>
  <c r="D2491" i="1"/>
  <c r="C2491" i="1"/>
  <c r="I2490" i="1"/>
  <c r="H2490" i="1"/>
  <c r="G2490" i="1"/>
  <c r="F2490" i="1"/>
  <c r="E2490" i="1"/>
  <c r="D2490" i="1"/>
  <c r="C2490" i="1"/>
  <c r="I2489" i="1"/>
  <c r="H2489" i="1"/>
  <c r="G2489" i="1"/>
  <c r="F2489" i="1"/>
  <c r="E2489" i="1"/>
  <c r="D2489" i="1"/>
  <c r="C2489" i="1"/>
  <c r="I2488" i="1"/>
  <c r="H2488" i="1"/>
  <c r="G2488" i="1"/>
  <c r="F2488" i="1"/>
  <c r="E2488" i="1"/>
  <c r="D2488" i="1"/>
  <c r="C2488" i="1"/>
  <c r="I2487" i="1"/>
  <c r="H2487" i="1"/>
  <c r="G2487" i="1"/>
  <c r="F2487" i="1"/>
  <c r="E2487" i="1"/>
  <c r="D2487" i="1"/>
  <c r="C2487" i="1"/>
  <c r="I2486" i="1"/>
  <c r="H2486" i="1"/>
  <c r="G2486" i="1"/>
  <c r="F2486" i="1"/>
  <c r="E2486" i="1"/>
  <c r="D2486" i="1"/>
  <c r="C2486" i="1"/>
  <c r="I2485" i="1"/>
  <c r="H2485" i="1"/>
  <c r="G2485" i="1"/>
  <c r="F2485" i="1"/>
  <c r="E2485" i="1"/>
  <c r="D2485" i="1"/>
  <c r="C2485" i="1"/>
  <c r="I2484" i="1"/>
  <c r="H2484" i="1"/>
  <c r="G2484" i="1"/>
  <c r="F2484" i="1"/>
  <c r="E2484" i="1"/>
  <c r="D2484" i="1"/>
  <c r="C2484" i="1"/>
  <c r="I2483" i="1"/>
  <c r="H2483" i="1"/>
  <c r="G2483" i="1"/>
  <c r="F2483" i="1"/>
  <c r="E2483" i="1"/>
  <c r="D2483" i="1"/>
  <c r="C2483" i="1"/>
  <c r="I2482" i="1"/>
  <c r="H2482" i="1"/>
  <c r="G2482" i="1"/>
  <c r="F2482" i="1"/>
  <c r="E2482" i="1"/>
  <c r="D2482" i="1"/>
  <c r="C2482" i="1"/>
  <c r="I2481" i="1"/>
  <c r="H2481" i="1"/>
  <c r="G2481" i="1"/>
  <c r="F2481" i="1"/>
  <c r="E2481" i="1"/>
  <c r="D2481" i="1"/>
  <c r="C2481" i="1"/>
  <c r="I2480" i="1"/>
  <c r="H2480" i="1"/>
  <c r="G2480" i="1"/>
  <c r="F2480" i="1"/>
  <c r="E2480" i="1"/>
  <c r="D2480" i="1"/>
  <c r="C2480" i="1"/>
  <c r="I2479" i="1"/>
  <c r="H2479" i="1"/>
  <c r="G2479" i="1"/>
  <c r="F2479" i="1"/>
  <c r="E2479" i="1"/>
  <c r="D2479" i="1"/>
  <c r="C2479" i="1"/>
  <c r="I2478" i="1"/>
  <c r="H2478" i="1"/>
  <c r="G2478" i="1"/>
  <c r="F2478" i="1"/>
  <c r="E2478" i="1"/>
  <c r="D2478" i="1"/>
  <c r="C2478" i="1"/>
  <c r="I2477" i="1"/>
  <c r="H2477" i="1"/>
  <c r="G2477" i="1"/>
  <c r="F2477" i="1"/>
  <c r="E2477" i="1"/>
  <c r="D2477" i="1"/>
  <c r="C2477" i="1"/>
  <c r="I2476" i="1"/>
  <c r="H2476" i="1"/>
  <c r="G2476" i="1"/>
  <c r="F2476" i="1"/>
  <c r="E2476" i="1"/>
  <c r="D2476" i="1"/>
  <c r="C2476" i="1"/>
  <c r="I2475" i="1"/>
  <c r="H2475" i="1"/>
  <c r="G2475" i="1"/>
  <c r="F2475" i="1"/>
  <c r="E2475" i="1"/>
  <c r="D2475" i="1"/>
  <c r="C2475" i="1"/>
  <c r="I2474" i="1"/>
  <c r="H2474" i="1"/>
  <c r="G2474" i="1"/>
  <c r="F2474" i="1"/>
  <c r="E2474" i="1"/>
  <c r="D2474" i="1"/>
  <c r="C2474" i="1"/>
  <c r="I2473" i="1"/>
  <c r="H2473" i="1"/>
  <c r="G2473" i="1"/>
  <c r="F2473" i="1"/>
  <c r="E2473" i="1"/>
  <c r="D2473" i="1"/>
  <c r="C2473" i="1"/>
  <c r="I2472" i="1"/>
  <c r="H2472" i="1"/>
  <c r="G2472" i="1"/>
  <c r="F2472" i="1"/>
  <c r="E2472" i="1"/>
  <c r="D2472" i="1"/>
  <c r="C2472" i="1"/>
  <c r="I2471" i="1"/>
  <c r="H2471" i="1"/>
  <c r="G2471" i="1"/>
  <c r="F2471" i="1"/>
  <c r="E2471" i="1"/>
  <c r="D2471" i="1"/>
  <c r="C2471" i="1"/>
  <c r="I2470" i="1"/>
  <c r="H2470" i="1"/>
  <c r="G2470" i="1"/>
  <c r="F2470" i="1"/>
  <c r="E2470" i="1"/>
  <c r="D2470" i="1"/>
  <c r="C2470" i="1"/>
  <c r="I2469" i="1"/>
  <c r="H2469" i="1"/>
  <c r="G2469" i="1"/>
  <c r="F2469" i="1"/>
  <c r="E2469" i="1"/>
  <c r="D2469" i="1"/>
  <c r="C2469" i="1"/>
  <c r="I2468" i="1"/>
  <c r="H2468" i="1"/>
  <c r="G2468" i="1"/>
  <c r="F2468" i="1"/>
  <c r="E2468" i="1"/>
  <c r="D2468" i="1"/>
  <c r="C2468" i="1"/>
  <c r="I2467" i="1"/>
  <c r="H2467" i="1"/>
  <c r="G2467" i="1"/>
  <c r="F2467" i="1"/>
  <c r="E2467" i="1"/>
  <c r="D2467" i="1"/>
  <c r="C2467" i="1"/>
  <c r="I2466" i="1"/>
  <c r="H2466" i="1"/>
  <c r="G2466" i="1"/>
  <c r="F2466" i="1"/>
  <c r="E2466" i="1"/>
  <c r="D2466" i="1"/>
  <c r="C2466" i="1"/>
  <c r="I2465" i="1"/>
  <c r="H2465" i="1"/>
  <c r="G2465" i="1"/>
  <c r="F2465" i="1"/>
  <c r="E2465" i="1"/>
  <c r="D2465" i="1"/>
  <c r="C2465" i="1"/>
  <c r="I2464" i="1"/>
  <c r="H2464" i="1"/>
  <c r="G2464" i="1"/>
  <c r="F2464" i="1"/>
  <c r="E2464" i="1"/>
  <c r="D2464" i="1"/>
  <c r="C2464" i="1"/>
  <c r="I2463" i="1"/>
  <c r="H2463" i="1"/>
  <c r="G2463" i="1"/>
  <c r="F2463" i="1"/>
  <c r="E2463" i="1"/>
  <c r="D2463" i="1"/>
  <c r="C2463" i="1"/>
  <c r="I2462" i="1"/>
  <c r="H2462" i="1"/>
  <c r="G2462" i="1"/>
  <c r="F2462" i="1"/>
  <c r="E2462" i="1"/>
  <c r="D2462" i="1"/>
  <c r="C2462" i="1"/>
  <c r="I2461" i="1"/>
  <c r="H2461" i="1"/>
  <c r="G2461" i="1"/>
  <c r="F2461" i="1"/>
  <c r="E2461" i="1"/>
  <c r="D2461" i="1"/>
  <c r="C2461" i="1"/>
  <c r="I2460" i="1"/>
  <c r="H2460" i="1"/>
  <c r="G2460" i="1"/>
  <c r="F2460" i="1"/>
  <c r="E2460" i="1"/>
  <c r="D2460" i="1"/>
  <c r="C2460" i="1"/>
  <c r="I2459" i="1"/>
  <c r="H2459" i="1"/>
  <c r="G2459" i="1"/>
  <c r="F2459" i="1"/>
  <c r="E2459" i="1"/>
  <c r="D2459" i="1"/>
  <c r="C2459" i="1"/>
  <c r="I2458" i="1"/>
  <c r="H2458" i="1"/>
  <c r="G2458" i="1"/>
  <c r="F2458" i="1"/>
  <c r="E2458" i="1"/>
  <c r="D2458" i="1"/>
  <c r="C2458" i="1"/>
  <c r="I2457" i="1"/>
  <c r="H2457" i="1"/>
  <c r="G2457" i="1"/>
  <c r="F2457" i="1"/>
  <c r="E2457" i="1"/>
  <c r="D2457" i="1"/>
  <c r="C2457" i="1"/>
  <c r="I2456" i="1"/>
  <c r="H2456" i="1"/>
  <c r="G2456" i="1"/>
  <c r="F2456" i="1"/>
  <c r="E2456" i="1"/>
  <c r="D2456" i="1"/>
  <c r="C2456" i="1"/>
  <c r="I2455" i="1"/>
  <c r="H2455" i="1"/>
  <c r="G2455" i="1"/>
  <c r="F2455" i="1"/>
  <c r="E2455" i="1"/>
  <c r="D2455" i="1"/>
  <c r="C2455" i="1"/>
  <c r="I2454" i="1"/>
  <c r="H2454" i="1"/>
  <c r="G2454" i="1"/>
  <c r="F2454" i="1"/>
  <c r="E2454" i="1"/>
  <c r="D2454" i="1"/>
  <c r="C2454" i="1"/>
  <c r="I2453" i="1"/>
  <c r="H2453" i="1"/>
  <c r="G2453" i="1"/>
  <c r="F2453" i="1"/>
  <c r="E2453" i="1"/>
  <c r="D2453" i="1"/>
  <c r="C2453" i="1"/>
  <c r="I2452" i="1"/>
  <c r="H2452" i="1"/>
  <c r="G2452" i="1"/>
  <c r="F2452" i="1"/>
  <c r="E2452" i="1"/>
  <c r="D2452" i="1"/>
  <c r="C2452" i="1"/>
  <c r="I2451" i="1"/>
  <c r="H2451" i="1"/>
  <c r="G2451" i="1"/>
  <c r="F2451" i="1"/>
  <c r="E2451" i="1"/>
  <c r="D2451" i="1"/>
  <c r="C2451" i="1"/>
  <c r="I2450" i="1"/>
  <c r="H2450" i="1"/>
  <c r="G2450" i="1"/>
  <c r="F2450" i="1"/>
  <c r="E2450" i="1"/>
  <c r="D2450" i="1"/>
  <c r="C2450" i="1"/>
  <c r="I2449" i="1"/>
  <c r="H2449" i="1"/>
  <c r="G2449" i="1"/>
  <c r="F2449" i="1"/>
  <c r="E2449" i="1"/>
  <c r="D2449" i="1"/>
  <c r="C2449" i="1"/>
  <c r="I2448" i="1"/>
  <c r="H2448" i="1"/>
  <c r="G2448" i="1"/>
  <c r="F2448" i="1"/>
  <c r="E2448" i="1"/>
  <c r="D2448" i="1"/>
  <c r="C2448" i="1"/>
  <c r="I2447" i="1"/>
  <c r="H2447" i="1"/>
  <c r="G2447" i="1"/>
  <c r="F2447" i="1"/>
  <c r="E2447" i="1"/>
  <c r="D2447" i="1"/>
  <c r="C2447" i="1"/>
  <c r="I2446" i="1"/>
  <c r="H2446" i="1"/>
  <c r="G2446" i="1"/>
  <c r="F2446" i="1"/>
  <c r="E2446" i="1"/>
  <c r="D2446" i="1"/>
  <c r="C2446" i="1"/>
  <c r="I2445" i="1"/>
  <c r="H2445" i="1"/>
  <c r="G2445" i="1"/>
  <c r="F2445" i="1"/>
  <c r="E2445" i="1"/>
  <c r="D2445" i="1"/>
  <c r="C2445" i="1"/>
  <c r="I2444" i="1"/>
  <c r="H2444" i="1"/>
  <c r="G2444" i="1"/>
  <c r="F2444" i="1"/>
  <c r="E2444" i="1"/>
  <c r="D2444" i="1"/>
  <c r="C2444" i="1"/>
  <c r="I2443" i="1"/>
  <c r="H2443" i="1"/>
  <c r="G2443" i="1"/>
  <c r="F2443" i="1"/>
  <c r="E2443" i="1"/>
  <c r="D2443" i="1"/>
  <c r="C2443" i="1"/>
  <c r="I2442" i="1"/>
  <c r="H2442" i="1"/>
  <c r="G2442" i="1"/>
  <c r="F2442" i="1"/>
  <c r="E2442" i="1"/>
  <c r="D2442" i="1"/>
  <c r="C2442" i="1"/>
  <c r="I2441" i="1"/>
  <c r="H2441" i="1"/>
  <c r="G2441" i="1"/>
  <c r="F2441" i="1"/>
  <c r="E2441" i="1"/>
  <c r="D2441" i="1"/>
  <c r="C2441" i="1"/>
  <c r="I2440" i="1"/>
  <c r="H2440" i="1"/>
  <c r="G2440" i="1"/>
  <c r="F2440" i="1"/>
  <c r="E2440" i="1"/>
  <c r="D2440" i="1"/>
  <c r="C2440" i="1"/>
  <c r="I2439" i="1"/>
  <c r="H2439" i="1"/>
  <c r="G2439" i="1"/>
  <c r="F2439" i="1"/>
  <c r="E2439" i="1"/>
  <c r="D2439" i="1"/>
  <c r="C2439" i="1"/>
  <c r="I2438" i="1"/>
  <c r="H2438" i="1"/>
  <c r="G2438" i="1"/>
  <c r="F2438" i="1"/>
  <c r="E2438" i="1"/>
  <c r="D2438" i="1"/>
  <c r="C2438" i="1"/>
  <c r="I2437" i="1"/>
  <c r="H2437" i="1"/>
  <c r="G2437" i="1"/>
  <c r="F2437" i="1"/>
  <c r="E2437" i="1"/>
  <c r="D2437" i="1"/>
  <c r="C2437" i="1"/>
  <c r="I2436" i="1"/>
  <c r="H2436" i="1"/>
  <c r="G2436" i="1"/>
  <c r="F2436" i="1"/>
  <c r="E2436" i="1"/>
  <c r="D2436" i="1"/>
  <c r="C2436" i="1"/>
  <c r="I2435" i="1"/>
  <c r="H2435" i="1"/>
  <c r="G2435" i="1"/>
  <c r="F2435" i="1"/>
  <c r="E2435" i="1"/>
  <c r="D2435" i="1"/>
  <c r="C2435" i="1"/>
  <c r="I2434" i="1"/>
  <c r="H2434" i="1"/>
  <c r="G2434" i="1"/>
  <c r="F2434" i="1"/>
  <c r="E2434" i="1"/>
  <c r="D2434" i="1"/>
  <c r="C2434" i="1"/>
  <c r="I2433" i="1"/>
  <c r="H2433" i="1"/>
  <c r="G2433" i="1"/>
  <c r="F2433" i="1"/>
  <c r="E2433" i="1"/>
  <c r="D2433" i="1"/>
  <c r="C2433" i="1"/>
  <c r="I2432" i="1"/>
  <c r="H2432" i="1"/>
  <c r="G2432" i="1"/>
  <c r="F2432" i="1"/>
  <c r="E2432" i="1"/>
  <c r="D2432" i="1"/>
  <c r="C2432" i="1"/>
  <c r="I2431" i="1"/>
  <c r="H2431" i="1"/>
  <c r="G2431" i="1"/>
  <c r="F2431" i="1"/>
  <c r="E2431" i="1"/>
  <c r="D2431" i="1"/>
  <c r="C2431" i="1"/>
  <c r="I2430" i="1"/>
  <c r="H2430" i="1"/>
  <c r="G2430" i="1"/>
  <c r="F2430" i="1"/>
  <c r="E2430" i="1"/>
  <c r="D2430" i="1"/>
  <c r="C2430" i="1"/>
  <c r="I2429" i="1"/>
  <c r="H2429" i="1"/>
  <c r="G2429" i="1"/>
  <c r="F2429" i="1"/>
  <c r="E2429" i="1"/>
  <c r="D2429" i="1"/>
  <c r="C2429" i="1"/>
  <c r="I2428" i="1"/>
  <c r="H2428" i="1"/>
  <c r="G2428" i="1"/>
  <c r="F2428" i="1"/>
  <c r="E2428" i="1"/>
  <c r="D2428" i="1"/>
  <c r="C2428" i="1"/>
  <c r="I2427" i="1"/>
  <c r="H2427" i="1"/>
  <c r="G2427" i="1"/>
  <c r="F2427" i="1"/>
  <c r="E2427" i="1"/>
  <c r="D2427" i="1"/>
  <c r="C2427" i="1"/>
  <c r="I2426" i="1"/>
  <c r="H2426" i="1"/>
  <c r="G2426" i="1"/>
  <c r="F2426" i="1"/>
  <c r="E2426" i="1"/>
  <c r="D2426" i="1"/>
  <c r="C2426" i="1"/>
  <c r="I2425" i="1"/>
  <c r="H2425" i="1"/>
  <c r="G2425" i="1"/>
  <c r="F2425" i="1"/>
  <c r="E2425" i="1"/>
  <c r="D2425" i="1"/>
  <c r="C2425" i="1"/>
  <c r="I2424" i="1"/>
  <c r="H2424" i="1"/>
  <c r="G2424" i="1"/>
  <c r="F2424" i="1"/>
  <c r="E2424" i="1"/>
  <c r="D2424" i="1"/>
  <c r="C2424" i="1"/>
  <c r="I2423" i="1"/>
  <c r="H2423" i="1"/>
  <c r="G2423" i="1"/>
  <c r="F2423" i="1"/>
  <c r="E2423" i="1"/>
  <c r="D2423" i="1"/>
  <c r="C2423" i="1"/>
  <c r="I2422" i="1"/>
  <c r="H2422" i="1"/>
  <c r="G2422" i="1"/>
  <c r="F2422" i="1"/>
  <c r="E2422" i="1"/>
  <c r="D2422" i="1"/>
  <c r="C2422" i="1"/>
  <c r="I2421" i="1"/>
  <c r="H2421" i="1"/>
  <c r="G2421" i="1"/>
  <c r="F2421" i="1"/>
  <c r="E2421" i="1"/>
  <c r="D2421" i="1"/>
  <c r="C2421" i="1"/>
  <c r="I2420" i="1"/>
  <c r="H2420" i="1"/>
  <c r="G2420" i="1"/>
  <c r="F2420" i="1"/>
  <c r="E2420" i="1"/>
  <c r="D2420" i="1"/>
  <c r="C2420" i="1"/>
  <c r="I2419" i="1"/>
  <c r="H2419" i="1"/>
  <c r="G2419" i="1"/>
  <c r="F2419" i="1"/>
  <c r="E2419" i="1"/>
  <c r="D2419" i="1"/>
  <c r="C2419" i="1"/>
  <c r="I2418" i="1"/>
  <c r="H2418" i="1"/>
  <c r="G2418" i="1"/>
  <c r="F2418" i="1"/>
  <c r="E2418" i="1"/>
  <c r="D2418" i="1"/>
  <c r="C2418" i="1"/>
  <c r="I2417" i="1"/>
  <c r="H2417" i="1"/>
  <c r="G2417" i="1"/>
  <c r="F2417" i="1"/>
  <c r="E2417" i="1"/>
  <c r="D2417" i="1"/>
  <c r="C2417" i="1"/>
  <c r="I2416" i="1"/>
  <c r="H2416" i="1"/>
  <c r="G2416" i="1"/>
  <c r="F2416" i="1"/>
  <c r="E2416" i="1"/>
  <c r="D2416" i="1"/>
  <c r="C2416" i="1"/>
  <c r="I2415" i="1"/>
  <c r="H2415" i="1"/>
  <c r="G2415" i="1"/>
  <c r="F2415" i="1"/>
  <c r="E2415" i="1"/>
  <c r="D2415" i="1"/>
  <c r="C2415" i="1"/>
  <c r="I2414" i="1"/>
  <c r="H2414" i="1"/>
  <c r="G2414" i="1"/>
  <c r="F2414" i="1"/>
  <c r="E2414" i="1"/>
  <c r="D2414" i="1"/>
  <c r="C2414" i="1"/>
  <c r="I2413" i="1"/>
  <c r="H2413" i="1"/>
  <c r="G2413" i="1"/>
  <c r="F2413" i="1"/>
  <c r="E2413" i="1"/>
  <c r="D2413" i="1"/>
  <c r="C2413" i="1"/>
  <c r="I2412" i="1"/>
  <c r="H2412" i="1"/>
  <c r="G2412" i="1"/>
  <c r="F2412" i="1"/>
  <c r="E2412" i="1"/>
  <c r="D2412" i="1"/>
  <c r="C2412" i="1"/>
  <c r="I2411" i="1"/>
  <c r="H2411" i="1"/>
  <c r="G2411" i="1"/>
  <c r="F2411" i="1"/>
  <c r="E2411" i="1"/>
  <c r="D2411" i="1"/>
  <c r="C2411" i="1"/>
  <c r="I2410" i="1"/>
  <c r="H2410" i="1"/>
  <c r="G2410" i="1"/>
  <c r="F2410" i="1"/>
  <c r="E2410" i="1"/>
  <c r="D2410" i="1"/>
  <c r="C2410" i="1"/>
  <c r="I2409" i="1"/>
  <c r="H2409" i="1"/>
  <c r="G2409" i="1"/>
  <c r="F2409" i="1"/>
  <c r="E2409" i="1"/>
  <c r="D2409" i="1"/>
  <c r="C2409" i="1"/>
  <c r="I2408" i="1"/>
  <c r="H2408" i="1"/>
  <c r="G2408" i="1"/>
  <c r="F2408" i="1"/>
  <c r="E2408" i="1"/>
  <c r="D2408" i="1"/>
  <c r="C2408" i="1"/>
  <c r="I2407" i="1"/>
  <c r="H2407" i="1"/>
  <c r="G2407" i="1"/>
  <c r="F2407" i="1"/>
  <c r="E2407" i="1"/>
  <c r="D2407" i="1"/>
  <c r="C2407" i="1"/>
  <c r="I2406" i="1"/>
  <c r="H2406" i="1"/>
  <c r="G2406" i="1"/>
  <c r="F2406" i="1"/>
  <c r="E2406" i="1"/>
  <c r="D2406" i="1"/>
  <c r="C2406" i="1"/>
  <c r="I2405" i="1"/>
  <c r="H2405" i="1"/>
  <c r="G2405" i="1"/>
  <c r="F2405" i="1"/>
  <c r="E2405" i="1"/>
  <c r="D2405" i="1"/>
  <c r="C2405" i="1"/>
  <c r="I2404" i="1"/>
  <c r="H2404" i="1"/>
  <c r="G2404" i="1"/>
  <c r="F2404" i="1"/>
  <c r="E2404" i="1"/>
  <c r="D2404" i="1"/>
  <c r="C2404" i="1"/>
  <c r="I2403" i="1"/>
  <c r="H2403" i="1"/>
  <c r="G2403" i="1"/>
  <c r="F2403" i="1"/>
  <c r="E2403" i="1"/>
  <c r="D2403" i="1"/>
  <c r="C2403" i="1"/>
  <c r="I2402" i="1"/>
  <c r="H2402" i="1"/>
  <c r="G2402" i="1"/>
  <c r="F2402" i="1"/>
  <c r="E2402" i="1"/>
  <c r="D2402" i="1"/>
  <c r="C2402" i="1"/>
  <c r="I2401" i="1"/>
  <c r="H2401" i="1"/>
  <c r="G2401" i="1"/>
  <c r="F2401" i="1"/>
  <c r="E2401" i="1"/>
  <c r="D2401" i="1"/>
  <c r="C2401" i="1"/>
  <c r="I2400" i="1"/>
  <c r="H2400" i="1"/>
  <c r="G2400" i="1"/>
  <c r="F2400" i="1"/>
  <c r="E2400" i="1"/>
  <c r="D2400" i="1"/>
  <c r="C2400" i="1"/>
  <c r="I2399" i="1"/>
  <c r="H2399" i="1"/>
  <c r="G2399" i="1"/>
  <c r="F2399" i="1"/>
  <c r="E2399" i="1"/>
  <c r="D2399" i="1"/>
  <c r="C2399" i="1"/>
  <c r="I2398" i="1"/>
  <c r="H2398" i="1"/>
  <c r="G2398" i="1"/>
  <c r="F2398" i="1"/>
  <c r="E2398" i="1"/>
  <c r="D2398" i="1"/>
  <c r="C2398" i="1"/>
  <c r="I2397" i="1"/>
  <c r="H2397" i="1"/>
  <c r="G2397" i="1"/>
  <c r="F2397" i="1"/>
  <c r="E2397" i="1"/>
  <c r="D2397" i="1"/>
  <c r="C2397" i="1"/>
  <c r="I2396" i="1"/>
  <c r="H2396" i="1"/>
  <c r="G2396" i="1"/>
  <c r="F2396" i="1"/>
  <c r="E2396" i="1"/>
  <c r="D2396" i="1"/>
  <c r="C2396" i="1"/>
  <c r="I2395" i="1"/>
  <c r="H2395" i="1"/>
  <c r="G2395" i="1"/>
  <c r="F2395" i="1"/>
  <c r="E2395" i="1"/>
  <c r="D2395" i="1"/>
  <c r="C2395" i="1"/>
  <c r="I2394" i="1"/>
  <c r="H2394" i="1"/>
  <c r="G2394" i="1"/>
  <c r="F2394" i="1"/>
  <c r="E2394" i="1"/>
  <c r="D2394" i="1"/>
  <c r="C2394" i="1"/>
  <c r="I2393" i="1"/>
  <c r="H2393" i="1"/>
  <c r="G2393" i="1"/>
  <c r="F2393" i="1"/>
  <c r="E2393" i="1"/>
  <c r="D2393" i="1"/>
  <c r="C2393" i="1"/>
  <c r="I2392" i="1"/>
  <c r="H2392" i="1"/>
  <c r="G2392" i="1"/>
  <c r="F2392" i="1"/>
  <c r="E2392" i="1"/>
  <c r="D2392" i="1"/>
  <c r="C2392" i="1"/>
  <c r="I2391" i="1"/>
  <c r="H2391" i="1"/>
  <c r="G2391" i="1"/>
  <c r="F2391" i="1"/>
  <c r="E2391" i="1"/>
  <c r="D2391" i="1"/>
  <c r="C2391" i="1"/>
  <c r="I2390" i="1"/>
  <c r="H2390" i="1"/>
  <c r="G2390" i="1"/>
  <c r="F2390" i="1"/>
  <c r="E2390" i="1"/>
  <c r="D2390" i="1"/>
  <c r="C2390" i="1"/>
  <c r="I2389" i="1"/>
  <c r="H2389" i="1"/>
  <c r="G2389" i="1"/>
  <c r="F2389" i="1"/>
  <c r="E2389" i="1"/>
  <c r="D2389" i="1"/>
  <c r="C2389" i="1"/>
  <c r="I2388" i="1"/>
  <c r="H2388" i="1"/>
  <c r="G2388" i="1"/>
  <c r="F2388" i="1"/>
  <c r="E2388" i="1"/>
  <c r="D2388" i="1"/>
  <c r="C2388" i="1"/>
  <c r="I2387" i="1"/>
  <c r="H2387" i="1"/>
  <c r="G2387" i="1"/>
  <c r="F2387" i="1"/>
  <c r="E2387" i="1"/>
  <c r="D2387" i="1"/>
  <c r="C2387" i="1"/>
  <c r="I2386" i="1"/>
  <c r="H2386" i="1"/>
  <c r="G2386" i="1"/>
  <c r="F2386" i="1"/>
  <c r="E2386" i="1"/>
  <c r="D2386" i="1"/>
  <c r="C2386" i="1"/>
  <c r="I2385" i="1"/>
  <c r="H2385" i="1"/>
  <c r="G2385" i="1"/>
  <c r="F2385" i="1"/>
  <c r="E2385" i="1"/>
  <c r="D2385" i="1"/>
  <c r="C2385" i="1"/>
  <c r="I2384" i="1"/>
  <c r="H2384" i="1"/>
  <c r="G2384" i="1"/>
  <c r="F2384" i="1"/>
  <c r="E2384" i="1"/>
  <c r="D2384" i="1"/>
  <c r="C2384" i="1"/>
  <c r="I2383" i="1"/>
  <c r="H2383" i="1"/>
  <c r="G2383" i="1"/>
  <c r="F2383" i="1"/>
  <c r="E2383" i="1"/>
  <c r="D2383" i="1"/>
  <c r="C2383" i="1"/>
  <c r="I2382" i="1"/>
  <c r="H2382" i="1"/>
  <c r="G2382" i="1"/>
  <c r="F2382" i="1"/>
  <c r="E2382" i="1"/>
  <c r="D2382" i="1"/>
  <c r="C2382" i="1"/>
  <c r="I2381" i="1"/>
  <c r="H2381" i="1"/>
  <c r="G2381" i="1"/>
  <c r="F2381" i="1"/>
  <c r="E2381" i="1"/>
  <c r="D2381" i="1"/>
  <c r="C2381" i="1"/>
  <c r="I2380" i="1"/>
  <c r="H2380" i="1"/>
  <c r="G2380" i="1"/>
  <c r="F2380" i="1"/>
  <c r="E2380" i="1"/>
  <c r="D2380" i="1"/>
  <c r="C2380" i="1"/>
  <c r="I2379" i="1"/>
  <c r="H2379" i="1"/>
  <c r="G2379" i="1"/>
  <c r="F2379" i="1"/>
  <c r="E2379" i="1"/>
  <c r="D2379" i="1"/>
  <c r="C2379" i="1"/>
  <c r="I2378" i="1"/>
  <c r="H2378" i="1"/>
  <c r="G2378" i="1"/>
  <c r="F2378" i="1"/>
  <c r="E2378" i="1"/>
  <c r="D2378" i="1"/>
  <c r="C2378" i="1"/>
  <c r="I2377" i="1"/>
  <c r="H2377" i="1"/>
  <c r="G2377" i="1"/>
  <c r="F2377" i="1"/>
  <c r="E2377" i="1"/>
  <c r="D2377" i="1"/>
  <c r="C2377" i="1"/>
  <c r="I2376" i="1"/>
  <c r="H2376" i="1"/>
  <c r="G2376" i="1"/>
  <c r="F2376" i="1"/>
  <c r="E2376" i="1"/>
  <c r="D2376" i="1"/>
  <c r="C2376" i="1"/>
  <c r="I2375" i="1"/>
  <c r="H2375" i="1"/>
  <c r="G2375" i="1"/>
  <c r="F2375" i="1"/>
  <c r="E2375" i="1"/>
  <c r="D2375" i="1"/>
  <c r="C2375" i="1"/>
  <c r="I2374" i="1"/>
  <c r="H2374" i="1"/>
  <c r="G2374" i="1"/>
  <c r="F2374" i="1"/>
  <c r="E2374" i="1"/>
  <c r="D2374" i="1"/>
  <c r="C2374" i="1"/>
  <c r="I2373" i="1"/>
  <c r="H2373" i="1"/>
  <c r="G2373" i="1"/>
  <c r="F2373" i="1"/>
  <c r="E2373" i="1"/>
  <c r="D2373" i="1"/>
  <c r="C2373" i="1"/>
  <c r="I2372" i="1"/>
  <c r="H2372" i="1"/>
  <c r="G2372" i="1"/>
  <c r="F2372" i="1"/>
  <c r="E2372" i="1"/>
  <c r="D2372" i="1"/>
  <c r="C2372" i="1"/>
  <c r="I2371" i="1"/>
  <c r="H2371" i="1"/>
  <c r="G2371" i="1"/>
  <c r="F2371" i="1"/>
  <c r="E2371" i="1"/>
  <c r="D2371" i="1"/>
  <c r="C2371" i="1"/>
  <c r="I2370" i="1"/>
  <c r="H2370" i="1"/>
  <c r="G2370" i="1"/>
  <c r="F2370" i="1"/>
  <c r="E2370" i="1"/>
  <c r="D2370" i="1"/>
  <c r="C2370" i="1"/>
  <c r="I2369" i="1"/>
  <c r="H2369" i="1"/>
  <c r="G2369" i="1"/>
  <c r="F2369" i="1"/>
  <c r="E2369" i="1"/>
  <c r="D2369" i="1"/>
  <c r="C2369" i="1"/>
  <c r="I2368" i="1"/>
  <c r="H2368" i="1"/>
  <c r="G2368" i="1"/>
  <c r="F2368" i="1"/>
  <c r="E2368" i="1"/>
  <c r="D2368" i="1"/>
  <c r="C2368" i="1"/>
  <c r="I2367" i="1"/>
  <c r="H2367" i="1"/>
  <c r="G2367" i="1"/>
  <c r="F2367" i="1"/>
  <c r="E2367" i="1"/>
  <c r="D2367" i="1"/>
  <c r="C2367" i="1"/>
  <c r="I2366" i="1"/>
  <c r="H2366" i="1"/>
  <c r="G2366" i="1"/>
  <c r="F2366" i="1"/>
  <c r="E2366" i="1"/>
  <c r="D2366" i="1"/>
  <c r="C2366" i="1"/>
  <c r="I2365" i="1"/>
  <c r="H2365" i="1"/>
  <c r="G2365" i="1"/>
  <c r="F2365" i="1"/>
  <c r="E2365" i="1"/>
  <c r="D2365" i="1"/>
  <c r="C2365" i="1"/>
  <c r="I2364" i="1"/>
  <c r="H2364" i="1"/>
  <c r="G2364" i="1"/>
  <c r="F2364" i="1"/>
  <c r="E2364" i="1"/>
  <c r="D2364" i="1"/>
  <c r="C2364" i="1"/>
  <c r="I2363" i="1"/>
  <c r="H2363" i="1"/>
  <c r="G2363" i="1"/>
  <c r="F2363" i="1"/>
  <c r="E2363" i="1"/>
  <c r="D2363" i="1"/>
  <c r="C2363" i="1"/>
  <c r="I2362" i="1"/>
  <c r="H2362" i="1"/>
  <c r="G2362" i="1"/>
  <c r="F2362" i="1"/>
  <c r="E2362" i="1"/>
  <c r="D2362" i="1"/>
  <c r="C2362" i="1"/>
  <c r="I2361" i="1"/>
  <c r="H2361" i="1"/>
  <c r="G2361" i="1"/>
  <c r="F2361" i="1"/>
  <c r="E2361" i="1"/>
  <c r="D2361" i="1"/>
  <c r="C2361" i="1"/>
  <c r="I2360" i="1"/>
  <c r="H2360" i="1"/>
  <c r="G2360" i="1"/>
  <c r="F2360" i="1"/>
  <c r="E2360" i="1"/>
  <c r="D2360" i="1"/>
  <c r="C2360" i="1"/>
  <c r="I2359" i="1"/>
  <c r="H2359" i="1"/>
  <c r="G2359" i="1"/>
  <c r="F2359" i="1"/>
  <c r="E2359" i="1"/>
  <c r="D2359" i="1"/>
  <c r="C2359" i="1"/>
  <c r="I2358" i="1"/>
  <c r="H2358" i="1"/>
  <c r="G2358" i="1"/>
  <c r="F2358" i="1"/>
  <c r="E2358" i="1"/>
  <c r="D2358" i="1"/>
  <c r="C2358" i="1"/>
  <c r="I2357" i="1"/>
  <c r="H2357" i="1"/>
  <c r="G2357" i="1"/>
  <c r="F2357" i="1"/>
  <c r="E2357" i="1"/>
  <c r="D2357" i="1"/>
  <c r="C2357" i="1"/>
  <c r="I2356" i="1"/>
  <c r="H2356" i="1"/>
  <c r="G2356" i="1"/>
  <c r="F2356" i="1"/>
  <c r="E2356" i="1"/>
  <c r="D2356" i="1"/>
  <c r="C2356" i="1"/>
  <c r="I2355" i="1"/>
  <c r="H2355" i="1"/>
  <c r="G2355" i="1"/>
  <c r="F2355" i="1"/>
  <c r="E2355" i="1"/>
  <c r="D2355" i="1"/>
  <c r="C2355" i="1"/>
  <c r="I2354" i="1"/>
  <c r="H2354" i="1"/>
  <c r="G2354" i="1"/>
  <c r="F2354" i="1"/>
  <c r="E2354" i="1"/>
  <c r="D2354" i="1"/>
  <c r="C2354" i="1"/>
  <c r="I2353" i="1"/>
  <c r="H2353" i="1"/>
  <c r="G2353" i="1"/>
  <c r="F2353" i="1"/>
  <c r="E2353" i="1"/>
  <c r="D2353" i="1"/>
  <c r="C2353" i="1"/>
  <c r="I2352" i="1"/>
  <c r="H2352" i="1"/>
  <c r="G2352" i="1"/>
  <c r="F2352" i="1"/>
  <c r="E2352" i="1"/>
  <c r="D2352" i="1"/>
  <c r="C2352" i="1"/>
  <c r="I2351" i="1"/>
  <c r="H2351" i="1"/>
  <c r="G2351" i="1"/>
  <c r="F2351" i="1"/>
  <c r="E2351" i="1"/>
  <c r="D2351" i="1"/>
  <c r="C2351" i="1"/>
  <c r="I2350" i="1"/>
  <c r="H2350" i="1"/>
  <c r="G2350" i="1"/>
  <c r="F2350" i="1"/>
  <c r="E2350" i="1"/>
  <c r="D2350" i="1"/>
  <c r="C2350" i="1"/>
  <c r="I2349" i="1"/>
  <c r="H2349" i="1"/>
  <c r="G2349" i="1"/>
  <c r="F2349" i="1"/>
  <c r="E2349" i="1"/>
  <c r="D2349" i="1"/>
  <c r="C2349" i="1"/>
  <c r="I2348" i="1"/>
  <c r="H2348" i="1"/>
  <c r="G2348" i="1"/>
  <c r="F2348" i="1"/>
  <c r="E2348" i="1"/>
  <c r="D2348" i="1"/>
  <c r="C2348" i="1"/>
  <c r="I2347" i="1"/>
  <c r="H2347" i="1"/>
  <c r="G2347" i="1"/>
  <c r="F2347" i="1"/>
  <c r="E2347" i="1"/>
  <c r="D2347" i="1"/>
  <c r="C2347" i="1"/>
  <c r="I2346" i="1"/>
  <c r="H2346" i="1"/>
  <c r="G2346" i="1"/>
  <c r="F2346" i="1"/>
  <c r="E2346" i="1"/>
  <c r="D2346" i="1"/>
  <c r="C2346" i="1"/>
  <c r="I2345" i="1"/>
  <c r="H2345" i="1"/>
  <c r="G2345" i="1"/>
  <c r="F2345" i="1"/>
  <c r="E2345" i="1"/>
  <c r="D2345" i="1"/>
  <c r="C2345" i="1"/>
  <c r="I2344" i="1"/>
  <c r="H2344" i="1"/>
  <c r="G2344" i="1"/>
  <c r="F2344" i="1"/>
  <c r="E2344" i="1"/>
  <c r="D2344" i="1"/>
  <c r="C2344" i="1"/>
  <c r="I2343" i="1"/>
  <c r="H2343" i="1"/>
  <c r="G2343" i="1"/>
  <c r="F2343" i="1"/>
  <c r="E2343" i="1"/>
  <c r="D2343" i="1"/>
  <c r="C2343" i="1"/>
  <c r="I2342" i="1"/>
  <c r="H2342" i="1"/>
  <c r="G2342" i="1"/>
  <c r="F2342" i="1"/>
  <c r="E2342" i="1"/>
  <c r="D2342" i="1"/>
  <c r="C2342" i="1"/>
  <c r="I2341" i="1"/>
  <c r="H2341" i="1"/>
  <c r="G2341" i="1"/>
  <c r="F2341" i="1"/>
  <c r="E2341" i="1"/>
  <c r="D2341" i="1"/>
  <c r="C2341" i="1"/>
  <c r="I2340" i="1"/>
  <c r="H2340" i="1"/>
  <c r="G2340" i="1"/>
  <c r="F2340" i="1"/>
  <c r="E2340" i="1"/>
  <c r="D2340" i="1"/>
  <c r="C2340" i="1"/>
  <c r="I2339" i="1"/>
  <c r="H2339" i="1"/>
  <c r="G2339" i="1"/>
  <c r="F2339" i="1"/>
  <c r="E2339" i="1"/>
  <c r="D2339" i="1"/>
  <c r="C2339" i="1"/>
  <c r="I2338" i="1"/>
  <c r="H2338" i="1"/>
  <c r="G2338" i="1"/>
  <c r="F2338" i="1"/>
  <c r="E2338" i="1"/>
  <c r="D2338" i="1"/>
  <c r="C2338" i="1"/>
  <c r="I2337" i="1"/>
  <c r="H2337" i="1"/>
  <c r="G2337" i="1"/>
  <c r="F2337" i="1"/>
  <c r="E2337" i="1"/>
  <c r="D2337" i="1"/>
  <c r="C2337" i="1"/>
  <c r="I2336" i="1"/>
  <c r="H2336" i="1"/>
  <c r="G2336" i="1"/>
  <c r="F2336" i="1"/>
  <c r="E2336" i="1"/>
  <c r="D2336" i="1"/>
  <c r="C2336" i="1"/>
  <c r="I2335" i="1"/>
  <c r="H2335" i="1"/>
  <c r="G2335" i="1"/>
  <c r="F2335" i="1"/>
  <c r="E2335" i="1"/>
  <c r="D2335" i="1"/>
  <c r="C2335" i="1"/>
  <c r="I2334" i="1"/>
  <c r="H2334" i="1"/>
  <c r="G2334" i="1"/>
  <c r="F2334" i="1"/>
  <c r="E2334" i="1"/>
  <c r="D2334" i="1"/>
  <c r="C2334" i="1"/>
  <c r="I2333" i="1"/>
  <c r="H2333" i="1"/>
  <c r="G2333" i="1"/>
  <c r="F2333" i="1"/>
  <c r="E2333" i="1"/>
  <c r="D2333" i="1"/>
  <c r="C2333" i="1"/>
  <c r="I2332" i="1"/>
  <c r="H2332" i="1"/>
  <c r="G2332" i="1"/>
  <c r="F2332" i="1"/>
  <c r="E2332" i="1"/>
  <c r="D2332" i="1"/>
  <c r="C2332" i="1"/>
  <c r="I2331" i="1"/>
  <c r="H2331" i="1"/>
  <c r="G2331" i="1"/>
  <c r="F2331" i="1"/>
  <c r="E2331" i="1"/>
  <c r="D2331" i="1"/>
  <c r="C2331" i="1"/>
  <c r="I2330" i="1"/>
  <c r="H2330" i="1"/>
  <c r="G2330" i="1"/>
  <c r="F2330" i="1"/>
  <c r="E2330" i="1"/>
  <c r="D2330" i="1"/>
  <c r="C2330" i="1"/>
  <c r="I2329" i="1"/>
  <c r="H2329" i="1"/>
  <c r="G2329" i="1"/>
  <c r="F2329" i="1"/>
  <c r="E2329" i="1"/>
  <c r="D2329" i="1"/>
  <c r="C2329" i="1"/>
  <c r="I2328" i="1"/>
  <c r="H2328" i="1"/>
  <c r="G2328" i="1"/>
  <c r="F2328" i="1"/>
  <c r="E2328" i="1"/>
  <c r="D2328" i="1"/>
  <c r="C2328" i="1"/>
  <c r="I2327" i="1"/>
  <c r="H2327" i="1"/>
  <c r="G2327" i="1"/>
  <c r="F2327" i="1"/>
  <c r="E2327" i="1"/>
  <c r="D2327" i="1"/>
  <c r="C2327" i="1"/>
  <c r="I2326" i="1"/>
  <c r="H2326" i="1"/>
  <c r="G2326" i="1"/>
  <c r="F2326" i="1"/>
  <c r="E2326" i="1"/>
  <c r="D2326" i="1"/>
  <c r="C2326" i="1"/>
  <c r="I2325" i="1"/>
  <c r="H2325" i="1"/>
  <c r="G2325" i="1"/>
  <c r="F2325" i="1"/>
  <c r="E2325" i="1"/>
  <c r="D2325" i="1"/>
  <c r="C2325" i="1"/>
  <c r="I2324" i="1"/>
  <c r="H2324" i="1"/>
  <c r="G2324" i="1"/>
  <c r="F2324" i="1"/>
  <c r="E2324" i="1"/>
  <c r="D2324" i="1"/>
  <c r="C2324" i="1"/>
  <c r="I2323" i="1"/>
  <c r="H2323" i="1"/>
  <c r="G2323" i="1"/>
  <c r="F2323" i="1"/>
  <c r="E2323" i="1"/>
  <c r="D2323" i="1"/>
  <c r="C2323" i="1"/>
  <c r="I2322" i="1"/>
  <c r="H2322" i="1"/>
  <c r="G2322" i="1"/>
  <c r="F2322" i="1"/>
  <c r="E2322" i="1"/>
  <c r="D2322" i="1"/>
  <c r="C2322" i="1"/>
  <c r="I2321" i="1"/>
  <c r="H2321" i="1"/>
  <c r="G2321" i="1"/>
  <c r="F2321" i="1"/>
  <c r="E2321" i="1"/>
  <c r="D2321" i="1"/>
  <c r="C2321" i="1"/>
  <c r="I2320" i="1"/>
  <c r="H2320" i="1"/>
  <c r="G2320" i="1"/>
  <c r="F2320" i="1"/>
  <c r="E2320" i="1"/>
  <c r="D2320" i="1"/>
  <c r="C2320" i="1"/>
  <c r="I2319" i="1"/>
  <c r="H2319" i="1"/>
  <c r="G2319" i="1"/>
  <c r="F2319" i="1"/>
  <c r="E2319" i="1"/>
  <c r="D2319" i="1"/>
  <c r="C2319" i="1"/>
  <c r="I2318" i="1"/>
  <c r="H2318" i="1"/>
  <c r="G2318" i="1"/>
  <c r="F2318" i="1"/>
  <c r="E2318" i="1"/>
  <c r="D2318" i="1"/>
  <c r="C2318" i="1"/>
  <c r="I2317" i="1"/>
  <c r="H2317" i="1"/>
  <c r="G2317" i="1"/>
  <c r="F2317" i="1"/>
  <c r="E2317" i="1"/>
  <c r="D2317" i="1"/>
  <c r="C2317" i="1"/>
  <c r="I2316" i="1"/>
  <c r="H2316" i="1"/>
  <c r="G2316" i="1"/>
  <c r="F2316" i="1"/>
  <c r="E2316" i="1"/>
  <c r="D2316" i="1"/>
  <c r="C2316" i="1"/>
  <c r="I2315" i="1"/>
  <c r="H2315" i="1"/>
  <c r="G2315" i="1"/>
  <c r="F2315" i="1"/>
  <c r="E2315" i="1"/>
  <c r="D2315" i="1"/>
  <c r="C2315" i="1"/>
  <c r="I2314" i="1"/>
  <c r="H2314" i="1"/>
  <c r="G2314" i="1"/>
  <c r="F2314" i="1"/>
  <c r="E2314" i="1"/>
  <c r="D2314" i="1"/>
  <c r="C2314" i="1"/>
  <c r="I2313" i="1"/>
  <c r="H2313" i="1"/>
  <c r="G2313" i="1"/>
  <c r="F2313" i="1"/>
  <c r="E2313" i="1"/>
  <c r="D2313" i="1"/>
  <c r="C2313" i="1"/>
  <c r="I2312" i="1"/>
  <c r="H2312" i="1"/>
  <c r="G2312" i="1"/>
  <c r="F2312" i="1"/>
  <c r="E2312" i="1"/>
  <c r="D2312" i="1"/>
  <c r="C2312" i="1"/>
  <c r="I2311" i="1"/>
  <c r="H2311" i="1"/>
  <c r="G2311" i="1"/>
  <c r="F2311" i="1"/>
  <c r="E2311" i="1"/>
  <c r="D2311" i="1"/>
  <c r="C2311" i="1"/>
  <c r="I2310" i="1"/>
  <c r="H2310" i="1"/>
  <c r="G2310" i="1"/>
  <c r="F2310" i="1"/>
  <c r="E2310" i="1"/>
  <c r="D2310" i="1"/>
  <c r="C2310" i="1"/>
  <c r="I2309" i="1"/>
  <c r="H2309" i="1"/>
  <c r="G2309" i="1"/>
  <c r="F2309" i="1"/>
  <c r="E2309" i="1"/>
  <c r="D2309" i="1"/>
  <c r="C2309" i="1"/>
  <c r="I2308" i="1"/>
  <c r="H2308" i="1"/>
  <c r="G2308" i="1"/>
  <c r="F2308" i="1"/>
  <c r="E2308" i="1"/>
  <c r="D2308" i="1"/>
  <c r="C2308" i="1"/>
  <c r="I2307" i="1"/>
  <c r="H2307" i="1"/>
  <c r="G2307" i="1"/>
  <c r="F2307" i="1"/>
  <c r="E2307" i="1"/>
  <c r="D2307" i="1"/>
  <c r="C2307" i="1"/>
  <c r="I2306" i="1"/>
  <c r="H2306" i="1"/>
  <c r="G2306" i="1"/>
  <c r="F2306" i="1"/>
  <c r="E2306" i="1"/>
  <c r="D2306" i="1"/>
  <c r="C2306" i="1"/>
  <c r="I2305" i="1"/>
  <c r="H2305" i="1"/>
  <c r="G2305" i="1"/>
  <c r="F2305" i="1"/>
  <c r="E2305" i="1"/>
  <c r="D2305" i="1"/>
  <c r="C2305" i="1"/>
  <c r="I2304" i="1"/>
  <c r="H2304" i="1"/>
  <c r="G2304" i="1"/>
  <c r="F2304" i="1"/>
  <c r="E2304" i="1"/>
  <c r="D2304" i="1"/>
  <c r="C2304" i="1"/>
  <c r="I2303" i="1"/>
  <c r="H2303" i="1"/>
  <c r="G2303" i="1"/>
  <c r="F2303" i="1"/>
  <c r="E2303" i="1"/>
  <c r="D2303" i="1"/>
  <c r="C2303" i="1"/>
  <c r="I2302" i="1"/>
  <c r="H2302" i="1"/>
  <c r="G2302" i="1"/>
  <c r="F2302" i="1"/>
  <c r="E2302" i="1"/>
  <c r="D2302" i="1"/>
  <c r="C2302" i="1"/>
  <c r="I2301" i="1"/>
  <c r="H2301" i="1"/>
  <c r="G2301" i="1"/>
  <c r="F2301" i="1"/>
  <c r="E2301" i="1"/>
  <c r="D2301" i="1"/>
  <c r="C2301" i="1"/>
  <c r="I2300" i="1"/>
  <c r="H2300" i="1"/>
  <c r="G2300" i="1"/>
  <c r="F2300" i="1"/>
  <c r="E2300" i="1"/>
  <c r="D2300" i="1"/>
  <c r="C2300" i="1"/>
  <c r="I2299" i="1"/>
  <c r="H2299" i="1"/>
  <c r="G2299" i="1"/>
  <c r="F2299" i="1"/>
  <c r="E2299" i="1"/>
  <c r="D2299" i="1"/>
  <c r="C2299" i="1"/>
  <c r="I2298" i="1"/>
  <c r="H2298" i="1"/>
  <c r="G2298" i="1"/>
  <c r="F2298" i="1"/>
  <c r="E2298" i="1"/>
  <c r="D2298" i="1"/>
  <c r="C2298" i="1"/>
  <c r="I2297" i="1"/>
  <c r="H2297" i="1"/>
  <c r="G2297" i="1"/>
  <c r="F2297" i="1"/>
  <c r="E2297" i="1"/>
  <c r="D2297" i="1"/>
  <c r="C2297" i="1"/>
  <c r="I2296" i="1"/>
  <c r="H2296" i="1"/>
  <c r="G2296" i="1"/>
  <c r="F2296" i="1"/>
  <c r="E2296" i="1"/>
  <c r="D2296" i="1"/>
  <c r="C2296" i="1"/>
  <c r="I2295" i="1"/>
  <c r="H2295" i="1"/>
  <c r="G2295" i="1"/>
  <c r="F2295" i="1"/>
  <c r="E2295" i="1"/>
  <c r="D2295" i="1"/>
  <c r="C2295" i="1"/>
  <c r="I2294" i="1"/>
  <c r="H2294" i="1"/>
  <c r="G2294" i="1"/>
  <c r="F2294" i="1"/>
  <c r="E2294" i="1"/>
  <c r="D2294" i="1"/>
  <c r="C2294" i="1"/>
  <c r="I2293" i="1"/>
  <c r="H2293" i="1"/>
  <c r="G2293" i="1"/>
  <c r="F2293" i="1"/>
  <c r="E2293" i="1"/>
  <c r="D2293" i="1"/>
  <c r="C2293" i="1"/>
  <c r="I2292" i="1"/>
  <c r="H2292" i="1"/>
  <c r="G2292" i="1"/>
  <c r="F2292" i="1"/>
  <c r="E2292" i="1"/>
  <c r="D2292" i="1"/>
  <c r="C2292" i="1"/>
  <c r="I2291" i="1"/>
  <c r="H2291" i="1"/>
  <c r="G2291" i="1"/>
  <c r="F2291" i="1"/>
  <c r="E2291" i="1"/>
  <c r="D2291" i="1"/>
  <c r="C2291" i="1"/>
  <c r="I2290" i="1"/>
  <c r="H2290" i="1"/>
  <c r="G2290" i="1"/>
  <c r="F2290" i="1"/>
  <c r="E2290" i="1"/>
  <c r="D2290" i="1"/>
  <c r="C2290" i="1"/>
  <c r="I2289" i="1"/>
  <c r="H2289" i="1"/>
  <c r="G2289" i="1"/>
  <c r="F2289" i="1"/>
  <c r="E2289" i="1"/>
  <c r="D2289" i="1"/>
  <c r="C2289" i="1"/>
  <c r="I2288" i="1"/>
  <c r="H2288" i="1"/>
  <c r="G2288" i="1"/>
  <c r="F2288" i="1"/>
  <c r="E2288" i="1"/>
  <c r="D2288" i="1"/>
  <c r="C2288" i="1"/>
  <c r="I2287" i="1"/>
  <c r="H2287" i="1"/>
  <c r="G2287" i="1"/>
  <c r="F2287" i="1"/>
  <c r="E2287" i="1"/>
  <c r="D2287" i="1"/>
  <c r="C2287" i="1"/>
  <c r="I2286" i="1"/>
  <c r="H2286" i="1"/>
  <c r="G2286" i="1"/>
  <c r="F2286" i="1"/>
  <c r="E2286" i="1"/>
  <c r="D2286" i="1"/>
  <c r="C2286" i="1"/>
  <c r="I2285" i="1"/>
  <c r="H2285" i="1"/>
  <c r="G2285" i="1"/>
  <c r="F2285" i="1"/>
  <c r="E2285" i="1"/>
  <c r="D2285" i="1"/>
  <c r="C2285" i="1"/>
  <c r="I2284" i="1"/>
  <c r="H2284" i="1"/>
  <c r="G2284" i="1"/>
  <c r="F2284" i="1"/>
  <c r="E2284" i="1"/>
  <c r="D2284" i="1"/>
  <c r="C2284" i="1"/>
  <c r="I2283" i="1"/>
  <c r="H2283" i="1"/>
  <c r="G2283" i="1"/>
  <c r="F2283" i="1"/>
  <c r="E2283" i="1"/>
  <c r="D2283" i="1"/>
  <c r="C2283" i="1"/>
  <c r="I2282" i="1"/>
  <c r="H2282" i="1"/>
  <c r="G2282" i="1"/>
  <c r="F2282" i="1"/>
  <c r="E2282" i="1"/>
  <c r="D2282" i="1"/>
  <c r="C2282" i="1"/>
  <c r="I2281" i="1"/>
  <c r="H2281" i="1"/>
  <c r="G2281" i="1"/>
  <c r="F2281" i="1"/>
  <c r="E2281" i="1"/>
  <c r="D2281" i="1"/>
  <c r="C2281" i="1"/>
  <c r="I2280" i="1"/>
  <c r="H2280" i="1"/>
  <c r="G2280" i="1"/>
  <c r="F2280" i="1"/>
  <c r="E2280" i="1"/>
  <c r="D2280" i="1"/>
  <c r="C2280" i="1"/>
  <c r="I2279" i="1"/>
  <c r="H2279" i="1"/>
  <c r="G2279" i="1"/>
  <c r="F2279" i="1"/>
  <c r="E2279" i="1"/>
  <c r="D2279" i="1"/>
  <c r="C2279" i="1"/>
  <c r="I2278" i="1"/>
  <c r="H2278" i="1"/>
  <c r="G2278" i="1"/>
  <c r="F2278" i="1"/>
  <c r="E2278" i="1"/>
  <c r="D2278" i="1"/>
  <c r="C2278" i="1"/>
  <c r="I2277" i="1"/>
  <c r="H2277" i="1"/>
  <c r="G2277" i="1"/>
  <c r="F2277" i="1"/>
  <c r="E2277" i="1"/>
  <c r="D2277" i="1"/>
  <c r="C2277" i="1"/>
  <c r="I2276" i="1"/>
  <c r="H2276" i="1"/>
  <c r="G2276" i="1"/>
  <c r="F2276" i="1"/>
  <c r="E2276" i="1"/>
  <c r="D2276" i="1"/>
  <c r="C2276" i="1"/>
  <c r="I2275" i="1"/>
  <c r="H2275" i="1"/>
  <c r="G2275" i="1"/>
  <c r="F2275" i="1"/>
  <c r="E2275" i="1"/>
  <c r="D2275" i="1"/>
  <c r="C2275" i="1"/>
  <c r="I2274" i="1"/>
  <c r="H2274" i="1"/>
  <c r="G2274" i="1"/>
  <c r="F2274" i="1"/>
  <c r="E2274" i="1"/>
  <c r="D2274" i="1"/>
  <c r="C2274" i="1"/>
  <c r="I2273" i="1"/>
  <c r="H2273" i="1"/>
  <c r="G2273" i="1"/>
  <c r="F2273" i="1"/>
  <c r="E2273" i="1"/>
  <c r="D2273" i="1"/>
  <c r="C2273" i="1"/>
  <c r="I2272" i="1"/>
  <c r="H2272" i="1"/>
  <c r="G2272" i="1"/>
  <c r="F2272" i="1"/>
  <c r="E2272" i="1"/>
  <c r="D2272" i="1"/>
  <c r="C2272" i="1"/>
  <c r="I2271" i="1"/>
  <c r="H2271" i="1"/>
  <c r="G2271" i="1"/>
  <c r="F2271" i="1"/>
  <c r="E2271" i="1"/>
  <c r="D2271" i="1"/>
  <c r="C2271" i="1"/>
  <c r="I2270" i="1"/>
  <c r="H2270" i="1"/>
  <c r="G2270" i="1"/>
  <c r="F2270" i="1"/>
  <c r="E2270" i="1"/>
  <c r="D2270" i="1"/>
  <c r="C2270" i="1"/>
  <c r="I2269" i="1"/>
  <c r="H2269" i="1"/>
  <c r="G2269" i="1"/>
  <c r="F2269" i="1"/>
  <c r="E2269" i="1"/>
  <c r="D2269" i="1"/>
  <c r="C2269" i="1"/>
  <c r="I2268" i="1"/>
  <c r="H2268" i="1"/>
  <c r="G2268" i="1"/>
  <c r="F2268" i="1"/>
  <c r="E2268" i="1"/>
  <c r="D2268" i="1"/>
  <c r="C2268" i="1"/>
  <c r="I2267" i="1"/>
  <c r="H2267" i="1"/>
  <c r="G2267" i="1"/>
  <c r="F2267" i="1"/>
  <c r="E2267" i="1"/>
  <c r="D2267" i="1"/>
  <c r="C2267" i="1"/>
  <c r="I2266" i="1"/>
  <c r="H2266" i="1"/>
  <c r="G2266" i="1"/>
  <c r="F2266" i="1"/>
  <c r="E2266" i="1"/>
  <c r="D2266" i="1"/>
  <c r="C2266" i="1"/>
  <c r="I2265" i="1"/>
  <c r="H2265" i="1"/>
  <c r="G2265" i="1"/>
  <c r="F2265" i="1"/>
  <c r="E2265" i="1"/>
  <c r="D2265" i="1"/>
  <c r="C2265" i="1"/>
  <c r="I2264" i="1"/>
  <c r="H2264" i="1"/>
  <c r="G2264" i="1"/>
  <c r="F2264" i="1"/>
  <c r="E2264" i="1"/>
  <c r="D2264" i="1"/>
  <c r="C2264" i="1"/>
  <c r="I2263" i="1"/>
  <c r="H2263" i="1"/>
  <c r="G2263" i="1"/>
  <c r="F2263" i="1"/>
  <c r="E2263" i="1"/>
  <c r="D2263" i="1"/>
  <c r="C2263" i="1"/>
  <c r="I2262" i="1"/>
  <c r="H2262" i="1"/>
  <c r="G2262" i="1"/>
  <c r="F2262" i="1"/>
  <c r="E2262" i="1"/>
  <c r="D2262" i="1"/>
  <c r="C2262" i="1"/>
  <c r="I2261" i="1"/>
  <c r="H2261" i="1"/>
  <c r="G2261" i="1"/>
  <c r="F2261" i="1"/>
  <c r="E2261" i="1"/>
  <c r="D2261" i="1"/>
  <c r="C2261" i="1"/>
  <c r="I2260" i="1"/>
  <c r="H2260" i="1"/>
  <c r="G2260" i="1"/>
  <c r="F2260" i="1"/>
  <c r="E2260" i="1"/>
  <c r="D2260" i="1"/>
  <c r="C2260" i="1"/>
  <c r="I2259" i="1"/>
  <c r="H2259" i="1"/>
  <c r="G2259" i="1"/>
  <c r="F2259" i="1"/>
  <c r="E2259" i="1"/>
  <c r="D2259" i="1"/>
  <c r="C2259" i="1"/>
  <c r="I2258" i="1"/>
  <c r="H2258" i="1"/>
  <c r="G2258" i="1"/>
  <c r="F2258" i="1"/>
  <c r="E2258" i="1"/>
  <c r="D2258" i="1"/>
  <c r="C2258" i="1"/>
  <c r="I2257" i="1"/>
  <c r="H2257" i="1"/>
  <c r="G2257" i="1"/>
  <c r="F2257" i="1"/>
  <c r="E2257" i="1"/>
  <c r="D2257" i="1"/>
  <c r="C2257" i="1"/>
  <c r="I2256" i="1"/>
  <c r="H2256" i="1"/>
  <c r="G2256" i="1"/>
  <c r="F2256" i="1"/>
  <c r="E2256" i="1"/>
  <c r="D2256" i="1"/>
  <c r="C2256" i="1"/>
  <c r="I2255" i="1"/>
  <c r="H2255" i="1"/>
  <c r="G2255" i="1"/>
  <c r="F2255" i="1"/>
  <c r="E2255" i="1"/>
  <c r="D2255" i="1"/>
  <c r="C2255" i="1"/>
  <c r="I2254" i="1"/>
  <c r="H2254" i="1"/>
  <c r="G2254" i="1"/>
  <c r="F2254" i="1"/>
  <c r="E2254" i="1"/>
  <c r="D2254" i="1"/>
  <c r="C2254" i="1"/>
  <c r="I2253" i="1"/>
  <c r="H2253" i="1"/>
  <c r="G2253" i="1"/>
  <c r="F2253" i="1"/>
  <c r="E2253" i="1"/>
  <c r="D2253" i="1"/>
  <c r="C2253" i="1"/>
  <c r="I2252" i="1"/>
  <c r="H2252" i="1"/>
  <c r="G2252" i="1"/>
  <c r="F2252" i="1"/>
  <c r="E2252" i="1"/>
  <c r="D2252" i="1"/>
  <c r="C2252" i="1"/>
  <c r="I2251" i="1"/>
  <c r="H2251" i="1"/>
  <c r="G2251" i="1"/>
  <c r="F2251" i="1"/>
  <c r="E2251" i="1"/>
  <c r="D2251" i="1"/>
  <c r="C2251" i="1"/>
  <c r="I2250" i="1"/>
  <c r="H2250" i="1"/>
  <c r="G2250" i="1"/>
  <c r="F2250" i="1"/>
  <c r="E2250" i="1"/>
  <c r="D2250" i="1"/>
  <c r="C2250" i="1"/>
  <c r="I2249" i="1"/>
  <c r="H2249" i="1"/>
  <c r="G2249" i="1"/>
  <c r="F2249" i="1"/>
  <c r="E2249" i="1"/>
  <c r="D2249" i="1"/>
  <c r="C2249" i="1"/>
  <c r="I2248" i="1"/>
  <c r="H2248" i="1"/>
  <c r="G2248" i="1"/>
  <c r="F2248" i="1"/>
  <c r="E2248" i="1"/>
  <c r="D2248" i="1"/>
  <c r="C2248" i="1"/>
  <c r="I2247" i="1"/>
  <c r="H2247" i="1"/>
  <c r="G2247" i="1"/>
  <c r="F2247" i="1"/>
  <c r="E2247" i="1"/>
  <c r="D2247" i="1"/>
  <c r="C2247" i="1"/>
  <c r="I2246" i="1"/>
  <c r="H2246" i="1"/>
  <c r="G2246" i="1"/>
  <c r="F2246" i="1"/>
  <c r="E2246" i="1"/>
  <c r="D2246" i="1"/>
  <c r="C2246" i="1"/>
  <c r="I2245" i="1"/>
  <c r="H2245" i="1"/>
  <c r="G2245" i="1"/>
  <c r="F2245" i="1"/>
  <c r="E2245" i="1"/>
  <c r="D2245" i="1"/>
  <c r="C2245" i="1"/>
  <c r="I2244" i="1"/>
  <c r="H2244" i="1"/>
  <c r="G2244" i="1"/>
  <c r="F2244" i="1"/>
  <c r="E2244" i="1"/>
  <c r="D2244" i="1"/>
  <c r="C2244" i="1"/>
  <c r="I2243" i="1"/>
  <c r="H2243" i="1"/>
  <c r="G2243" i="1"/>
  <c r="F2243" i="1"/>
  <c r="E2243" i="1"/>
  <c r="D2243" i="1"/>
  <c r="C2243" i="1"/>
  <c r="I2242" i="1"/>
  <c r="H2242" i="1"/>
  <c r="G2242" i="1"/>
  <c r="F2242" i="1"/>
  <c r="E2242" i="1"/>
  <c r="D2242" i="1"/>
  <c r="C2242" i="1"/>
  <c r="I2241" i="1"/>
  <c r="H2241" i="1"/>
  <c r="G2241" i="1"/>
  <c r="F2241" i="1"/>
  <c r="E2241" i="1"/>
  <c r="D2241" i="1"/>
  <c r="C2241" i="1"/>
  <c r="I2240" i="1"/>
  <c r="H2240" i="1"/>
  <c r="G2240" i="1"/>
  <c r="F2240" i="1"/>
  <c r="E2240" i="1"/>
  <c r="D2240" i="1"/>
  <c r="C2240" i="1"/>
  <c r="I2239" i="1"/>
  <c r="H2239" i="1"/>
  <c r="G2239" i="1"/>
  <c r="F2239" i="1"/>
  <c r="E2239" i="1"/>
  <c r="D2239" i="1"/>
  <c r="C2239" i="1"/>
  <c r="I2238" i="1"/>
  <c r="H2238" i="1"/>
  <c r="G2238" i="1"/>
  <c r="F2238" i="1"/>
  <c r="E2238" i="1"/>
  <c r="D2238" i="1"/>
  <c r="C2238" i="1"/>
  <c r="I2237" i="1"/>
  <c r="H2237" i="1"/>
  <c r="G2237" i="1"/>
  <c r="F2237" i="1"/>
  <c r="E2237" i="1"/>
  <c r="D2237" i="1"/>
  <c r="C2237" i="1"/>
  <c r="I2236" i="1"/>
  <c r="H2236" i="1"/>
  <c r="G2236" i="1"/>
  <c r="F2236" i="1"/>
  <c r="E2236" i="1"/>
  <c r="D2236" i="1"/>
  <c r="C2236" i="1"/>
  <c r="I2235" i="1"/>
  <c r="H2235" i="1"/>
  <c r="G2235" i="1"/>
  <c r="F2235" i="1"/>
  <c r="E2235" i="1"/>
  <c r="D2235" i="1"/>
  <c r="C2235" i="1"/>
  <c r="I2234" i="1"/>
  <c r="H2234" i="1"/>
  <c r="G2234" i="1"/>
  <c r="F2234" i="1"/>
  <c r="E2234" i="1"/>
  <c r="D2234" i="1"/>
  <c r="C2234" i="1"/>
  <c r="I2233" i="1"/>
  <c r="H2233" i="1"/>
  <c r="G2233" i="1"/>
  <c r="F2233" i="1"/>
  <c r="E2233" i="1"/>
  <c r="D2233" i="1"/>
  <c r="C2233" i="1"/>
  <c r="I2232" i="1"/>
  <c r="H2232" i="1"/>
  <c r="G2232" i="1"/>
  <c r="F2232" i="1"/>
  <c r="E2232" i="1"/>
  <c r="D2232" i="1"/>
  <c r="C2232" i="1"/>
  <c r="I2231" i="1"/>
  <c r="H2231" i="1"/>
  <c r="G2231" i="1"/>
  <c r="F2231" i="1"/>
  <c r="E2231" i="1"/>
  <c r="D2231" i="1"/>
  <c r="C2231" i="1"/>
  <c r="I2230" i="1"/>
  <c r="H2230" i="1"/>
  <c r="G2230" i="1"/>
  <c r="F2230" i="1"/>
  <c r="E2230" i="1"/>
  <c r="D2230" i="1"/>
  <c r="C2230" i="1"/>
  <c r="I2229" i="1"/>
  <c r="H2229" i="1"/>
  <c r="G2229" i="1"/>
  <c r="F2229" i="1"/>
  <c r="E2229" i="1"/>
  <c r="D2229" i="1"/>
  <c r="C2229" i="1"/>
  <c r="I2228" i="1"/>
  <c r="H2228" i="1"/>
  <c r="G2228" i="1"/>
  <c r="F2228" i="1"/>
  <c r="E2228" i="1"/>
  <c r="D2228" i="1"/>
  <c r="C2228" i="1"/>
  <c r="I2227" i="1"/>
  <c r="H2227" i="1"/>
  <c r="G2227" i="1"/>
  <c r="F2227" i="1"/>
  <c r="E2227" i="1"/>
  <c r="D2227" i="1"/>
  <c r="C2227" i="1"/>
  <c r="I2226" i="1"/>
  <c r="H2226" i="1"/>
  <c r="G2226" i="1"/>
  <c r="F2226" i="1"/>
  <c r="E2226" i="1"/>
  <c r="D2226" i="1"/>
  <c r="C2226" i="1"/>
  <c r="I2225" i="1"/>
  <c r="H2225" i="1"/>
  <c r="G2225" i="1"/>
  <c r="F2225" i="1"/>
  <c r="E2225" i="1"/>
  <c r="D2225" i="1"/>
  <c r="C2225" i="1"/>
  <c r="I2224" i="1"/>
  <c r="H2224" i="1"/>
  <c r="G2224" i="1"/>
  <c r="F2224" i="1"/>
  <c r="E2224" i="1"/>
  <c r="D2224" i="1"/>
  <c r="C2224" i="1"/>
  <c r="I2223" i="1"/>
  <c r="H2223" i="1"/>
  <c r="G2223" i="1"/>
  <c r="F2223" i="1"/>
  <c r="E2223" i="1"/>
  <c r="D2223" i="1"/>
  <c r="C2223" i="1"/>
  <c r="I2222" i="1"/>
  <c r="H2222" i="1"/>
  <c r="G2222" i="1"/>
  <c r="F2222" i="1"/>
  <c r="E2222" i="1"/>
  <c r="D2222" i="1"/>
  <c r="C2222" i="1"/>
  <c r="I2221" i="1"/>
  <c r="H2221" i="1"/>
  <c r="G2221" i="1"/>
  <c r="F2221" i="1"/>
  <c r="E2221" i="1"/>
  <c r="D2221" i="1"/>
  <c r="C2221" i="1"/>
  <c r="I2220" i="1"/>
  <c r="H2220" i="1"/>
  <c r="G2220" i="1"/>
  <c r="F2220" i="1"/>
  <c r="E2220" i="1"/>
  <c r="D2220" i="1"/>
  <c r="C2220" i="1"/>
  <c r="I2219" i="1"/>
  <c r="H2219" i="1"/>
  <c r="G2219" i="1"/>
  <c r="F2219" i="1"/>
  <c r="E2219" i="1"/>
  <c r="D2219" i="1"/>
  <c r="C2219" i="1"/>
  <c r="I2218" i="1"/>
  <c r="H2218" i="1"/>
  <c r="G2218" i="1"/>
  <c r="F2218" i="1"/>
  <c r="E2218" i="1"/>
  <c r="D2218" i="1"/>
  <c r="C2218" i="1"/>
  <c r="I2217" i="1"/>
  <c r="H2217" i="1"/>
  <c r="G2217" i="1"/>
  <c r="F2217" i="1"/>
  <c r="E2217" i="1"/>
  <c r="D2217" i="1"/>
  <c r="C2217" i="1"/>
  <c r="I2216" i="1"/>
  <c r="H2216" i="1"/>
  <c r="G2216" i="1"/>
  <c r="F2216" i="1"/>
  <c r="E2216" i="1"/>
  <c r="D2216" i="1"/>
  <c r="C2216" i="1"/>
  <c r="I2215" i="1"/>
  <c r="H2215" i="1"/>
  <c r="G2215" i="1"/>
  <c r="F2215" i="1"/>
  <c r="E2215" i="1"/>
  <c r="D2215" i="1"/>
  <c r="C2215" i="1"/>
  <c r="I2214" i="1"/>
  <c r="H2214" i="1"/>
  <c r="G2214" i="1"/>
  <c r="F2214" i="1"/>
  <c r="E2214" i="1"/>
  <c r="D2214" i="1"/>
  <c r="C2214" i="1"/>
  <c r="I2213" i="1"/>
  <c r="H2213" i="1"/>
  <c r="G2213" i="1"/>
  <c r="F2213" i="1"/>
  <c r="E2213" i="1"/>
  <c r="D2213" i="1"/>
  <c r="C2213" i="1"/>
  <c r="I2212" i="1"/>
  <c r="H2212" i="1"/>
  <c r="G2212" i="1"/>
  <c r="F2212" i="1"/>
  <c r="E2212" i="1"/>
  <c r="D2212" i="1"/>
  <c r="C2212" i="1"/>
  <c r="I2211" i="1"/>
  <c r="H2211" i="1"/>
  <c r="G2211" i="1"/>
  <c r="F2211" i="1"/>
  <c r="E2211" i="1"/>
  <c r="D2211" i="1"/>
  <c r="C2211" i="1"/>
  <c r="I2210" i="1"/>
  <c r="H2210" i="1"/>
  <c r="G2210" i="1"/>
  <c r="F2210" i="1"/>
  <c r="E2210" i="1"/>
  <c r="D2210" i="1"/>
  <c r="C2210" i="1"/>
  <c r="I2209" i="1"/>
  <c r="H2209" i="1"/>
  <c r="G2209" i="1"/>
  <c r="F2209" i="1"/>
  <c r="E2209" i="1"/>
  <c r="D2209" i="1"/>
  <c r="C2209" i="1"/>
  <c r="I2208" i="1"/>
  <c r="H2208" i="1"/>
  <c r="G2208" i="1"/>
  <c r="F2208" i="1"/>
  <c r="E2208" i="1"/>
  <c r="D2208" i="1"/>
  <c r="C2208" i="1"/>
  <c r="I2207" i="1"/>
  <c r="H2207" i="1"/>
  <c r="G2207" i="1"/>
  <c r="F2207" i="1"/>
  <c r="E2207" i="1"/>
  <c r="D2207" i="1"/>
  <c r="C2207" i="1"/>
  <c r="I2206" i="1"/>
  <c r="H2206" i="1"/>
  <c r="G2206" i="1"/>
  <c r="F2206" i="1"/>
  <c r="E2206" i="1"/>
  <c r="D2206" i="1"/>
  <c r="C2206" i="1"/>
  <c r="I2205" i="1"/>
  <c r="H2205" i="1"/>
  <c r="G2205" i="1"/>
  <c r="F2205" i="1"/>
  <c r="E2205" i="1"/>
  <c r="D2205" i="1"/>
  <c r="C2205" i="1"/>
  <c r="I2204" i="1"/>
  <c r="H2204" i="1"/>
  <c r="G2204" i="1"/>
  <c r="F2204" i="1"/>
  <c r="E2204" i="1"/>
  <c r="D2204" i="1"/>
  <c r="C2204" i="1"/>
  <c r="I2203" i="1"/>
  <c r="H2203" i="1"/>
  <c r="G2203" i="1"/>
  <c r="F2203" i="1"/>
  <c r="E2203" i="1"/>
  <c r="D2203" i="1"/>
  <c r="C2203" i="1"/>
  <c r="I2202" i="1"/>
  <c r="H2202" i="1"/>
  <c r="G2202" i="1"/>
  <c r="F2202" i="1"/>
  <c r="E2202" i="1"/>
  <c r="D2202" i="1"/>
  <c r="C2202" i="1"/>
  <c r="I2201" i="1"/>
  <c r="H2201" i="1"/>
  <c r="G2201" i="1"/>
  <c r="F2201" i="1"/>
  <c r="E2201" i="1"/>
  <c r="D2201" i="1"/>
  <c r="C2201" i="1"/>
  <c r="I2200" i="1"/>
  <c r="H2200" i="1"/>
  <c r="G2200" i="1"/>
  <c r="F2200" i="1"/>
  <c r="E2200" i="1"/>
  <c r="D2200" i="1"/>
  <c r="C2200" i="1"/>
  <c r="I2199" i="1"/>
  <c r="H2199" i="1"/>
  <c r="G2199" i="1"/>
  <c r="F2199" i="1"/>
  <c r="E2199" i="1"/>
  <c r="D2199" i="1"/>
  <c r="C2199" i="1"/>
  <c r="I2198" i="1"/>
  <c r="H2198" i="1"/>
  <c r="G2198" i="1"/>
  <c r="F2198" i="1"/>
  <c r="E2198" i="1"/>
  <c r="D2198" i="1"/>
  <c r="C2198" i="1"/>
  <c r="I2197" i="1"/>
  <c r="H2197" i="1"/>
  <c r="G2197" i="1"/>
  <c r="F2197" i="1"/>
  <c r="E2197" i="1"/>
  <c r="D2197" i="1"/>
  <c r="C2197" i="1"/>
  <c r="I2196" i="1"/>
  <c r="H2196" i="1"/>
  <c r="G2196" i="1"/>
  <c r="F2196" i="1"/>
  <c r="E2196" i="1"/>
  <c r="D2196" i="1"/>
  <c r="C2196" i="1"/>
  <c r="I2195" i="1"/>
  <c r="H2195" i="1"/>
  <c r="G2195" i="1"/>
  <c r="F2195" i="1"/>
  <c r="E2195" i="1"/>
  <c r="D2195" i="1"/>
  <c r="C2195" i="1"/>
  <c r="I2194" i="1"/>
  <c r="H2194" i="1"/>
  <c r="G2194" i="1"/>
  <c r="F2194" i="1"/>
  <c r="E2194" i="1"/>
  <c r="D2194" i="1"/>
  <c r="C2194" i="1"/>
  <c r="I2193" i="1"/>
  <c r="H2193" i="1"/>
  <c r="G2193" i="1"/>
  <c r="F2193" i="1"/>
  <c r="E2193" i="1"/>
  <c r="D2193" i="1"/>
  <c r="C2193" i="1"/>
  <c r="I2192" i="1"/>
  <c r="H2192" i="1"/>
  <c r="G2192" i="1"/>
  <c r="F2192" i="1"/>
  <c r="E2192" i="1"/>
  <c r="D2192" i="1"/>
  <c r="C2192" i="1"/>
  <c r="I2191" i="1"/>
  <c r="H2191" i="1"/>
  <c r="G2191" i="1"/>
  <c r="F2191" i="1"/>
  <c r="E2191" i="1"/>
  <c r="D2191" i="1"/>
  <c r="C2191" i="1"/>
  <c r="I2190" i="1"/>
  <c r="H2190" i="1"/>
  <c r="G2190" i="1"/>
  <c r="F2190" i="1"/>
  <c r="E2190" i="1"/>
  <c r="D2190" i="1"/>
  <c r="C2190" i="1"/>
  <c r="I2189" i="1"/>
  <c r="H2189" i="1"/>
  <c r="G2189" i="1"/>
  <c r="F2189" i="1"/>
  <c r="E2189" i="1"/>
  <c r="D2189" i="1"/>
  <c r="C2189" i="1"/>
  <c r="I2188" i="1"/>
  <c r="H2188" i="1"/>
  <c r="G2188" i="1"/>
  <c r="F2188" i="1"/>
  <c r="E2188" i="1"/>
  <c r="D2188" i="1"/>
  <c r="C2188" i="1"/>
  <c r="I2187" i="1"/>
  <c r="H2187" i="1"/>
  <c r="G2187" i="1"/>
  <c r="F2187" i="1"/>
  <c r="E2187" i="1"/>
  <c r="D2187" i="1"/>
  <c r="C2187" i="1"/>
  <c r="I2186" i="1"/>
  <c r="H2186" i="1"/>
  <c r="G2186" i="1"/>
  <c r="F2186" i="1"/>
  <c r="E2186" i="1"/>
  <c r="D2186" i="1"/>
  <c r="C2186" i="1"/>
  <c r="I2185" i="1"/>
  <c r="H2185" i="1"/>
  <c r="G2185" i="1"/>
  <c r="F2185" i="1"/>
  <c r="E2185" i="1"/>
  <c r="D2185" i="1"/>
  <c r="C2185" i="1"/>
  <c r="I2184" i="1"/>
  <c r="H2184" i="1"/>
  <c r="G2184" i="1"/>
  <c r="F2184" i="1"/>
  <c r="E2184" i="1"/>
  <c r="D2184" i="1"/>
  <c r="C2184" i="1"/>
  <c r="I2183" i="1"/>
  <c r="H2183" i="1"/>
  <c r="G2183" i="1"/>
  <c r="F2183" i="1"/>
  <c r="E2183" i="1"/>
  <c r="D2183" i="1"/>
  <c r="C2183" i="1"/>
  <c r="I2182" i="1"/>
  <c r="H2182" i="1"/>
  <c r="G2182" i="1"/>
  <c r="F2182" i="1"/>
  <c r="E2182" i="1"/>
  <c r="D2182" i="1"/>
  <c r="C2182" i="1"/>
  <c r="I2181" i="1"/>
  <c r="H2181" i="1"/>
  <c r="G2181" i="1"/>
  <c r="F2181" i="1"/>
  <c r="E2181" i="1"/>
  <c r="D2181" i="1"/>
  <c r="C2181" i="1"/>
  <c r="I2180" i="1"/>
  <c r="H2180" i="1"/>
  <c r="G2180" i="1"/>
  <c r="F2180" i="1"/>
  <c r="E2180" i="1"/>
  <c r="D2180" i="1"/>
  <c r="C2180" i="1"/>
  <c r="I2179" i="1"/>
  <c r="H2179" i="1"/>
  <c r="G2179" i="1"/>
  <c r="F2179" i="1"/>
  <c r="E2179" i="1"/>
  <c r="D2179" i="1"/>
  <c r="C2179" i="1"/>
  <c r="I2178" i="1"/>
  <c r="H2178" i="1"/>
  <c r="G2178" i="1"/>
  <c r="F2178" i="1"/>
  <c r="E2178" i="1"/>
  <c r="D2178" i="1"/>
  <c r="C2178" i="1"/>
  <c r="I2177" i="1"/>
  <c r="H2177" i="1"/>
  <c r="G2177" i="1"/>
  <c r="F2177" i="1"/>
  <c r="E2177" i="1"/>
  <c r="D2177" i="1"/>
  <c r="C2177" i="1"/>
  <c r="I2176" i="1"/>
  <c r="H2176" i="1"/>
  <c r="G2176" i="1"/>
  <c r="F2176" i="1"/>
  <c r="E2176" i="1"/>
  <c r="D2176" i="1"/>
  <c r="C2176" i="1"/>
  <c r="I2175" i="1"/>
  <c r="H2175" i="1"/>
  <c r="G2175" i="1"/>
  <c r="F2175" i="1"/>
  <c r="E2175" i="1"/>
  <c r="D2175" i="1"/>
  <c r="C2175" i="1"/>
  <c r="I2174" i="1"/>
  <c r="H2174" i="1"/>
  <c r="G2174" i="1"/>
  <c r="F2174" i="1"/>
  <c r="E2174" i="1"/>
  <c r="D2174" i="1"/>
  <c r="C2174" i="1"/>
  <c r="I2173" i="1"/>
  <c r="H2173" i="1"/>
  <c r="G2173" i="1"/>
  <c r="F2173" i="1"/>
  <c r="E2173" i="1"/>
  <c r="D2173" i="1"/>
  <c r="C2173" i="1"/>
  <c r="I2172" i="1"/>
  <c r="H2172" i="1"/>
  <c r="G2172" i="1"/>
  <c r="F2172" i="1"/>
  <c r="E2172" i="1"/>
  <c r="D2172" i="1"/>
  <c r="C2172" i="1"/>
  <c r="I2171" i="1"/>
  <c r="H2171" i="1"/>
  <c r="G2171" i="1"/>
  <c r="F2171" i="1"/>
  <c r="E2171" i="1"/>
  <c r="D2171" i="1"/>
  <c r="C2171" i="1"/>
  <c r="I2170" i="1"/>
  <c r="H2170" i="1"/>
  <c r="G2170" i="1"/>
  <c r="F2170" i="1"/>
  <c r="E2170" i="1"/>
  <c r="D2170" i="1"/>
  <c r="C2170" i="1"/>
  <c r="I2169" i="1"/>
  <c r="H2169" i="1"/>
  <c r="G2169" i="1"/>
  <c r="F2169" i="1"/>
  <c r="E2169" i="1"/>
  <c r="D2169" i="1"/>
  <c r="C2169" i="1"/>
  <c r="I2168" i="1"/>
  <c r="H2168" i="1"/>
  <c r="G2168" i="1"/>
  <c r="F2168" i="1"/>
  <c r="E2168" i="1"/>
  <c r="D2168" i="1"/>
  <c r="C2168" i="1"/>
  <c r="I2167" i="1"/>
  <c r="H2167" i="1"/>
  <c r="G2167" i="1"/>
  <c r="F2167" i="1"/>
  <c r="E2167" i="1"/>
  <c r="D2167" i="1"/>
  <c r="C2167" i="1"/>
  <c r="I2166" i="1"/>
  <c r="H2166" i="1"/>
  <c r="G2166" i="1"/>
  <c r="F2166" i="1"/>
  <c r="E2166" i="1"/>
  <c r="D2166" i="1"/>
  <c r="C2166" i="1"/>
  <c r="I2165" i="1"/>
  <c r="H2165" i="1"/>
  <c r="G2165" i="1"/>
  <c r="F2165" i="1"/>
  <c r="E2165" i="1"/>
  <c r="D2165" i="1"/>
  <c r="C2165" i="1"/>
  <c r="I2164" i="1"/>
  <c r="H2164" i="1"/>
  <c r="G2164" i="1"/>
  <c r="F2164" i="1"/>
  <c r="E2164" i="1"/>
  <c r="D2164" i="1"/>
  <c r="C2164" i="1"/>
  <c r="I2163" i="1"/>
  <c r="H2163" i="1"/>
  <c r="G2163" i="1"/>
  <c r="F2163" i="1"/>
  <c r="E2163" i="1"/>
  <c r="D2163" i="1"/>
  <c r="C2163" i="1"/>
  <c r="I2162" i="1"/>
  <c r="H2162" i="1"/>
  <c r="G2162" i="1"/>
  <c r="F2162" i="1"/>
  <c r="E2162" i="1"/>
  <c r="D2162" i="1"/>
  <c r="C2162" i="1"/>
  <c r="I2161" i="1"/>
  <c r="H2161" i="1"/>
  <c r="G2161" i="1"/>
  <c r="F2161" i="1"/>
  <c r="E2161" i="1"/>
  <c r="D2161" i="1"/>
  <c r="C2161" i="1"/>
  <c r="I2160" i="1"/>
  <c r="H2160" i="1"/>
  <c r="G2160" i="1"/>
  <c r="F2160" i="1"/>
  <c r="E2160" i="1"/>
  <c r="D2160" i="1"/>
  <c r="C2160" i="1"/>
  <c r="I2159" i="1"/>
  <c r="H2159" i="1"/>
  <c r="G2159" i="1"/>
  <c r="F2159" i="1"/>
  <c r="E2159" i="1"/>
  <c r="D2159" i="1"/>
  <c r="C2159" i="1"/>
  <c r="I2158" i="1"/>
  <c r="H2158" i="1"/>
  <c r="G2158" i="1"/>
  <c r="F2158" i="1"/>
  <c r="E2158" i="1"/>
  <c r="D2158" i="1"/>
  <c r="C2158" i="1"/>
  <c r="I2157" i="1"/>
  <c r="H2157" i="1"/>
  <c r="G2157" i="1"/>
  <c r="F2157" i="1"/>
  <c r="E2157" i="1"/>
  <c r="D2157" i="1"/>
  <c r="C2157" i="1"/>
  <c r="I2156" i="1"/>
  <c r="H2156" i="1"/>
  <c r="G2156" i="1"/>
  <c r="F2156" i="1"/>
  <c r="E2156" i="1"/>
  <c r="D2156" i="1"/>
  <c r="C2156" i="1"/>
  <c r="I2155" i="1"/>
  <c r="H2155" i="1"/>
  <c r="G2155" i="1"/>
  <c r="F2155" i="1"/>
  <c r="E2155" i="1"/>
  <c r="D2155" i="1"/>
  <c r="C2155" i="1"/>
  <c r="I2154" i="1"/>
  <c r="H2154" i="1"/>
  <c r="G2154" i="1"/>
  <c r="F2154" i="1"/>
  <c r="E2154" i="1"/>
  <c r="D2154" i="1"/>
  <c r="C2154" i="1"/>
  <c r="I2153" i="1"/>
  <c r="H2153" i="1"/>
  <c r="G2153" i="1"/>
  <c r="F2153" i="1"/>
  <c r="E2153" i="1"/>
  <c r="D2153" i="1"/>
  <c r="C2153" i="1"/>
  <c r="I2152" i="1"/>
  <c r="H2152" i="1"/>
  <c r="G2152" i="1"/>
  <c r="F2152" i="1"/>
  <c r="E2152" i="1"/>
  <c r="D2152" i="1"/>
  <c r="C2152" i="1"/>
  <c r="I2151" i="1"/>
  <c r="H2151" i="1"/>
  <c r="G2151" i="1"/>
  <c r="F2151" i="1"/>
  <c r="E2151" i="1"/>
  <c r="D2151" i="1"/>
  <c r="C2151" i="1"/>
  <c r="I2150" i="1"/>
  <c r="H2150" i="1"/>
  <c r="G2150" i="1"/>
  <c r="F2150" i="1"/>
  <c r="E2150" i="1"/>
  <c r="D2150" i="1"/>
  <c r="C2150" i="1"/>
  <c r="I2149" i="1"/>
  <c r="H2149" i="1"/>
  <c r="G2149" i="1"/>
  <c r="F2149" i="1"/>
  <c r="E2149" i="1"/>
  <c r="D2149" i="1"/>
  <c r="C2149" i="1"/>
  <c r="I2148" i="1"/>
  <c r="H2148" i="1"/>
  <c r="G2148" i="1"/>
  <c r="F2148" i="1"/>
  <c r="E2148" i="1"/>
  <c r="D2148" i="1"/>
  <c r="C2148" i="1"/>
  <c r="I2147" i="1"/>
  <c r="H2147" i="1"/>
  <c r="G2147" i="1"/>
  <c r="F2147" i="1"/>
  <c r="E2147" i="1"/>
  <c r="D2147" i="1"/>
  <c r="C2147" i="1"/>
  <c r="I2146" i="1"/>
  <c r="H2146" i="1"/>
  <c r="G2146" i="1"/>
  <c r="F2146" i="1"/>
  <c r="E2146" i="1"/>
  <c r="D2146" i="1"/>
  <c r="C2146" i="1"/>
  <c r="I2145" i="1"/>
  <c r="H2145" i="1"/>
  <c r="G2145" i="1"/>
  <c r="F2145" i="1"/>
  <c r="E2145" i="1"/>
  <c r="D2145" i="1"/>
  <c r="C2145" i="1"/>
  <c r="I2144" i="1"/>
  <c r="H2144" i="1"/>
  <c r="G2144" i="1"/>
  <c r="F2144" i="1"/>
  <c r="E2144" i="1"/>
  <c r="D2144" i="1"/>
  <c r="C2144" i="1"/>
  <c r="I2143" i="1"/>
  <c r="H2143" i="1"/>
  <c r="G2143" i="1"/>
  <c r="F2143" i="1"/>
  <c r="E2143" i="1"/>
  <c r="D2143" i="1"/>
  <c r="C2143" i="1"/>
  <c r="I2142" i="1"/>
  <c r="H2142" i="1"/>
  <c r="G2142" i="1"/>
  <c r="F2142" i="1"/>
  <c r="E2142" i="1"/>
  <c r="D2142" i="1"/>
  <c r="C2142" i="1"/>
  <c r="I2141" i="1"/>
  <c r="H2141" i="1"/>
  <c r="G2141" i="1"/>
  <c r="F2141" i="1"/>
  <c r="E2141" i="1"/>
  <c r="D2141" i="1"/>
  <c r="C2141" i="1"/>
  <c r="I2140" i="1"/>
  <c r="H2140" i="1"/>
  <c r="G2140" i="1"/>
  <c r="F2140" i="1"/>
  <c r="E2140" i="1"/>
  <c r="D2140" i="1"/>
  <c r="C2140" i="1"/>
  <c r="I2139" i="1"/>
  <c r="H2139" i="1"/>
  <c r="G2139" i="1"/>
  <c r="F2139" i="1"/>
  <c r="E2139" i="1"/>
  <c r="D2139" i="1"/>
  <c r="C2139" i="1"/>
  <c r="I2138" i="1"/>
  <c r="H2138" i="1"/>
  <c r="G2138" i="1"/>
  <c r="F2138" i="1"/>
  <c r="E2138" i="1"/>
  <c r="D2138" i="1"/>
  <c r="C2138" i="1"/>
  <c r="I2137" i="1"/>
  <c r="H2137" i="1"/>
  <c r="G2137" i="1"/>
  <c r="F2137" i="1"/>
  <c r="E2137" i="1"/>
  <c r="D2137" i="1"/>
  <c r="C2137" i="1"/>
  <c r="I2136" i="1"/>
  <c r="H2136" i="1"/>
  <c r="G2136" i="1"/>
  <c r="F2136" i="1"/>
  <c r="E2136" i="1"/>
  <c r="D2136" i="1"/>
  <c r="C2136" i="1"/>
  <c r="I2135" i="1"/>
  <c r="H2135" i="1"/>
  <c r="G2135" i="1"/>
  <c r="F2135" i="1"/>
  <c r="E2135" i="1"/>
  <c r="D2135" i="1"/>
  <c r="C2135" i="1"/>
  <c r="I2134" i="1"/>
  <c r="H2134" i="1"/>
  <c r="G2134" i="1"/>
  <c r="F2134" i="1"/>
  <c r="E2134" i="1"/>
  <c r="D2134" i="1"/>
  <c r="C2134" i="1"/>
  <c r="I2133" i="1"/>
  <c r="H2133" i="1"/>
  <c r="G2133" i="1"/>
  <c r="F2133" i="1"/>
  <c r="E2133" i="1"/>
  <c r="D2133" i="1"/>
  <c r="C2133" i="1"/>
  <c r="I2132" i="1"/>
  <c r="H2132" i="1"/>
  <c r="G2132" i="1"/>
  <c r="F2132" i="1"/>
  <c r="E2132" i="1"/>
  <c r="D2132" i="1"/>
  <c r="C2132" i="1"/>
  <c r="I2131" i="1"/>
  <c r="H2131" i="1"/>
  <c r="G2131" i="1"/>
  <c r="F2131" i="1"/>
  <c r="E2131" i="1"/>
  <c r="D2131" i="1"/>
  <c r="C2131" i="1"/>
  <c r="I2130" i="1"/>
  <c r="H2130" i="1"/>
  <c r="G2130" i="1"/>
  <c r="F2130" i="1"/>
  <c r="E2130" i="1"/>
  <c r="D2130" i="1"/>
  <c r="C2130" i="1"/>
  <c r="I2129" i="1"/>
  <c r="H2129" i="1"/>
  <c r="G2129" i="1"/>
  <c r="F2129" i="1"/>
  <c r="E2129" i="1"/>
  <c r="D2129" i="1"/>
  <c r="C2129" i="1"/>
  <c r="I2128" i="1"/>
  <c r="H2128" i="1"/>
  <c r="G2128" i="1"/>
  <c r="F2128" i="1"/>
  <c r="E2128" i="1"/>
  <c r="D2128" i="1"/>
  <c r="C2128" i="1"/>
  <c r="I2127" i="1"/>
  <c r="H2127" i="1"/>
  <c r="G2127" i="1"/>
  <c r="F2127" i="1"/>
  <c r="E2127" i="1"/>
  <c r="D2127" i="1"/>
  <c r="C2127" i="1"/>
  <c r="I2126" i="1"/>
  <c r="H2126" i="1"/>
  <c r="G2126" i="1"/>
  <c r="F2126" i="1"/>
  <c r="E2126" i="1"/>
  <c r="D2126" i="1"/>
  <c r="C2126" i="1"/>
  <c r="I2125" i="1"/>
  <c r="H2125" i="1"/>
  <c r="G2125" i="1"/>
  <c r="F2125" i="1"/>
  <c r="E2125" i="1"/>
  <c r="D2125" i="1"/>
  <c r="C2125" i="1"/>
  <c r="I2124" i="1"/>
  <c r="H2124" i="1"/>
  <c r="G2124" i="1"/>
  <c r="F2124" i="1"/>
  <c r="E2124" i="1"/>
  <c r="D2124" i="1"/>
  <c r="C2124" i="1"/>
  <c r="I2123" i="1"/>
  <c r="H2123" i="1"/>
  <c r="G2123" i="1"/>
  <c r="F2123" i="1"/>
  <c r="E2123" i="1"/>
  <c r="D2123" i="1"/>
  <c r="C2123" i="1"/>
  <c r="I2122" i="1"/>
  <c r="H2122" i="1"/>
  <c r="G2122" i="1"/>
  <c r="F2122" i="1"/>
  <c r="E2122" i="1"/>
  <c r="D2122" i="1"/>
  <c r="C2122" i="1"/>
  <c r="I2121" i="1"/>
  <c r="H2121" i="1"/>
  <c r="G2121" i="1"/>
  <c r="F2121" i="1"/>
  <c r="E2121" i="1"/>
  <c r="D2121" i="1"/>
  <c r="C2121" i="1"/>
  <c r="I2120" i="1"/>
  <c r="H2120" i="1"/>
  <c r="G2120" i="1"/>
  <c r="F2120" i="1"/>
  <c r="E2120" i="1"/>
  <c r="D2120" i="1"/>
  <c r="C2120" i="1"/>
  <c r="I2119" i="1"/>
  <c r="H2119" i="1"/>
  <c r="G2119" i="1"/>
  <c r="F2119" i="1"/>
  <c r="E2119" i="1"/>
  <c r="D2119" i="1"/>
  <c r="C2119" i="1"/>
  <c r="I2118" i="1"/>
  <c r="H2118" i="1"/>
  <c r="G2118" i="1"/>
  <c r="F2118" i="1"/>
  <c r="E2118" i="1"/>
  <c r="D2118" i="1"/>
  <c r="C2118" i="1"/>
  <c r="I2117" i="1"/>
  <c r="H2117" i="1"/>
  <c r="G2117" i="1"/>
  <c r="F2117" i="1"/>
  <c r="E2117" i="1"/>
  <c r="D2117" i="1"/>
  <c r="C2117" i="1"/>
  <c r="I2116" i="1"/>
  <c r="H2116" i="1"/>
  <c r="G2116" i="1"/>
  <c r="F2116" i="1"/>
  <c r="E2116" i="1"/>
  <c r="D2116" i="1"/>
  <c r="C2116" i="1"/>
  <c r="I2115" i="1"/>
  <c r="H2115" i="1"/>
  <c r="G2115" i="1"/>
  <c r="F2115" i="1"/>
  <c r="E2115" i="1"/>
  <c r="D2115" i="1"/>
  <c r="C2115" i="1"/>
  <c r="I2114" i="1"/>
  <c r="H2114" i="1"/>
  <c r="G2114" i="1"/>
  <c r="F2114" i="1"/>
  <c r="E2114" i="1"/>
  <c r="D2114" i="1"/>
  <c r="C2114" i="1"/>
  <c r="I2113" i="1"/>
  <c r="H2113" i="1"/>
  <c r="G2113" i="1"/>
  <c r="F2113" i="1"/>
  <c r="E2113" i="1"/>
  <c r="D2113" i="1"/>
  <c r="C2113" i="1"/>
  <c r="I2112" i="1"/>
  <c r="H2112" i="1"/>
  <c r="G2112" i="1"/>
  <c r="F2112" i="1"/>
  <c r="E2112" i="1"/>
  <c r="D2112" i="1"/>
  <c r="C2112" i="1"/>
  <c r="I2111" i="1"/>
  <c r="H2111" i="1"/>
  <c r="G2111" i="1"/>
  <c r="F2111" i="1"/>
  <c r="E2111" i="1"/>
  <c r="D2111" i="1"/>
  <c r="C2111" i="1"/>
  <c r="I2110" i="1"/>
  <c r="H2110" i="1"/>
  <c r="G2110" i="1"/>
  <c r="F2110" i="1"/>
  <c r="E2110" i="1"/>
  <c r="D2110" i="1"/>
  <c r="C2110" i="1"/>
  <c r="I2109" i="1"/>
  <c r="H2109" i="1"/>
  <c r="G2109" i="1"/>
  <c r="F2109" i="1"/>
  <c r="E2109" i="1"/>
  <c r="D2109" i="1"/>
  <c r="C2109" i="1"/>
  <c r="I2108" i="1"/>
  <c r="H2108" i="1"/>
  <c r="G2108" i="1"/>
  <c r="F2108" i="1"/>
  <c r="E2108" i="1"/>
  <c r="D2108" i="1"/>
  <c r="C2108" i="1"/>
  <c r="I2107" i="1"/>
  <c r="H2107" i="1"/>
  <c r="G2107" i="1"/>
  <c r="F2107" i="1"/>
  <c r="E2107" i="1"/>
  <c r="D2107" i="1"/>
  <c r="C2107" i="1"/>
  <c r="I2106" i="1"/>
  <c r="H2106" i="1"/>
  <c r="G2106" i="1"/>
  <c r="F2106" i="1"/>
  <c r="E2106" i="1"/>
  <c r="D2106" i="1"/>
  <c r="C2106" i="1"/>
  <c r="I2105" i="1"/>
  <c r="H2105" i="1"/>
  <c r="G2105" i="1"/>
  <c r="F2105" i="1"/>
  <c r="E2105" i="1"/>
  <c r="D2105" i="1"/>
  <c r="C2105" i="1"/>
  <c r="I2104" i="1"/>
  <c r="H2104" i="1"/>
  <c r="G2104" i="1"/>
  <c r="F2104" i="1"/>
  <c r="E2104" i="1"/>
  <c r="D2104" i="1"/>
  <c r="C2104" i="1"/>
  <c r="I2103" i="1"/>
  <c r="H2103" i="1"/>
  <c r="G2103" i="1"/>
  <c r="F2103" i="1"/>
  <c r="E2103" i="1"/>
  <c r="D2103" i="1"/>
  <c r="C2103" i="1"/>
  <c r="I2102" i="1"/>
  <c r="H2102" i="1"/>
  <c r="G2102" i="1"/>
  <c r="F2102" i="1"/>
  <c r="E2102" i="1"/>
  <c r="D2102" i="1"/>
  <c r="C2102" i="1"/>
  <c r="I2101" i="1"/>
  <c r="H2101" i="1"/>
  <c r="G2101" i="1"/>
  <c r="F2101" i="1"/>
  <c r="E2101" i="1"/>
  <c r="D2101" i="1"/>
  <c r="C2101" i="1"/>
  <c r="I2100" i="1"/>
  <c r="H2100" i="1"/>
  <c r="G2100" i="1"/>
  <c r="F2100" i="1"/>
  <c r="E2100" i="1"/>
  <c r="D2100" i="1"/>
  <c r="C2100" i="1"/>
  <c r="I2099" i="1"/>
  <c r="H2099" i="1"/>
  <c r="G2099" i="1"/>
  <c r="F2099" i="1"/>
  <c r="E2099" i="1"/>
  <c r="D2099" i="1"/>
  <c r="C2099" i="1"/>
  <c r="I2098" i="1"/>
  <c r="H2098" i="1"/>
  <c r="G2098" i="1"/>
  <c r="F2098" i="1"/>
  <c r="E2098" i="1"/>
  <c r="D2098" i="1"/>
  <c r="C2098" i="1"/>
  <c r="I2097" i="1"/>
  <c r="H2097" i="1"/>
  <c r="G2097" i="1"/>
  <c r="F2097" i="1"/>
  <c r="E2097" i="1"/>
  <c r="D2097" i="1"/>
  <c r="C2097" i="1"/>
  <c r="I2096" i="1"/>
  <c r="H2096" i="1"/>
  <c r="G2096" i="1"/>
  <c r="F2096" i="1"/>
  <c r="E2096" i="1"/>
  <c r="D2096" i="1"/>
  <c r="C2096" i="1"/>
  <c r="I2095" i="1"/>
  <c r="H2095" i="1"/>
  <c r="G2095" i="1"/>
  <c r="F2095" i="1"/>
  <c r="E2095" i="1"/>
  <c r="D2095" i="1"/>
  <c r="C2095" i="1"/>
  <c r="I2094" i="1"/>
  <c r="H2094" i="1"/>
  <c r="G2094" i="1"/>
  <c r="F2094" i="1"/>
  <c r="E2094" i="1"/>
  <c r="D2094" i="1"/>
  <c r="C2094" i="1"/>
  <c r="I2093" i="1"/>
  <c r="H2093" i="1"/>
  <c r="G2093" i="1"/>
  <c r="F2093" i="1"/>
  <c r="E2093" i="1"/>
  <c r="D2093" i="1"/>
  <c r="C2093" i="1"/>
  <c r="I2092" i="1"/>
  <c r="H2092" i="1"/>
  <c r="G2092" i="1"/>
  <c r="F2092" i="1"/>
  <c r="E2092" i="1"/>
  <c r="D2092" i="1"/>
  <c r="C2092" i="1"/>
  <c r="I2091" i="1"/>
  <c r="H2091" i="1"/>
  <c r="G2091" i="1"/>
  <c r="F2091" i="1"/>
  <c r="E2091" i="1"/>
  <c r="D2091" i="1"/>
  <c r="C2091" i="1"/>
  <c r="I2090" i="1"/>
  <c r="H2090" i="1"/>
  <c r="G2090" i="1"/>
  <c r="F2090" i="1"/>
  <c r="E2090" i="1"/>
  <c r="D2090" i="1"/>
  <c r="C2090" i="1"/>
  <c r="I2089" i="1"/>
  <c r="H2089" i="1"/>
  <c r="G2089" i="1"/>
  <c r="F2089" i="1"/>
  <c r="E2089" i="1"/>
  <c r="D2089" i="1"/>
  <c r="C2089" i="1"/>
  <c r="I2088" i="1"/>
  <c r="H2088" i="1"/>
  <c r="G2088" i="1"/>
  <c r="F2088" i="1"/>
  <c r="E2088" i="1"/>
  <c r="D2088" i="1"/>
  <c r="C2088" i="1"/>
  <c r="I2087" i="1"/>
  <c r="H2087" i="1"/>
  <c r="G2087" i="1"/>
  <c r="F2087" i="1"/>
  <c r="E2087" i="1"/>
  <c r="D2087" i="1"/>
  <c r="C2087" i="1"/>
  <c r="I2086" i="1"/>
  <c r="H2086" i="1"/>
  <c r="G2086" i="1"/>
  <c r="F2086" i="1"/>
  <c r="E2086" i="1"/>
  <c r="D2086" i="1"/>
  <c r="C2086" i="1"/>
  <c r="I2085" i="1"/>
  <c r="H2085" i="1"/>
  <c r="G2085" i="1"/>
  <c r="F2085" i="1"/>
  <c r="E2085" i="1"/>
  <c r="D2085" i="1"/>
  <c r="C2085" i="1"/>
  <c r="I2084" i="1"/>
  <c r="H2084" i="1"/>
  <c r="G2084" i="1"/>
  <c r="F2084" i="1"/>
  <c r="E2084" i="1"/>
  <c r="D2084" i="1"/>
  <c r="C2084" i="1"/>
  <c r="I2083" i="1"/>
  <c r="H2083" i="1"/>
  <c r="G2083" i="1"/>
  <c r="F2083" i="1"/>
  <c r="E2083" i="1"/>
  <c r="D2083" i="1"/>
  <c r="C2083" i="1"/>
  <c r="I2082" i="1"/>
  <c r="H2082" i="1"/>
  <c r="G2082" i="1"/>
  <c r="F2082" i="1"/>
  <c r="E2082" i="1"/>
  <c r="D2082" i="1"/>
  <c r="C2082" i="1"/>
  <c r="I2081" i="1"/>
  <c r="H2081" i="1"/>
  <c r="G2081" i="1"/>
  <c r="F2081" i="1"/>
  <c r="E2081" i="1"/>
  <c r="D2081" i="1"/>
  <c r="C2081" i="1"/>
  <c r="I2080" i="1"/>
  <c r="H2080" i="1"/>
  <c r="G2080" i="1"/>
  <c r="F2080" i="1"/>
  <c r="E2080" i="1"/>
  <c r="D2080" i="1"/>
  <c r="C2080" i="1"/>
  <c r="I2079" i="1"/>
  <c r="H2079" i="1"/>
  <c r="G2079" i="1"/>
  <c r="F2079" i="1"/>
  <c r="E2079" i="1"/>
  <c r="D2079" i="1"/>
  <c r="C2079" i="1"/>
  <c r="I2078" i="1"/>
  <c r="H2078" i="1"/>
  <c r="G2078" i="1"/>
  <c r="F2078" i="1"/>
  <c r="E2078" i="1"/>
  <c r="D2078" i="1"/>
  <c r="C2078" i="1"/>
  <c r="I2077" i="1"/>
  <c r="H2077" i="1"/>
  <c r="G2077" i="1"/>
  <c r="F2077" i="1"/>
  <c r="E2077" i="1"/>
  <c r="D2077" i="1"/>
  <c r="C2077" i="1"/>
  <c r="I2076" i="1"/>
  <c r="H2076" i="1"/>
  <c r="G2076" i="1"/>
  <c r="F2076" i="1"/>
  <c r="E2076" i="1"/>
  <c r="D2076" i="1"/>
  <c r="C2076" i="1"/>
  <c r="I2075" i="1"/>
  <c r="H2075" i="1"/>
  <c r="G2075" i="1"/>
  <c r="F2075" i="1"/>
  <c r="E2075" i="1"/>
  <c r="D2075" i="1"/>
  <c r="C2075" i="1"/>
  <c r="I2074" i="1"/>
  <c r="H2074" i="1"/>
  <c r="G2074" i="1"/>
  <c r="F2074" i="1"/>
  <c r="E2074" i="1"/>
  <c r="D2074" i="1"/>
  <c r="C2074" i="1"/>
  <c r="I2073" i="1"/>
  <c r="H2073" i="1"/>
  <c r="G2073" i="1"/>
  <c r="F2073" i="1"/>
  <c r="E2073" i="1"/>
  <c r="D2073" i="1"/>
  <c r="C2073" i="1"/>
  <c r="I2072" i="1"/>
  <c r="H2072" i="1"/>
  <c r="G2072" i="1"/>
  <c r="F2072" i="1"/>
  <c r="E2072" i="1"/>
  <c r="D2072" i="1"/>
  <c r="C2072" i="1"/>
  <c r="I2071" i="1"/>
  <c r="H2071" i="1"/>
  <c r="G2071" i="1"/>
  <c r="F2071" i="1"/>
  <c r="E2071" i="1"/>
  <c r="D2071" i="1"/>
  <c r="C2071" i="1"/>
  <c r="I2070" i="1"/>
  <c r="H2070" i="1"/>
  <c r="G2070" i="1"/>
  <c r="F2070" i="1"/>
  <c r="E2070" i="1"/>
  <c r="D2070" i="1"/>
  <c r="C2070" i="1"/>
  <c r="I2069" i="1"/>
  <c r="H2069" i="1"/>
  <c r="G2069" i="1"/>
  <c r="F2069" i="1"/>
  <c r="E2069" i="1"/>
  <c r="D2069" i="1"/>
  <c r="C2069" i="1"/>
  <c r="I2068" i="1"/>
  <c r="H2068" i="1"/>
  <c r="G2068" i="1"/>
  <c r="F2068" i="1"/>
  <c r="E2068" i="1"/>
  <c r="D2068" i="1"/>
  <c r="C2068" i="1"/>
  <c r="I2067" i="1"/>
  <c r="H2067" i="1"/>
  <c r="G2067" i="1"/>
  <c r="F2067" i="1"/>
  <c r="E2067" i="1"/>
  <c r="D2067" i="1"/>
  <c r="C2067" i="1"/>
  <c r="I2066" i="1"/>
  <c r="H2066" i="1"/>
  <c r="G2066" i="1"/>
  <c r="F2066" i="1"/>
  <c r="E2066" i="1"/>
  <c r="D2066" i="1"/>
  <c r="C2066" i="1"/>
  <c r="I2065" i="1"/>
  <c r="H2065" i="1"/>
  <c r="G2065" i="1"/>
  <c r="F2065" i="1"/>
  <c r="E2065" i="1"/>
  <c r="D2065" i="1"/>
  <c r="C2065" i="1"/>
  <c r="I2064" i="1"/>
  <c r="H2064" i="1"/>
  <c r="G2064" i="1"/>
  <c r="F2064" i="1"/>
  <c r="E2064" i="1"/>
  <c r="D2064" i="1"/>
  <c r="C2064" i="1"/>
  <c r="I2063" i="1"/>
  <c r="H2063" i="1"/>
  <c r="G2063" i="1"/>
  <c r="F2063" i="1"/>
  <c r="E2063" i="1"/>
  <c r="D2063" i="1"/>
  <c r="C2063" i="1"/>
  <c r="I2062" i="1"/>
  <c r="H2062" i="1"/>
  <c r="G2062" i="1"/>
  <c r="F2062" i="1"/>
  <c r="E2062" i="1"/>
  <c r="D2062" i="1"/>
  <c r="C2062" i="1"/>
  <c r="I2061" i="1"/>
  <c r="H2061" i="1"/>
  <c r="G2061" i="1"/>
  <c r="F2061" i="1"/>
  <c r="E2061" i="1"/>
  <c r="D2061" i="1"/>
  <c r="C2061" i="1"/>
  <c r="I2060" i="1"/>
  <c r="H2060" i="1"/>
  <c r="G2060" i="1"/>
  <c r="F2060" i="1"/>
  <c r="E2060" i="1"/>
  <c r="D2060" i="1"/>
  <c r="C2060" i="1"/>
  <c r="I2059" i="1"/>
  <c r="H2059" i="1"/>
  <c r="G2059" i="1"/>
  <c r="F2059" i="1"/>
  <c r="E2059" i="1"/>
  <c r="D2059" i="1"/>
  <c r="C2059" i="1"/>
  <c r="I2058" i="1"/>
  <c r="H2058" i="1"/>
  <c r="G2058" i="1"/>
  <c r="F2058" i="1"/>
  <c r="E2058" i="1"/>
  <c r="D2058" i="1"/>
  <c r="C2058" i="1"/>
  <c r="I2057" i="1"/>
  <c r="H2057" i="1"/>
  <c r="G2057" i="1"/>
  <c r="F2057" i="1"/>
  <c r="E2057" i="1"/>
  <c r="D2057" i="1"/>
  <c r="C2057" i="1"/>
  <c r="I2056" i="1"/>
  <c r="H2056" i="1"/>
  <c r="G2056" i="1"/>
  <c r="F2056" i="1"/>
  <c r="E2056" i="1"/>
  <c r="D2056" i="1"/>
  <c r="C2056" i="1"/>
  <c r="I2055" i="1"/>
  <c r="H2055" i="1"/>
  <c r="G2055" i="1"/>
  <c r="F2055" i="1"/>
  <c r="E2055" i="1"/>
  <c r="D2055" i="1"/>
  <c r="C2055" i="1"/>
  <c r="I2054" i="1"/>
  <c r="H2054" i="1"/>
  <c r="G2054" i="1"/>
  <c r="F2054" i="1"/>
  <c r="E2054" i="1"/>
  <c r="D2054" i="1"/>
  <c r="C2054" i="1"/>
  <c r="I2053" i="1"/>
  <c r="H2053" i="1"/>
  <c r="G2053" i="1"/>
  <c r="F2053" i="1"/>
  <c r="E2053" i="1"/>
  <c r="D2053" i="1"/>
  <c r="C2053" i="1"/>
  <c r="I2052" i="1"/>
  <c r="H2052" i="1"/>
  <c r="G2052" i="1"/>
  <c r="F2052" i="1"/>
  <c r="E2052" i="1"/>
  <c r="D2052" i="1"/>
  <c r="C2052" i="1"/>
  <c r="I2051" i="1"/>
  <c r="H2051" i="1"/>
  <c r="G2051" i="1"/>
  <c r="F2051" i="1"/>
  <c r="E2051" i="1"/>
  <c r="D2051" i="1"/>
  <c r="C2051" i="1"/>
  <c r="I2050" i="1"/>
  <c r="H2050" i="1"/>
  <c r="G2050" i="1"/>
  <c r="F2050" i="1"/>
  <c r="E2050" i="1"/>
  <c r="D2050" i="1"/>
  <c r="C2050" i="1"/>
  <c r="I2049" i="1"/>
  <c r="H2049" i="1"/>
  <c r="G2049" i="1"/>
  <c r="F2049" i="1"/>
  <c r="E2049" i="1"/>
  <c r="D2049" i="1"/>
  <c r="C2049" i="1"/>
  <c r="I2048" i="1"/>
  <c r="H2048" i="1"/>
  <c r="G2048" i="1"/>
  <c r="F2048" i="1"/>
  <c r="E2048" i="1"/>
  <c r="D2048" i="1"/>
  <c r="C2048" i="1"/>
  <c r="I2047" i="1"/>
  <c r="H2047" i="1"/>
  <c r="G2047" i="1"/>
  <c r="F2047" i="1"/>
  <c r="E2047" i="1"/>
  <c r="D2047" i="1"/>
  <c r="C2047" i="1"/>
  <c r="I2046" i="1"/>
  <c r="H2046" i="1"/>
  <c r="G2046" i="1"/>
  <c r="F2046" i="1"/>
  <c r="E2046" i="1"/>
  <c r="D2046" i="1"/>
  <c r="C2046" i="1"/>
  <c r="I2045" i="1"/>
  <c r="H2045" i="1"/>
  <c r="G2045" i="1"/>
  <c r="F2045" i="1"/>
  <c r="E2045" i="1"/>
  <c r="D2045" i="1"/>
  <c r="C2045" i="1"/>
  <c r="I2044" i="1"/>
  <c r="H2044" i="1"/>
  <c r="G2044" i="1"/>
  <c r="F2044" i="1"/>
  <c r="E2044" i="1"/>
  <c r="D2044" i="1"/>
  <c r="C2044" i="1"/>
  <c r="I2043" i="1"/>
  <c r="H2043" i="1"/>
  <c r="G2043" i="1"/>
  <c r="F2043" i="1"/>
  <c r="E2043" i="1"/>
  <c r="D2043" i="1"/>
  <c r="C2043" i="1"/>
  <c r="I2042" i="1"/>
  <c r="H2042" i="1"/>
  <c r="G2042" i="1"/>
  <c r="F2042" i="1"/>
  <c r="E2042" i="1"/>
  <c r="D2042" i="1"/>
  <c r="C2042" i="1"/>
  <c r="I2041" i="1"/>
  <c r="H2041" i="1"/>
  <c r="G2041" i="1"/>
  <c r="F2041" i="1"/>
  <c r="E2041" i="1"/>
  <c r="D2041" i="1"/>
  <c r="C2041" i="1"/>
  <c r="I2040" i="1"/>
  <c r="H2040" i="1"/>
  <c r="G2040" i="1"/>
  <c r="F2040" i="1"/>
  <c r="E2040" i="1"/>
  <c r="D2040" i="1"/>
  <c r="C2040" i="1"/>
  <c r="I2039" i="1"/>
  <c r="H2039" i="1"/>
  <c r="G2039" i="1"/>
  <c r="F2039" i="1"/>
  <c r="E2039" i="1"/>
  <c r="D2039" i="1"/>
  <c r="C2039" i="1"/>
  <c r="I2038" i="1"/>
  <c r="H2038" i="1"/>
  <c r="G2038" i="1"/>
  <c r="F2038" i="1"/>
  <c r="E2038" i="1"/>
  <c r="D2038" i="1"/>
  <c r="C2038" i="1"/>
  <c r="I2037" i="1"/>
  <c r="H2037" i="1"/>
  <c r="G2037" i="1"/>
  <c r="F2037" i="1"/>
  <c r="E2037" i="1"/>
  <c r="D2037" i="1"/>
  <c r="C2037" i="1"/>
  <c r="I2036" i="1"/>
  <c r="H2036" i="1"/>
  <c r="G2036" i="1"/>
  <c r="F2036" i="1"/>
  <c r="E2036" i="1"/>
  <c r="D2036" i="1"/>
  <c r="C2036" i="1"/>
  <c r="I2035" i="1"/>
  <c r="H2035" i="1"/>
  <c r="G2035" i="1"/>
  <c r="F2035" i="1"/>
  <c r="E2035" i="1"/>
  <c r="D2035" i="1"/>
  <c r="C2035" i="1"/>
  <c r="I2034" i="1"/>
  <c r="H2034" i="1"/>
  <c r="G2034" i="1"/>
  <c r="F2034" i="1"/>
  <c r="E2034" i="1"/>
  <c r="D2034" i="1"/>
  <c r="C2034" i="1"/>
  <c r="I2033" i="1"/>
  <c r="H2033" i="1"/>
  <c r="G2033" i="1"/>
  <c r="F2033" i="1"/>
  <c r="E2033" i="1"/>
  <c r="D2033" i="1"/>
  <c r="C2033" i="1"/>
  <c r="I2032" i="1"/>
  <c r="H2032" i="1"/>
  <c r="G2032" i="1"/>
  <c r="F2032" i="1"/>
  <c r="E2032" i="1"/>
  <c r="D2032" i="1"/>
  <c r="C2032" i="1"/>
  <c r="I2031" i="1"/>
  <c r="H2031" i="1"/>
  <c r="G2031" i="1"/>
  <c r="F2031" i="1"/>
  <c r="E2031" i="1"/>
  <c r="D2031" i="1"/>
  <c r="C2031" i="1"/>
  <c r="I2030" i="1"/>
  <c r="H2030" i="1"/>
  <c r="G2030" i="1"/>
  <c r="F2030" i="1"/>
  <c r="E2030" i="1"/>
  <c r="D2030" i="1"/>
  <c r="C2030" i="1"/>
  <c r="I2029" i="1"/>
  <c r="H2029" i="1"/>
  <c r="G2029" i="1"/>
  <c r="F2029" i="1"/>
  <c r="E2029" i="1"/>
  <c r="D2029" i="1"/>
  <c r="C2029" i="1"/>
  <c r="I2028" i="1"/>
  <c r="H2028" i="1"/>
  <c r="G2028" i="1"/>
  <c r="F2028" i="1"/>
  <c r="E2028" i="1"/>
  <c r="D2028" i="1"/>
  <c r="C2028" i="1"/>
  <c r="I2027" i="1"/>
  <c r="H2027" i="1"/>
  <c r="G2027" i="1"/>
  <c r="F2027" i="1"/>
  <c r="E2027" i="1"/>
  <c r="D2027" i="1"/>
  <c r="C2027" i="1"/>
  <c r="I2026" i="1"/>
  <c r="H2026" i="1"/>
  <c r="G2026" i="1"/>
  <c r="F2026" i="1"/>
  <c r="E2026" i="1"/>
  <c r="D2026" i="1"/>
  <c r="C2026" i="1"/>
  <c r="I2025" i="1"/>
  <c r="H2025" i="1"/>
  <c r="G2025" i="1"/>
  <c r="F2025" i="1"/>
  <c r="E2025" i="1"/>
  <c r="D2025" i="1"/>
  <c r="C2025" i="1"/>
  <c r="I2024" i="1"/>
  <c r="H2024" i="1"/>
  <c r="G2024" i="1"/>
  <c r="F2024" i="1"/>
  <c r="E2024" i="1"/>
  <c r="D2024" i="1"/>
  <c r="C2024" i="1"/>
  <c r="I2023" i="1"/>
  <c r="H2023" i="1"/>
  <c r="G2023" i="1"/>
  <c r="F2023" i="1"/>
  <c r="E2023" i="1"/>
  <c r="D2023" i="1"/>
  <c r="C2023" i="1"/>
  <c r="I2022" i="1"/>
  <c r="H2022" i="1"/>
  <c r="G2022" i="1"/>
  <c r="F2022" i="1"/>
  <c r="E2022" i="1"/>
  <c r="D2022" i="1"/>
  <c r="C2022" i="1"/>
  <c r="I2021" i="1"/>
  <c r="H2021" i="1"/>
  <c r="G2021" i="1"/>
  <c r="F2021" i="1"/>
  <c r="E2021" i="1"/>
  <c r="D2021" i="1"/>
  <c r="C2021" i="1"/>
  <c r="I2020" i="1"/>
  <c r="H2020" i="1"/>
  <c r="G2020" i="1"/>
  <c r="F2020" i="1"/>
  <c r="E2020" i="1"/>
  <c r="D2020" i="1"/>
  <c r="C2020" i="1"/>
  <c r="I2019" i="1"/>
  <c r="H2019" i="1"/>
  <c r="G2019" i="1"/>
  <c r="F2019" i="1"/>
  <c r="E2019" i="1"/>
  <c r="D2019" i="1"/>
  <c r="C2019" i="1"/>
  <c r="I2018" i="1"/>
  <c r="H2018" i="1"/>
  <c r="G2018" i="1"/>
  <c r="F2018" i="1"/>
  <c r="E2018" i="1"/>
  <c r="D2018" i="1"/>
  <c r="C2018" i="1"/>
  <c r="I2017" i="1"/>
  <c r="H2017" i="1"/>
  <c r="G2017" i="1"/>
  <c r="F2017" i="1"/>
  <c r="E2017" i="1"/>
  <c r="D2017" i="1"/>
  <c r="C2017" i="1"/>
  <c r="I2016" i="1"/>
  <c r="H2016" i="1"/>
  <c r="G2016" i="1"/>
  <c r="F2016" i="1"/>
  <c r="E2016" i="1"/>
  <c r="D2016" i="1"/>
  <c r="C2016" i="1"/>
  <c r="I2015" i="1"/>
  <c r="H2015" i="1"/>
  <c r="G2015" i="1"/>
  <c r="F2015" i="1"/>
  <c r="E2015" i="1"/>
  <c r="D2015" i="1"/>
  <c r="C2015" i="1"/>
  <c r="I2014" i="1"/>
  <c r="H2014" i="1"/>
  <c r="G2014" i="1"/>
  <c r="F2014" i="1"/>
  <c r="E2014" i="1"/>
  <c r="D2014" i="1"/>
  <c r="C2014" i="1"/>
  <c r="I2013" i="1"/>
  <c r="H2013" i="1"/>
  <c r="G2013" i="1"/>
  <c r="F2013" i="1"/>
  <c r="E2013" i="1"/>
  <c r="D2013" i="1"/>
  <c r="C2013" i="1"/>
  <c r="I2012" i="1"/>
  <c r="H2012" i="1"/>
  <c r="G2012" i="1"/>
  <c r="F2012" i="1"/>
  <c r="E2012" i="1"/>
  <c r="D2012" i="1"/>
  <c r="C2012" i="1"/>
  <c r="I2011" i="1"/>
  <c r="H2011" i="1"/>
  <c r="G2011" i="1"/>
  <c r="F2011" i="1"/>
  <c r="E2011" i="1"/>
  <c r="D2011" i="1"/>
  <c r="C2011" i="1"/>
  <c r="I2010" i="1"/>
  <c r="H2010" i="1"/>
  <c r="G2010" i="1"/>
  <c r="F2010" i="1"/>
  <c r="E2010" i="1"/>
  <c r="D2010" i="1"/>
  <c r="C2010" i="1"/>
  <c r="I2009" i="1"/>
  <c r="H2009" i="1"/>
  <c r="G2009" i="1"/>
  <c r="F2009" i="1"/>
  <c r="E2009" i="1"/>
  <c r="D2009" i="1"/>
  <c r="C2009" i="1"/>
  <c r="I2008" i="1"/>
  <c r="H2008" i="1"/>
  <c r="G2008" i="1"/>
  <c r="F2008" i="1"/>
  <c r="E2008" i="1"/>
  <c r="D2008" i="1"/>
  <c r="C2008" i="1"/>
  <c r="I2007" i="1"/>
  <c r="H2007" i="1"/>
  <c r="G2007" i="1"/>
  <c r="F2007" i="1"/>
  <c r="E2007" i="1"/>
  <c r="D2007" i="1"/>
  <c r="C2007" i="1"/>
  <c r="I2006" i="1"/>
  <c r="H2006" i="1"/>
  <c r="G2006" i="1"/>
  <c r="F2006" i="1"/>
  <c r="E2006" i="1"/>
  <c r="D2006" i="1"/>
  <c r="C2006" i="1"/>
  <c r="I2005" i="1"/>
  <c r="H2005" i="1"/>
  <c r="G2005" i="1"/>
  <c r="F2005" i="1"/>
  <c r="E2005" i="1"/>
  <c r="D2005" i="1"/>
  <c r="C2005" i="1"/>
  <c r="I2004" i="1"/>
  <c r="H2004" i="1"/>
  <c r="G2004" i="1"/>
  <c r="F2004" i="1"/>
  <c r="E2004" i="1"/>
  <c r="D2004" i="1"/>
  <c r="C2004" i="1"/>
  <c r="I2003" i="1"/>
  <c r="H2003" i="1"/>
  <c r="G2003" i="1"/>
  <c r="F2003" i="1"/>
  <c r="E2003" i="1"/>
  <c r="D2003" i="1"/>
  <c r="C2003" i="1"/>
  <c r="I2002" i="1"/>
  <c r="H2002" i="1"/>
  <c r="G2002" i="1"/>
  <c r="F2002" i="1"/>
  <c r="E2002" i="1"/>
  <c r="D2002" i="1"/>
  <c r="C2002" i="1"/>
  <c r="I2001" i="1"/>
  <c r="H2001" i="1"/>
  <c r="G2001" i="1"/>
  <c r="F2001" i="1"/>
  <c r="E2001" i="1"/>
  <c r="D2001" i="1"/>
  <c r="C2001" i="1"/>
  <c r="I2000" i="1"/>
  <c r="H2000" i="1"/>
  <c r="G2000" i="1"/>
  <c r="F2000" i="1"/>
  <c r="E2000" i="1"/>
  <c r="D2000" i="1"/>
  <c r="C2000" i="1"/>
  <c r="I1999" i="1"/>
  <c r="H1999" i="1"/>
  <c r="G1999" i="1"/>
  <c r="F1999" i="1"/>
  <c r="E1999" i="1"/>
  <c r="D1999" i="1"/>
  <c r="C1999" i="1"/>
  <c r="I1998" i="1"/>
  <c r="H1998" i="1"/>
  <c r="G1998" i="1"/>
  <c r="F1998" i="1"/>
  <c r="E1998" i="1"/>
  <c r="D1998" i="1"/>
  <c r="C1998" i="1"/>
  <c r="I1997" i="1"/>
  <c r="H1997" i="1"/>
  <c r="G1997" i="1"/>
  <c r="F1997" i="1"/>
  <c r="E1997" i="1"/>
  <c r="D1997" i="1"/>
  <c r="C1997" i="1"/>
  <c r="I1996" i="1"/>
  <c r="H1996" i="1"/>
  <c r="G1996" i="1"/>
  <c r="F1996" i="1"/>
  <c r="E1996" i="1"/>
  <c r="D1996" i="1"/>
  <c r="C1996" i="1"/>
  <c r="I1995" i="1"/>
  <c r="H1995" i="1"/>
  <c r="G1995" i="1"/>
  <c r="F1995" i="1"/>
  <c r="E1995" i="1"/>
  <c r="D1995" i="1"/>
  <c r="C1995" i="1"/>
  <c r="I1994" i="1"/>
  <c r="H1994" i="1"/>
  <c r="G1994" i="1"/>
  <c r="F1994" i="1"/>
  <c r="E1994" i="1"/>
  <c r="D1994" i="1"/>
  <c r="C1994" i="1"/>
  <c r="I1993" i="1"/>
  <c r="H1993" i="1"/>
  <c r="G1993" i="1"/>
  <c r="F1993" i="1"/>
  <c r="E1993" i="1"/>
  <c r="D1993" i="1"/>
  <c r="C1993" i="1"/>
  <c r="I1992" i="1"/>
  <c r="H1992" i="1"/>
  <c r="G1992" i="1"/>
  <c r="F1992" i="1"/>
  <c r="E1992" i="1"/>
  <c r="D1992" i="1"/>
  <c r="C1992" i="1"/>
  <c r="I1991" i="1"/>
  <c r="H1991" i="1"/>
  <c r="G1991" i="1"/>
  <c r="F1991" i="1"/>
  <c r="E1991" i="1"/>
  <c r="D1991" i="1"/>
  <c r="C1991" i="1"/>
  <c r="I1990" i="1"/>
  <c r="H1990" i="1"/>
  <c r="G1990" i="1"/>
  <c r="F1990" i="1"/>
  <c r="E1990" i="1"/>
  <c r="D1990" i="1"/>
  <c r="C1990" i="1"/>
  <c r="I1989" i="1"/>
  <c r="H1989" i="1"/>
  <c r="G1989" i="1"/>
  <c r="F1989" i="1"/>
  <c r="E1989" i="1"/>
  <c r="D1989" i="1"/>
  <c r="C1989" i="1"/>
  <c r="I1988" i="1"/>
  <c r="H1988" i="1"/>
  <c r="G1988" i="1"/>
  <c r="F1988" i="1"/>
  <c r="E1988" i="1"/>
  <c r="D1988" i="1"/>
  <c r="C1988" i="1"/>
  <c r="I1987" i="1"/>
  <c r="H1987" i="1"/>
  <c r="G1987" i="1"/>
  <c r="F1987" i="1"/>
  <c r="E1987" i="1"/>
  <c r="D1987" i="1"/>
  <c r="C1987" i="1"/>
  <c r="I1986" i="1"/>
  <c r="H1986" i="1"/>
  <c r="G1986" i="1"/>
  <c r="F1986" i="1"/>
  <c r="E1986" i="1"/>
  <c r="D1986" i="1"/>
  <c r="C1986" i="1"/>
  <c r="I1985" i="1"/>
  <c r="H1985" i="1"/>
  <c r="G1985" i="1"/>
  <c r="F1985" i="1"/>
  <c r="E1985" i="1"/>
  <c r="D1985" i="1"/>
  <c r="C1985" i="1"/>
  <c r="I1984" i="1"/>
  <c r="H1984" i="1"/>
  <c r="G1984" i="1"/>
  <c r="F1984" i="1"/>
  <c r="E1984" i="1"/>
  <c r="D1984" i="1"/>
  <c r="C1984" i="1"/>
  <c r="I1983" i="1"/>
  <c r="H1983" i="1"/>
  <c r="G1983" i="1"/>
  <c r="F1983" i="1"/>
  <c r="E1983" i="1"/>
  <c r="D1983" i="1"/>
  <c r="C1983" i="1"/>
  <c r="I1982" i="1"/>
  <c r="H1982" i="1"/>
  <c r="G1982" i="1"/>
  <c r="F1982" i="1"/>
  <c r="E1982" i="1"/>
  <c r="D1982" i="1"/>
  <c r="C1982" i="1"/>
  <c r="I1981" i="1"/>
  <c r="H1981" i="1"/>
  <c r="G1981" i="1"/>
  <c r="F1981" i="1"/>
  <c r="E1981" i="1"/>
  <c r="D1981" i="1"/>
  <c r="C1981" i="1"/>
  <c r="I1980" i="1"/>
  <c r="H1980" i="1"/>
  <c r="G1980" i="1"/>
  <c r="F1980" i="1"/>
  <c r="E1980" i="1"/>
  <c r="D1980" i="1"/>
  <c r="C1980" i="1"/>
  <c r="I1979" i="1"/>
  <c r="H1979" i="1"/>
  <c r="G1979" i="1"/>
  <c r="F1979" i="1"/>
  <c r="E1979" i="1"/>
  <c r="D1979" i="1"/>
  <c r="C1979" i="1"/>
  <c r="I1978" i="1"/>
  <c r="H1978" i="1"/>
  <c r="G1978" i="1"/>
  <c r="F1978" i="1"/>
  <c r="E1978" i="1"/>
  <c r="D1978" i="1"/>
  <c r="C1978" i="1"/>
  <c r="I1977" i="1"/>
  <c r="H1977" i="1"/>
  <c r="G1977" i="1"/>
  <c r="F1977" i="1"/>
  <c r="E1977" i="1"/>
  <c r="D1977" i="1"/>
  <c r="C1977" i="1"/>
  <c r="I1976" i="1"/>
  <c r="H1976" i="1"/>
  <c r="G1976" i="1"/>
  <c r="F1976" i="1"/>
  <c r="E1976" i="1"/>
  <c r="D1976" i="1"/>
  <c r="C1976" i="1"/>
  <c r="I1975" i="1"/>
  <c r="H1975" i="1"/>
  <c r="G1975" i="1"/>
  <c r="F1975" i="1"/>
  <c r="E1975" i="1"/>
  <c r="D1975" i="1"/>
  <c r="C1975" i="1"/>
  <c r="I1974" i="1"/>
  <c r="H1974" i="1"/>
  <c r="G1974" i="1"/>
  <c r="F1974" i="1"/>
  <c r="E1974" i="1"/>
  <c r="D1974" i="1"/>
  <c r="C1974" i="1"/>
  <c r="I1973" i="1"/>
  <c r="H1973" i="1"/>
  <c r="G1973" i="1"/>
  <c r="F1973" i="1"/>
  <c r="E1973" i="1"/>
  <c r="D1973" i="1"/>
  <c r="C1973" i="1"/>
  <c r="I1972" i="1"/>
  <c r="H1972" i="1"/>
  <c r="G1972" i="1"/>
  <c r="F1972" i="1"/>
  <c r="E1972" i="1"/>
  <c r="D1972" i="1"/>
  <c r="C1972" i="1"/>
  <c r="I1971" i="1"/>
  <c r="H1971" i="1"/>
  <c r="G1971" i="1"/>
  <c r="F1971" i="1"/>
  <c r="E1971" i="1"/>
  <c r="D1971" i="1"/>
  <c r="C1971" i="1"/>
  <c r="I1970" i="1"/>
  <c r="H1970" i="1"/>
  <c r="G1970" i="1"/>
  <c r="F1970" i="1"/>
  <c r="E1970" i="1"/>
  <c r="D1970" i="1"/>
  <c r="C1970" i="1"/>
  <c r="I1969" i="1"/>
  <c r="H1969" i="1"/>
  <c r="G1969" i="1"/>
  <c r="F1969" i="1"/>
  <c r="E1969" i="1"/>
  <c r="D1969" i="1"/>
  <c r="C1969" i="1"/>
  <c r="I1968" i="1"/>
  <c r="H1968" i="1"/>
  <c r="G1968" i="1"/>
  <c r="F1968" i="1"/>
  <c r="E1968" i="1"/>
  <c r="D1968" i="1"/>
  <c r="C1968" i="1"/>
  <c r="I1967" i="1"/>
  <c r="H1967" i="1"/>
  <c r="G1967" i="1"/>
  <c r="F1967" i="1"/>
  <c r="E1967" i="1"/>
  <c r="D1967" i="1"/>
  <c r="C1967" i="1"/>
  <c r="I1966" i="1"/>
  <c r="H1966" i="1"/>
  <c r="G1966" i="1"/>
  <c r="F1966" i="1"/>
  <c r="E1966" i="1"/>
  <c r="D1966" i="1"/>
  <c r="C1966" i="1"/>
  <c r="I1965" i="1"/>
  <c r="H1965" i="1"/>
  <c r="G1965" i="1"/>
  <c r="F1965" i="1"/>
  <c r="E1965" i="1"/>
  <c r="D1965" i="1"/>
  <c r="C1965" i="1"/>
  <c r="I1964" i="1"/>
  <c r="H1964" i="1"/>
  <c r="G1964" i="1"/>
  <c r="F1964" i="1"/>
  <c r="E1964" i="1"/>
  <c r="D1964" i="1"/>
  <c r="C1964" i="1"/>
  <c r="I1963" i="1"/>
  <c r="H1963" i="1"/>
  <c r="G1963" i="1"/>
  <c r="F1963" i="1"/>
  <c r="E1963" i="1"/>
  <c r="D1963" i="1"/>
  <c r="C1963" i="1"/>
  <c r="I1962" i="1"/>
  <c r="H1962" i="1"/>
  <c r="G1962" i="1"/>
  <c r="F1962" i="1"/>
  <c r="E1962" i="1"/>
  <c r="D1962" i="1"/>
  <c r="C1962" i="1"/>
  <c r="I1961" i="1"/>
  <c r="H1961" i="1"/>
  <c r="G1961" i="1"/>
  <c r="F1961" i="1"/>
  <c r="E1961" i="1"/>
  <c r="D1961" i="1"/>
  <c r="C1961" i="1"/>
  <c r="I1960" i="1"/>
  <c r="H1960" i="1"/>
  <c r="G1960" i="1"/>
  <c r="F1960" i="1"/>
  <c r="E1960" i="1"/>
  <c r="D1960" i="1"/>
  <c r="C1960" i="1"/>
  <c r="I1959" i="1"/>
  <c r="H1959" i="1"/>
  <c r="G1959" i="1"/>
  <c r="F1959" i="1"/>
  <c r="E1959" i="1"/>
  <c r="D1959" i="1"/>
  <c r="C1959" i="1"/>
  <c r="I1958" i="1"/>
  <c r="H1958" i="1"/>
  <c r="G1958" i="1"/>
  <c r="F1958" i="1"/>
  <c r="E1958" i="1"/>
  <c r="D1958" i="1"/>
  <c r="C1958" i="1"/>
  <c r="I1957" i="1"/>
  <c r="H1957" i="1"/>
  <c r="G1957" i="1"/>
  <c r="F1957" i="1"/>
  <c r="E1957" i="1"/>
  <c r="D1957" i="1"/>
  <c r="C1957" i="1"/>
  <c r="I1956" i="1"/>
  <c r="H1956" i="1"/>
  <c r="G1956" i="1"/>
  <c r="F1956" i="1"/>
  <c r="E1956" i="1"/>
  <c r="D1956" i="1"/>
  <c r="C1956" i="1"/>
  <c r="I1955" i="1"/>
  <c r="H1955" i="1"/>
  <c r="G1955" i="1"/>
  <c r="F1955" i="1"/>
  <c r="E1955" i="1"/>
  <c r="D1955" i="1"/>
  <c r="C1955" i="1"/>
  <c r="I1954" i="1"/>
  <c r="H1954" i="1"/>
  <c r="G1954" i="1"/>
  <c r="F1954" i="1"/>
  <c r="E1954" i="1"/>
  <c r="D1954" i="1"/>
  <c r="C1954" i="1"/>
  <c r="I1953" i="1"/>
  <c r="H1953" i="1"/>
  <c r="G1953" i="1"/>
  <c r="F1953" i="1"/>
  <c r="E1953" i="1"/>
  <c r="D1953" i="1"/>
  <c r="C1953" i="1"/>
  <c r="I1952" i="1"/>
  <c r="H1952" i="1"/>
  <c r="G1952" i="1"/>
  <c r="F1952" i="1"/>
  <c r="E1952" i="1"/>
  <c r="D1952" i="1"/>
  <c r="C1952" i="1"/>
  <c r="I1951" i="1"/>
  <c r="H1951" i="1"/>
  <c r="G1951" i="1"/>
  <c r="F1951" i="1"/>
  <c r="E1951" i="1"/>
  <c r="D1951" i="1"/>
  <c r="C1951" i="1"/>
  <c r="I1950" i="1"/>
  <c r="H1950" i="1"/>
  <c r="G1950" i="1"/>
  <c r="F1950" i="1"/>
  <c r="E1950" i="1"/>
  <c r="D1950" i="1"/>
  <c r="C1950" i="1"/>
  <c r="I1949" i="1"/>
  <c r="H1949" i="1"/>
  <c r="G1949" i="1"/>
  <c r="F1949" i="1"/>
  <c r="E1949" i="1"/>
  <c r="D1949" i="1"/>
  <c r="C1949" i="1"/>
  <c r="I1948" i="1"/>
  <c r="H1948" i="1"/>
  <c r="G1948" i="1"/>
  <c r="F1948" i="1"/>
  <c r="E1948" i="1"/>
  <c r="D1948" i="1"/>
  <c r="C1948" i="1"/>
  <c r="I1947" i="1"/>
  <c r="H1947" i="1"/>
  <c r="G1947" i="1"/>
  <c r="F1947" i="1"/>
  <c r="E1947" i="1"/>
  <c r="D1947" i="1"/>
  <c r="C1947" i="1"/>
  <c r="I1946" i="1"/>
  <c r="H1946" i="1"/>
  <c r="G1946" i="1"/>
  <c r="F1946" i="1"/>
  <c r="E1946" i="1"/>
  <c r="D1946" i="1"/>
  <c r="C1946" i="1"/>
  <c r="I1945" i="1"/>
  <c r="H1945" i="1"/>
  <c r="G1945" i="1"/>
  <c r="F1945" i="1"/>
  <c r="E1945" i="1"/>
  <c r="D1945" i="1"/>
  <c r="C1945" i="1"/>
  <c r="I1944" i="1"/>
  <c r="H1944" i="1"/>
  <c r="G1944" i="1"/>
  <c r="F1944" i="1"/>
  <c r="E1944" i="1"/>
  <c r="D1944" i="1"/>
  <c r="C1944" i="1"/>
  <c r="I1943" i="1"/>
  <c r="H1943" i="1"/>
  <c r="G1943" i="1"/>
  <c r="F1943" i="1"/>
  <c r="E1943" i="1"/>
  <c r="D1943" i="1"/>
  <c r="C1943" i="1"/>
  <c r="I1942" i="1"/>
  <c r="H1942" i="1"/>
  <c r="G1942" i="1"/>
  <c r="F1942" i="1"/>
  <c r="E1942" i="1"/>
  <c r="D1942" i="1"/>
  <c r="C1942" i="1"/>
  <c r="I1941" i="1"/>
  <c r="H1941" i="1"/>
  <c r="G1941" i="1"/>
  <c r="F1941" i="1"/>
  <c r="E1941" i="1"/>
  <c r="D1941" i="1"/>
  <c r="C1941" i="1"/>
  <c r="I1940" i="1"/>
  <c r="H1940" i="1"/>
  <c r="G1940" i="1"/>
  <c r="F1940" i="1"/>
  <c r="E1940" i="1"/>
  <c r="D1940" i="1"/>
  <c r="C1940" i="1"/>
  <c r="I1939" i="1"/>
  <c r="H1939" i="1"/>
  <c r="G1939" i="1"/>
  <c r="F1939" i="1"/>
  <c r="E1939" i="1"/>
  <c r="D1939" i="1"/>
  <c r="C1939" i="1"/>
  <c r="I1938" i="1"/>
  <c r="H1938" i="1"/>
  <c r="G1938" i="1"/>
  <c r="F1938" i="1"/>
  <c r="E1938" i="1"/>
  <c r="D1938" i="1"/>
  <c r="C1938" i="1"/>
  <c r="I1937" i="1"/>
  <c r="H1937" i="1"/>
  <c r="G1937" i="1"/>
  <c r="F1937" i="1"/>
  <c r="E1937" i="1"/>
  <c r="D1937" i="1"/>
  <c r="C1937" i="1"/>
  <c r="I1936" i="1"/>
  <c r="H1936" i="1"/>
  <c r="G1936" i="1"/>
  <c r="F1936" i="1"/>
  <c r="E1936" i="1"/>
  <c r="D1936" i="1"/>
  <c r="C1936" i="1"/>
  <c r="I1935" i="1"/>
  <c r="H1935" i="1"/>
  <c r="G1935" i="1"/>
  <c r="F1935" i="1"/>
  <c r="E1935" i="1"/>
  <c r="D1935" i="1"/>
  <c r="C1935" i="1"/>
  <c r="I1934" i="1"/>
  <c r="H1934" i="1"/>
  <c r="G1934" i="1"/>
  <c r="F1934" i="1"/>
  <c r="E1934" i="1"/>
  <c r="D1934" i="1"/>
  <c r="C1934" i="1"/>
  <c r="I1933" i="1"/>
  <c r="H1933" i="1"/>
  <c r="G1933" i="1"/>
  <c r="F1933" i="1"/>
  <c r="E1933" i="1"/>
  <c r="D1933" i="1"/>
  <c r="C1933" i="1"/>
  <c r="I1932" i="1"/>
  <c r="H1932" i="1"/>
  <c r="G1932" i="1"/>
  <c r="F1932" i="1"/>
  <c r="E1932" i="1"/>
  <c r="D1932" i="1"/>
  <c r="C1932" i="1"/>
  <c r="I1931" i="1"/>
  <c r="H1931" i="1"/>
  <c r="G1931" i="1"/>
  <c r="F1931" i="1"/>
  <c r="E1931" i="1"/>
  <c r="D1931" i="1"/>
  <c r="C1931" i="1"/>
  <c r="I1930" i="1"/>
  <c r="H1930" i="1"/>
  <c r="G1930" i="1"/>
  <c r="F1930" i="1"/>
  <c r="E1930" i="1"/>
  <c r="D1930" i="1"/>
  <c r="C1930" i="1"/>
  <c r="I1929" i="1"/>
  <c r="H1929" i="1"/>
  <c r="G1929" i="1"/>
  <c r="F1929" i="1"/>
  <c r="E1929" i="1"/>
  <c r="D1929" i="1"/>
  <c r="C1929" i="1"/>
  <c r="I1928" i="1"/>
  <c r="H1928" i="1"/>
  <c r="G1928" i="1"/>
  <c r="F1928" i="1"/>
  <c r="E1928" i="1"/>
  <c r="D1928" i="1"/>
  <c r="C1928" i="1"/>
  <c r="I1927" i="1"/>
  <c r="H1927" i="1"/>
  <c r="G1927" i="1"/>
  <c r="F1927" i="1"/>
  <c r="E1927" i="1"/>
  <c r="D1927" i="1"/>
  <c r="C1927" i="1"/>
  <c r="I1926" i="1"/>
  <c r="H1926" i="1"/>
  <c r="G1926" i="1"/>
  <c r="F1926" i="1"/>
  <c r="E1926" i="1"/>
  <c r="D1926" i="1"/>
  <c r="C1926" i="1"/>
  <c r="I1925" i="1"/>
  <c r="H1925" i="1"/>
  <c r="G1925" i="1"/>
  <c r="F1925" i="1"/>
  <c r="E1925" i="1"/>
  <c r="D1925" i="1"/>
  <c r="C1925" i="1"/>
  <c r="I1924" i="1"/>
  <c r="H1924" i="1"/>
  <c r="G1924" i="1"/>
  <c r="F1924" i="1"/>
  <c r="E1924" i="1"/>
  <c r="D1924" i="1"/>
  <c r="C1924" i="1"/>
  <c r="I1923" i="1"/>
  <c r="H1923" i="1"/>
  <c r="G1923" i="1"/>
  <c r="F1923" i="1"/>
  <c r="E1923" i="1"/>
  <c r="D1923" i="1"/>
  <c r="C1923" i="1"/>
  <c r="I1922" i="1"/>
  <c r="H1922" i="1"/>
  <c r="G1922" i="1"/>
  <c r="F1922" i="1"/>
  <c r="E1922" i="1"/>
  <c r="D1922" i="1"/>
  <c r="C1922" i="1"/>
  <c r="I1921" i="1"/>
  <c r="H1921" i="1"/>
  <c r="G1921" i="1"/>
  <c r="F1921" i="1"/>
  <c r="E1921" i="1"/>
  <c r="D1921" i="1"/>
  <c r="C1921" i="1"/>
  <c r="I1920" i="1"/>
  <c r="H1920" i="1"/>
  <c r="G1920" i="1"/>
  <c r="F1920" i="1"/>
  <c r="E1920" i="1"/>
  <c r="D1920" i="1"/>
  <c r="C1920" i="1"/>
  <c r="I1919" i="1"/>
  <c r="H1919" i="1"/>
  <c r="G1919" i="1"/>
  <c r="F1919" i="1"/>
  <c r="E1919" i="1"/>
  <c r="D1919" i="1"/>
  <c r="C1919" i="1"/>
  <c r="I1918" i="1"/>
  <c r="H1918" i="1"/>
  <c r="G1918" i="1"/>
  <c r="F1918" i="1"/>
  <c r="E1918" i="1"/>
  <c r="D1918" i="1"/>
  <c r="C1918" i="1"/>
  <c r="I1917" i="1"/>
  <c r="H1917" i="1"/>
  <c r="G1917" i="1"/>
  <c r="F1917" i="1"/>
  <c r="E1917" i="1"/>
  <c r="D1917" i="1"/>
  <c r="C1917" i="1"/>
  <c r="I1916" i="1"/>
  <c r="H1916" i="1"/>
  <c r="G1916" i="1"/>
  <c r="F1916" i="1"/>
  <c r="E1916" i="1"/>
  <c r="D1916" i="1"/>
  <c r="C1916" i="1"/>
  <c r="I1915" i="1"/>
  <c r="H1915" i="1"/>
  <c r="G1915" i="1"/>
  <c r="F1915" i="1"/>
  <c r="E1915" i="1"/>
  <c r="D1915" i="1"/>
  <c r="C1915" i="1"/>
  <c r="I1914" i="1"/>
  <c r="H1914" i="1"/>
  <c r="G1914" i="1"/>
  <c r="F1914" i="1"/>
  <c r="E1914" i="1"/>
  <c r="D1914" i="1"/>
  <c r="C1914" i="1"/>
  <c r="I1913" i="1"/>
  <c r="H1913" i="1"/>
  <c r="G1913" i="1"/>
  <c r="F1913" i="1"/>
  <c r="E1913" i="1"/>
  <c r="D1913" i="1"/>
  <c r="C1913" i="1"/>
  <c r="I1912" i="1"/>
  <c r="H1912" i="1"/>
  <c r="G1912" i="1"/>
  <c r="F1912" i="1"/>
  <c r="E1912" i="1"/>
  <c r="D1912" i="1"/>
  <c r="C1912" i="1"/>
  <c r="I1911" i="1"/>
  <c r="H1911" i="1"/>
  <c r="G1911" i="1"/>
  <c r="F1911" i="1"/>
  <c r="E1911" i="1"/>
  <c r="D1911" i="1"/>
  <c r="C1911" i="1"/>
  <c r="I1910" i="1"/>
  <c r="H1910" i="1"/>
  <c r="G1910" i="1"/>
  <c r="F1910" i="1"/>
  <c r="E1910" i="1"/>
  <c r="D1910" i="1"/>
  <c r="C1910" i="1"/>
  <c r="I1909" i="1"/>
  <c r="H1909" i="1"/>
  <c r="G1909" i="1"/>
  <c r="F1909" i="1"/>
  <c r="E1909" i="1"/>
  <c r="D1909" i="1"/>
  <c r="C1909" i="1"/>
  <c r="I1908" i="1"/>
  <c r="H1908" i="1"/>
  <c r="G1908" i="1"/>
  <c r="F1908" i="1"/>
  <c r="E1908" i="1"/>
  <c r="D1908" i="1"/>
  <c r="C1908" i="1"/>
  <c r="I1907" i="1"/>
  <c r="H1907" i="1"/>
  <c r="G1907" i="1"/>
  <c r="F1907" i="1"/>
  <c r="E1907" i="1"/>
  <c r="D1907" i="1"/>
  <c r="C1907" i="1"/>
  <c r="I1906" i="1"/>
  <c r="H1906" i="1"/>
  <c r="G1906" i="1"/>
  <c r="F1906" i="1"/>
  <c r="E1906" i="1"/>
  <c r="D1906" i="1"/>
  <c r="C1906" i="1"/>
  <c r="I1905" i="1"/>
  <c r="H1905" i="1"/>
  <c r="G1905" i="1"/>
  <c r="F1905" i="1"/>
  <c r="E1905" i="1"/>
  <c r="D1905" i="1"/>
  <c r="C1905" i="1"/>
  <c r="I1904" i="1"/>
  <c r="H1904" i="1"/>
  <c r="G1904" i="1"/>
  <c r="F1904" i="1"/>
  <c r="E1904" i="1"/>
  <c r="D1904" i="1"/>
  <c r="C1904" i="1"/>
  <c r="I1903" i="1"/>
  <c r="H1903" i="1"/>
  <c r="G1903" i="1"/>
  <c r="F1903" i="1"/>
  <c r="E1903" i="1"/>
  <c r="D1903" i="1"/>
  <c r="C1903" i="1"/>
  <c r="I1902" i="1"/>
  <c r="H1902" i="1"/>
  <c r="G1902" i="1"/>
  <c r="F1902" i="1"/>
  <c r="E1902" i="1"/>
  <c r="D1902" i="1"/>
  <c r="C1902" i="1"/>
  <c r="I1901" i="1"/>
  <c r="H1901" i="1"/>
  <c r="G1901" i="1"/>
  <c r="F1901" i="1"/>
  <c r="E1901" i="1"/>
  <c r="D1901" i="1"/>
  <c r="C1901" i="1"/>
  <c r="I1900" i="1"/>
  <c r="H1900" i="1"/>
  <c r="G1900" i="1"/>
  <c r="F1900" i="1"/>
  <c r="E1900" i="1"/>
  <c r="D1900" i="1"/>
  <c r="C1900" i="1"/>
  <c r="I1899" i="1"/>
  <c r="H1899" i="1"/>
  <c r="G1899" i="1"/>
  <c r="F1899" i="1"/>
  <c r="E1899" i="1"/>
  <c r="D1899" i="1"/>
  <c r="C1899" i="1"/>
  <c r="I1898" i="1"/>
  <c r="H1898" i="1"/>
  <c r="G1898" i="1"/>
  <c r="F1898" i="1"/>
  <c r="E1898" i="1"/>
  <c r="D1898" i="1"/>
  <c r="C1898" i="1"/>
  <c r="I1897" i="1"/>
  <c r="H1897" i="1"/>
  <c r="G1897" i="1"/>
  <c r="F1897" i="1"/>
  <c r="E1897" i="1"/>
  <c r="D1897" i="1"/>
  <c r="C1897" i="1"/>
  <c r="I1896" i="1"/>
  <c r="H1896" i="1"/>
  <c r="G1896" i="1"/>
  <c r="F1896" i="1"/>
  <c r="E1896" i="1"/>
  <c r="D1896" i="1"/>
  <c r="C1896" i="1"/>
  <c r="I1895" i="1"/>
  <c r="H1895" i="1"/>
  <c r="G1895" i="1"/>
  <c r="F1895" i="1"/>
  <c r="E1895" i="1"/>
  <c r="D1895" i="1"/>
  <c r="C1895" i="1"/>
  <c r="I1894" i="1"/>
  <c r="H1894" i="1"/>
  <c r="G1894" i="1"/>
  <c r="F1894" i="1"/>
  <c r="E1894" i="1"/>
  <c r="D1894" i="1"/>
  <c r="C1894" i="1"/>
  <c r="I1893" i="1"/>
  <c r="H1893" i="1"/>
  <c r="G1893" i="1"/>
  <c r="F1893" i="1"/>
  <c r="E1893" i="1"/>
  <c r="D1893" i="1"/>
  <c r="C1893" i="1"/>
  <c r="I1892" i="1"/>
  <c r="H1892" i="1"/>
  <c r="G1892" i="1"/>
  <c r="F1892" i="1"/>
  <c r="E1892" i="1"/>
  <c r="D1892" i="1"/>
  <c r="C1892" i="1"/>
  <c r="I1891" i="1"/>
  <c r="H1891" i="1"/>
  <c r="G1891" i="1"/>
  <c r="F1891" i="1"/>
  <c r="E1891" i="1"/>
  <c r="D1891" i="1"/>
  <c r="C1891" i="1"/>
  <c r="I1890" i="1"/>
  <c r="H1890" i="1"/>
  <c r="G1890" i="1"/>
  <c r="F1890" i="1"/>
  <c r="E1890" i="1"/>
  <c r="D1890" i="1"/>
  <c r="C1890" i="1"/>
  <c r="I1889" i="1"/>
  <c r="H1889" i="1"/>
  <c r="G1889" i="1"/>
  <c r="F1889" i="1"/>
  <c r="E1889" i="1"/>
  <c r="D1889" i="1"/>
  <c r="C1889" i="1"/>
  <c r="I1888" i="1"/>
  <c r="H1888" i="1"/>
  <c r="G1888" i="1"/>
  <c r="F1888" i="1"/>
  <c r="E1888" i="1"/>
  <c r="D1888" i="1"/>
  <c r="C1888" i="1"/>
  <c r="I1887" i="1"/>
  <c r="H1887" i="1"/>
  <c r="G1887" i="1"/>
  <c r="F1887" i="1"/>
  <c r="E1887" i="1"/>
  <c r="D1887" i="1"/>
  <c r="C1887" i="1"/>
  <c r="I1886" i="1"/>
  <c r="H1886" i="1"/>
  <c r="G1886" i="1"/>
  <c r="F1886" i="1"/>
  <c r="E1886" i="1"/>
  <c r="D1886" i="1"/>
  <c r="C1886" i="1"/>
  <c r="I1885" i="1"/>
  <c r="H1885" i="1"/>
  <c r="G1885" i="1"/>
  <c r="F1885" i="1"/>
  <c r="E1885" i="1"/>
  <c r="D1885" i="1"/>
  <c r="C1885" i="1"/>
  <c r="I1884" i="1"/>
  <c r="H1884" i="1"/>
  <c r="G1884" i="1"/>
  <c r="F1884" i="1"/>
  <c r="E1884" i="1"/>
  <c r="D1884" i="1"/>
  <c r="C1884" i="1"/>
  <c r="I1883" i="1"/>
  <c r="H1883" i="1"/>
  <c r="G1883" i="1"/>
  <c r="F1883" i="1"/>
  <c r="E1883" i="1"/>
  <c r="D1883" i="1"/>
  <c r="C1883" i="1"/>
  <c r="I1882" i="1"/>
  <c r="H1882" i="1"/>
  <c r="G1882" i="1"/>
  <c r="F1882" i="1"/>
  <c r="E1882" i="1"/>
  <c r="D1882" i="1"/>
  <c r="C1882" i="1"/>
  <c r="I1881" i="1"/>
  <c r="H1881" i="1"/>
  <c r="G1881" i="1"/>
  <c r="F1881" i="1"/>
  <c r="E1881" i="1"/>
  <c r="D1881" i="1"/>
  <c r="C1881" i="1"/>
  <c r="I1880" i="1"/>
  <c r="H1880" i="1"/>
  <c r="G1880" i="1"/>
  <c r="F1880" i="1"/>
  <c r="E1880" i="1"/>
  <c r="D1880" i="1"/>
  <c r="C1880" i="1"/>
  <c r="I1879" i="1"/>
  <c r="H1879" i="1"/>
  <c r="G1879" i="1"/>
  <c r="F1879" i="1"/>
  <c r="E1879" i="1"/>
  <c r="D1879" i="1"/>
  <c r="C1879" i="1"/>
  <c r="I1878" i="1"/>
  <c r="H1878" i="1"/>
  <c r="G1878" i="1"/>
  <c r="F1878" i="1"/>
  <c r="E1878" i="1"/>
  <c r="D1878" i="1"/>
  <c r="C1878" i="1"/>
  <c r="I1877" i="1"/>
  <c r="H1877" i="1"/>
  <c r="G1877" i="1"/>
  <c r="F1877" i="1"/>
  <c r="E1877" i="1"/>
  <c r="D1877" i="1"/>
  <c r="C1877" i="1"/>
  <c r="I1876" i="1"/>
  <c r="H1876" i="1"/>
  <c r="G1876" i="1"/>
  <c r="F1876" i="1"/>
  <c r="E1876" i="1"/>
  <c r="D1876" i="1"/>
  <c r="C1876" i="1"/>
  <c r="I1875" i="1"/>
  <c r="H1875" i="1"/>
  <c r="G1875" i="1"/>
  <c r="F1875" i="1"/>
  <c r="E1875" i="1"/>
  <c r="D1875" i="1"/>
  <c r="C1875" i="1"/>
  <c r="I1874" i="1"/>
  <c r="H1874" i="1"/>
  <c r="G1874" i="1"/>
  <c r="F1874" i="1"/>
  <c r="E1874" i="1"/>
  <c r="D1874" i="1"/>
  <c r="C1874" i="1"/>
  <c r="I1873" i="1"/>
  <c r="H1873" i="1"/>
  <c r="G1873" i="1"/>
  <c r="F1873" i="1"/>
  <c r="E1873" i="1"/>
  <c r="D1873" i="1"/>
  <c r="C1873" i="1"/>
  <c r="I1872" i="1"/>
  <c r="H1872" i="1"/>
  <c r="G1872" i="1"/>
  <c r="F1872" i="1"/>
  <c r="E1872" i="1"/>
  <c r="D1872" i="1"/>
  <c r="C1872" i="1"/>
  <c r="I1871" i="1"/>
  <c r="H1871" i="1"/>
  <c r="G1871" i="1"/>
  <c r="F1871" i="1"/>
  <c r="E1871" i="1"/>
  <c r="D1871" i="1"/>
  <c r="C1871" i="1"/>
  <c r="I1870" i="1"/>
  <c r="H1870" i="1"/>
  <c r="G1870" i="1"/>
  <c r="F1870" i="1"/>
  <c r="E1870" i="1"/>
  <c r="D1870" i="1"/>
  <c r="C1870" i="1"/>
  <c r="I1869" i="1"/>
  <c r="H1869" i="1"/>
  <c r="G1869" i="1"/>
  <c r="F1869" i="1"/>
  <c r="E1869" i="1"/>
  <c r="D1869" i="1"/>
  <c r="C1869" i="1"/>
  <c r="I1868" i="1"/>
  <c r="H1868" i="1"/>
  <c r="G1868" i="1"/>
  <c r="F1868" i="1"/>
  <c r="E1868" i="1"/>
  <c r="D1868" i="1"/>
  <c r="C1868" i="1"/>
  <c r="I1867" i="1"/>
  <c r="H1867" i="1"/>
  <c r="G1867" i="1"/>
  <c r="F1867" i="1"/>
  <c r="E1867" i="1"/>
  <c r="D1867" i="1"/>
  <c r="C1867" i="1"/>
  <c r="I1866" i="1"/>
  <c r="H1866" i="1"/>
  <c r="G1866" i="1"/>
  <c r="F1866" i="1"/>
  <c r="E1866" i="1"/>
  <c r="D1866" i="1"/>
  <c r="C1866" i="1"/>
  <c r="I1865" i="1"/>
  <c r="H1865" i="1"/>
  <c r="G1865" i="1"/>
  <c r="F1865" i="1"/>
  <c r="E1865" i="1"/>
  <c r="D1865" i="1"/>
  <c r="C1865" i="1"/>
  <c r="I1864" i="1"/>
  <c r="H1864" i="1"/>
  <c r="G1864" i="1"/>
  <c r="F1864" i="1"/>
  <c r="E1864" i="1"/>
  <c r="D1864" i="1"/>
  <c r="C1864" i="1"/>
  <c r="I1863" i="1"/>
  <c r="H1863" i="1"/>
  <c r="G1863" i="1"/>
  <c r="F1863" i="1"/>
  <c r="E1863" i="1"/>
  <c r="D1863" i="1"/>
  <c r="C1863" i="1"/>
  <c r="I1862" i="1"/>
  <c r="H1862" i="1"/>
  <c r="G1862" i="1"/>
  <c r="F1862" i="1"/>
  <c r="E1862" i="1"/>
  <c r="D1862" i="1"/>
  <c r="C1862" i="1"/>
  <c r="I1861" i="1"/>
  <c r="H1861" i="1"/>
  <c r="G1861" i="1"/>
  <c r="F1861" i="1"/>
  <c r="E1861" i="1"/>
  <c r="D1861" i="1"/>
  <c r="C1861" i="1"/>
  <c r="I1860" i="1"/>
  <c r="H1860" i="1"/>
  <c r="G1860" i="1"/>
  <c r="F1860" i="1"/>
  <c r="E1860" i="1"/>
  <c r="D1860" i="1"/>
  <c r="C1860" i="1"/>
  <c r="I1859" i="1"/>
  <c r="H1859" i="1"/>
  <c r="G1859" i="1"/>
  <c r="F1859" i="1"/>
  <c r="E1859" i="1"/>
  <c r="D1859" i="1"/>
  <c r="C1859" i="1"/>
  <c r="I1858" i="1"/>
  <c r="H1858" i="1"/>
  <c r="G1858" i="1"/>
  <c r="F1858" i="1"/>
  <c r="E1858" i="1"/>
  <c r="D1858" i="1"/>
  <c r="C1858" i="1"/>
  <c r="I1857" i="1"/>
  <c r="H1857" i="1"/>
  <c r="G1857" i="1"/>
  <c r="F1857" i="1"/>
  <c r="E1857" i="1"/>
  <c r="D1857" i="1"/>
  <c r="C1857" i="1"/>
  <c r="I1856" i="1"/>
  <c r="H1856" i="1"/>
  <c r="G1856" i="1"/>
  <c r="F1856" i="1"/>
  <c r="E1856" i="1"/>
  <c r="D1856" i="1"/>
  <c r="C1856" i="1"/>
  <c r="I1855" i="1"/>
  <c r="H1855" i="1"/>
  <c r="G1855" i="1"/>
  <c r="F1855" i="1"/>
  <c r="E1855" i="1"/>
  <c r="D1855" i="1"/>
  <c r="C1855" i="1"/>
  <c r="I1854" i="1"/>
  <c r="H1854" i="1"/>
  <c r="G1854" i="1"/>
  <c r="F1854" i="1"/>
  <c r="E1854" i="1"/>
  <c r="D1854" i="1"/>
  <c r="C1854" i="1"/>
  <c r="I1853" i="1"/>
  <c r="H1853" i="1"/>
  <c r="G1853" i="1"/>
  <c r="F1853" i="1"/>
  <c r="E1853" i="1"/>
  <c r="D1853" i="1"/>
  <c r="C1853" i="1"/>
  <c r="I1852" i="1"/>
  <c r="H1852" i="1"/>
  <c r="G1852" i="1"/>
  <c r="F1852" i="1"/>
  <c r="E1852" i="1"/>
  <c r="D1852" i="1"/>
  <c r="C1852" i="1"/>
  <c r="I1851" i="1"/>
  <c r="H1851" i="1"/>
  <c r="G1851" i="1"/>
  <c r="F1851" i="1"/>
  <c r="E1851" i="1"/>
  <c r="D1851" i="1"/>
  <c r="C1851" i="1"/>
  <c r="I1850" i="1"/>
  <c r="H1850" i="1"/>
  <c r="G1850" i="1"/>
  <c r="F1850" i="1"/>
  <c r="E1850" i="1"/>
  <c r="D1850" i="1"/>
  <c r="C1850" i="1"/>
  <c r="I1849" i="1"/>
  <c r="H1849" i="1"/>
  <c r="G1849" i="1"/>
  <c r="F1849" i="1"/>
  <c r="E1849" i="1"/>
  <c r="D1849" i="1"/>
  <c r="C1849" i="1"/>
  <c r="I1848" i="1"/>
  <c r="H1848" i="1"/>
  <c r="G1848" i="1"/>
  <c r="F1848" i="1"/>
  <c r="E1848" i="1"/>
  <c r="D1848" i="1"/>
  <c r="C1848" i="1"/>
  <c r="I1847" i="1"/>
  <c r="H1847" i="1"/>
  <c r="G1847" i="1"/>
  <c r="F1847" i="1"/>
  <c r="E1847" i="1"/>
  <c r="D1847" i="1"/>
  <c r="C1847" i="1"/>
  <c r="I1846" i="1"/>
  <c r="H1846" i="1"/>
  <c r="G1846" i="1"/>
  <c r="F1846" i="1"/>
  <c r="E1846" i="1"/>
  <c r="D1846" i="1"/>
  <c r="C1846" i="1"/>
  <c r="I1845" i="1"/>
  <c r="H1845" i="1"/>
  <c r="G1845" i="1"/>
  <c r="F1845" i="1"/>
  <c r="E1845" i="1"/>
  <c r="D1845" i="1"/>
  <c r="C1845" i="1"/>
  <c r="I1844" i="1"/>
  <c r="H1844" i="1"/>
  <c r="G1844" i="1"/>
  <c r="F1844" i="1"/>
  <c r="E1844" i="1"/>
  <c r="D1844" i="1"/>
  <c r="C1844" i="1"/>
  <c r="I1843" i="1"/>
  <c r="H1843" i="1"/>
  <c r="G1843" i="1"/>
  <c r="F1843" i="1"/>
  <c r="E1843" i="1"/>
  <c r="D1843" i="1"/>
  <c r="C1843" i="1"/>
  <c r="I1842" i="1"/>
  <c r="H1842" i="1"/>
  <c r="G1842" i="1"/>
  <c r="F1842" i="1"/>
  <c r="E1842" i="1"/>
  <c r="D1842" i="1"/>
  <c r="C1842" i="1"/>
  <c r="I1841" i="1"/>
  <c r="H1841" i="1"/>
  <c r="G1841" i="1"/>
  <c r="F1841" i="1"/>
  <c r="E1841" i="1"/>
  <c r="D1841" i="1"/>
  <c r="C1841" i="1"/>
  <c r="I1840" i="1"/>
  <c r="H1840" i="1"/>
  <c r="G1840" i="1"/>
  <c r="F1840" i="1"/>
  <c r="E1840" i="1"/>
  <c r="D1840" i="1"/>
  <c r="C1840" i="1"/>
  <c r="I1839" i="1"/>
  <c r="H1839" i="1"/>
  <c r="G1839" i="1"/>
  <c r="F1839" i="1"/>
  <c r="E1839" i="1"/>
  <c r="D1839" i="1"/>
  <c r="C1839" i="1"/>
  <c r="I1838" i="1"/>
  <c r="H1838" i="1"/>
  <c r="G1838" i="1"/>
  <c r="F1838" i="1"/>
  <c r="E1838" i="1"/>
  <c r="D1838" i="1"/>
  <c r="C1838" i="1"/>
  <c r="I1837" i="1"/>
  <c r="H1837" i="1"/>
  <c r="G1837" i="1"/>
  <c r="F1837" i="1"/>
  <c r="E1837" i="1"/>
  <c r="D1837" i="1"/>
  <c r="C1837" i="1"/>
  <c r="I1836" i="1"/>
  <c r="H1836" i="1"/>
  <c r="G1836" i="1"/>
  <c r="F1836" i="1"/>
  <c r="E1836" i="1"/>
  <c r="D1836" i="1"/>
  <c r="C1836" i="1"/>
  <c r="I1835" i="1"/>
  <c r="H1835" i="1"/>
  <c r="G1835" i="1"/>
  <c r="F1835" i="1"/>
  <c r="E1835" i="1"/>
  <c r="D1835" i="1"/>
  <c r="C1835" i="1"/>
  <c r="I1834" i="1"/>
  <c r="H1834" i="1"/>
  <c r="G1834" i="1"/>
  <c r="F1834" i="1"/>
  <c r="E1834" i="1"/>
  <c r="D1834" i="1"/>
  <c r="C1834" i="1"/>
  <c r="I1833" i="1"/>
  <c r="H1833" i="1"/>
  <c r="G1833" i="1"/>
  <c r="F1833" i="1"/>
  <c r="E1833" i="1"/>
  <c r="D1833" i="1"/>
  <c r="C1833" i="1"/>
  <c r="I1832" i="1"/>
  <c r="H1832" i="1"/>
  <c r="G1832" i="1"/>
  <c r="F1832" i="1"/>
  <c r="E1832" i="1"/>
  <c r="D1832" i="1"/>
  <c r="C1832" i="1"/>
  <c r="I1831" i="1"/>
  <c r="H1831" i="1"/>
  <c r="G1831" i="1"/>
  <c r="F1831" i="1"/>
  <c r="E1831" i="1"/>
  <c r="D1831" i="1"/>
  <c r="C1831" i="1"/>
  <c r="I1830" i="1"/>
  <c r="H1830" i="1"/>
  <c r="G1830" i="1"/>
  <c r="F1830" i="1"/>
  <c r="E1830" i="1"/>
  <c r="D1830" i="1"/>
  <c r="C1830" i="1"/>
  <c r="I1829" i="1"/>
  <c r="H1829" i="1"/>
  <c r="G1829" i="1"/>
  <c r="F1829" i="1"/>
  <c r="E1829" i="1"/>
  <c r="D1829" i="1"/>
  <c r="C1829" i="1"/>
  <c r="I1828" i="1"/>
  <c r="H1828" i="1"/>
  <c r="G1828" i="1"/>
  <c r="F1828" i="1"/>
  <c r="E1828" i="1"/>
  <c r="D1828" i="1"/>
  <c r="C1828" i="1"/>
  <c r="I1827" i="1"/>
  <c r="H1827" i="1"/>
  <c r="G1827" i="1"/>
  <c r="F1827" i="1"/>
  <c r="E1827" i="1"/>
  <c r="D1827" i="1"/>
  <c r="C1827" i="1"/>
  <c r="I1826" i="1"/>
  <c r="H1826" i="1"/>
  <c r="G1826" i="1"/>
  <c r="F1826" i="1"/>
  <c r="E1826" i="1"/>
  <c r="D1826" i="1"/>
  <c r="C1826" i="1"/>
  <c r="I1825" i="1"/>
  <c r="H1825" i="1"/>
  <c r="G1825" i="1"/>
  <c r="F1825" i="1"/>
  <c r="E1825" i="1"/>
  <c r="D1825" i="1"/>
  <c r="C1825" i="1"/>
  <c r="I1824" i="1"/>
  <c r="H1824" i="1"/>
  <c r="G1824" i="1"/>
  <c r="F1824" i="1"/>
  <c r="E1824" i="1"/>
  <c r="D1824" i="1"/>
  <c r="C1824" i="1"/>
  <c r="I1823" i="1"/>
  <c r="H1823" i="1"/>
  <c r="G1823" i="1"/>
  <c r="F1823" i="1"/>
  <c r="E1823" i="1"/>
  <c r="D1823" i="1"/>
  <c r="C1823" i="1"/>
  <c r="I1822" i="1"/>
  <c r="H1822" i="1"/>
  <c r="G1822" i="1"/>
  <c r="F1822" i="1"/>
  <c r="E1822" i="1"/>
  <c r="D1822" i="1"/>
  <c r="C1822" i="1"/>
  <c r="I1821" i="1"/>
  <c r="H1821" i="1"/>
  <c r="G1821" i="1"/>
  <c r="F1821" i="1"/>
  <c r="E1821" i="1"/>
  <c r="D1821" i="1"/>
  <c r="C1821" i="1"/>
  <c r="I1820" i="1"/>
  <c r="H1820" i="1"/>
  <c r="G1820" i="1"/>
  <c r="F1820" i="1"/>
  <c r="E1820" i="1"/>
  <c r="D1820" i="1"/>
  <c r="C1820" i="1"/>
  <c r="I1819" i="1"/>
  <c r="H1819" i="1"/>
  <c r="G1819" i="1"/>
  <c r="F1819" i="1"/>
  <c r="E1819" i="1"/>
  <c r="D1819" i="1"/>
  <c r="C1819" i="1"/>
  <c r="I1818" i="1"/>
  <c r="H1818" i="1"/>
  <c r="G1818" i="1"/>
  <c r="F1818" i="1"/>
  <c r="E1818" i="1"/>
  <c r="D1818" i="1"/>
  <c r="C1818" i="1"/>
  <c r="I1817" i="1"/>
  <c r="H1817" i="1"/>
  <c r="G1817" i="1"/>
  <c r="F1817" i="1"/>
  <c r="E1817" i="1"/>
  <c r="D1817" i="1"/>
  <c r="C1817" i="1"/>
  <c r="I1816" i="1"/>
  <c r="H1816" i="1"/>
  <c r="G1816" i="1"/>
  <c r="F1816" i="1"/>
  <c r="E1816" i="1"/>
  <c r="D1816" i="1"/>
  <c r="C1816" i="1"/>
  <c r="I1815" i="1"/>
  <c r="H1815" i="1"/>
  <c r="G1815" i="1"/>
  <c r="F1815" i="1"/>
  <c r="E1815" i="1"/>
  <c r="D1815" i="1"/>
  <c r="C1815" i="1"/>
  <c r="I1814" i="1"/>
  <c r="H1814" i="1"/>
  <c r="G1814" i="1"/>
  <c r="F1814" i="1"/>
  <c r="E1814" i="1"/>
  <c r="D1814" i="1"/>
  <c r="C1814" i="1"/>
  <c r="I1813" i="1"/>
  <c r="H1813" i="1"/>
  <c r="G1813" i="1"/>
  <c r="F1813" i="1"/>
  <c r="E1813" i="1"/>
  <c r="D1813" i="1"/>
  <c r="C1813" i="1"/>
  <c r="I1812" i="1"/>
  <c r="H1812" i="1"/>
  <c r="G1812" i="1"/>
  <c r="F1812" i="1"/>
  <c r="E1812" i="1"/>
  <c r="D1812" i="1"/>
  <c r="C1812" i="1"/>
  <c r="I1811" i="1"/>
  <c r="H1811" i="1"/>
  <c r="G1811" i="1"/>
  <c r="F1811" i="1"/>
  <c r="E1811" i="1"/>
  <c r="D1811" i="1"/>
  <c r="C1811" i="1"/>
  <c r="I1810" i="1"/>
  <c r="H1810" i="1"/>
  <c r="G1810" i="1"/>
  <c r="F1810" i="1"/>
  <c r="E1810" i="1"/>
  <c r="D1810" i="1"/>
  <c r="C1810" i="1"/>
  <c r="I1809" i="1"/>
  <c r="H1809" i="1"/>
  <c r="G1809" i="1"/>
  <c r="F1809" i="1"/>
  <c r="E1809" i="1"/>
  <c r="D1809" i="1"/>
  <c r="C1809" i="1"/>
  <c r="I1808" i="1"/>
  <c r="H1808" i="1"/>
  <c r="G1808" i="1"/>
  <c r="F1808" i="1"/>
  <c r="E1808" i="1"/>
  <c r="D1808" i="1"/>
  <c r="C1808" i="1"/>
  <c r="I1807" i="1"/>
  <c r="H1807" i="1"/>
  <c r="G1807" i="1"/>
  <c r="F1807" i="1"/>
  <c r="E1807" i="1"/>
  <c r="D1807" i="1"/>
  <c r="C1807" i="1"/>
  <c r="I1806" i="1"/>
  <c r="H1806" i="1"/>
  <c r="G1806" i="1"/>
  <c r="F1806" i="1"/>
  <c r="E1806" i="1"/>
  <c r="D1806" i="1"/>
  <c r="C1806" i="1"/>
  <c r="I1805" i="1"/>
  <c r="H1805" i="1"/>
  <c r="G1805" i="1"/>
  <c r="F1805" i="1"/>
  <c r="E1805" i="1"/>
  <c r="D1805" i="1"/>
  <c r="C1805" i="1"/>
  <c r="I1804" i="1"/>
  <c r="H1804" i="1"/>
  <c r="G1804" i="1"/>
  <c r="F1804" i="1"/>
  <c r="E1804" i="1"/>
  <c r="D1804" i="1"/>
  <c r="C1804" i="1"/>
  <c r="I1803" i="1"/>
  <c r="H1803" i="1"/>
  <c r="G1803" i="1"/>
  <c r="F1803" i="1"/>
  <c r="E1803" i="1"/>
  <c r="D1803" i="1"/>
  <c r="C1803" i="1"/>
  <c r="I1802" i="1"/>
  <c r="H1802" i="1"/>
  <c r="G1802" i="1"/>
  <c r="F1802" i="1"/>
  <c r="E1802" i="1"/>
  <c r="D1802" i="1"/>
  <c r="C1802" i="1"/>
  <c r="I1801" i="1"/>
  <c r="H1801" i="1"/>
  <c r="G1801" i="1"/>
  <c r="F1801" i="1"/>
  <c r="E1801" i="1"/>
  <c r="D1801" i="1"/>
  <c r="C1801" i="1"/>
  <c r="I1800" i="1"/>
  <c r="H1800" i="1"/>
  <c r="G1800" i="1"/>
  <c r="F1800" i="1"/>
  <c r="E1800" i="1"/>
  <c r="D1800" i="1"/>
  <c r="C1800" i="1"/>
  <c r="I1799" i="1"/>
  <c r="H1799" i="1"/>
  <c r="G1799" i="1"/>
  <c r="F1799" i="1"/>
  <c r="E1799" i="1"/>
  <c r="D1799" i="1"/>
  <c r="C1799" i="1"/>
  <c r="I1798" i="1"/>
  <c r="H1798" i="1"/>
  <c r="G1798" i="1"/>
  <c r="F1798" i="1"/>
  <c r="E1798" i="1"/>
  <c r="D1798" i="1"/>
  <c r="C1798" i="1"/>
  <c r="I1797" i="1"/>
  <c r="H1797" i="1"/>
  <c r="G1797" i="1"/>
  <c r="F1797" i="1"/>
  <c r="E1797" i="1"/>
  <c r="D1797" i="1"/>
  <c r="C1797" i="1"/>
  <c r="I1796" i="1"/>
  <c r="H1796" i="1"/>
  <c r="G1796" i="1"/>
  <c r="F1796" i="1"/>
  <c r="E1796" i="1"/>
  <c r="D1796" i="1"/>
  <c r="C1796" i="1"/>
  <c r="I1795" i="1"/>
  <c r="H1795" i="1"/>
  <c r="G1795" i="1"/>
  <c r="F1795" i="1"/>
  <c r="E1795" i="1"/>
  <c r="D1795" i="1"/>
  <c r="C1795" i="1"/>
  <c r="I1794" i="1"/>
  <c r="H1794" i="1"/>
  <c r="G1794" i="1"/>
  <c r="F1794" i="1"/>
  <c r="E1794" i="1"/>
  <c r="D1794" i="1"/>
  <c r="C1794" i="1"/>
  <c r="I1793" i="1"/>
  <c r="H1793" i="1"/>
  <c r="G1793" i="1"/>
  <c r="F1793" i="1"/>
  <c r="E1793" i="1"/>
  <c r="D1793" i="1"/>
  <c r="C1793" i="1"/>
  <c r="I1792" i="1"/>
  <c r="H1792" i="1"/>
  <c r="G1792" i="1"/>
  <c r="F1792" i="1"/>
  <c r="E1792" i="1"/>
  <c r="D1792" i="1"/>
  <c r="C1792" i="1"/>
  <c r="I1791" i="1"/>
  <c r="H1791" i="1"/>
  <c r="G1791" i="1"/>
  <c r="F1791" i="1"/>
  <c r="E1791" i="1"/>
  <c r="D1791" i="1"/>
  <c r="C1791" i="1"/>
  <c r="I1790" i="1"/>
  <c r="H1790" i="1"/>
  <c r="G1790" i="1"/>
  <c r="F1790" i="1"/>
  <c r="E1790" i="1"/>
  <c r="D1790" i="1"/>
  <c r="C1790" i="1"/>
  <c r="I1789" i="1"/>
  <c r="H1789" i="1"/>
  <c r="G1789" i="1"/>
  <c r="F1789" i="1"/>
  <c r="E1789" i="1"/>
  <c r="D1789" i="1"/>
  <c r="C1789" i="1"/>
  <c r="I1788" i="1"/>
  <c r="H1788" i="1"/>
  <c r="G1788" i="1"/>
  <c r="F1788" i="1"/>
  <c r="E1788" i="1"/>
  <c r="D1788" i="1"/>
  <c r="C1788" i="1"/>
  <c r="I1787" i="1"/>
  <c r="H1787" i="1"/>
  <c r="G1787" i="1"/>
  <c r="F1787" i="1"/>
  <c r="E1787" i="1"/>
  <c r="D1787" i="1"/>
  <c r="C1787" i="1"/>
  <c r="I1786" i="1"/>
  <c r="H1786" i="1"/>
  <c r="G1786" i="1"/>
  <c r="F1786" i="1"/>
  <c r="E1786" i="1"/>
  <c r="D1786" i="1"/>
  <c r="C1786" i="1"/>
  <c r="I1785" i="1"/>
  <c r="H1785" i="1"/>
  <c r="G1785" i="1"/>
  <c r="F1785" i="1"/>
  <c r="E1785" i="1"/>
  <c r="D1785" i="1"/>
  <c r="C1785" i="1"/>
  <c r="I1784" i="1"/>
  <c r="H1784" i="1"/>
  <c r="G1784" i="1"/>
  <c r="F1784" i="1"/>
  <c r="E1784" i="1"/>
  <c r="D1784" i="1"/>
  <c r="C1784" i="1"/>
  <c r="I1783" i="1"/>
  <c r="H1783" i="1"/>
  <c r="G1783" i="1"/>
  <c r="F1783" i="1"/>
  <c r="E1783" i="1"/>
  <c r="D1783" i="1"/>
  <c r="C1783" i="1"/>
  <c r="I1782" i="1"/>
  <c r="H1782" i="1"/>
  <c r="G1782" i="1"/>
  <c r="F1782" i="1"/>
  <c r="E1782" i="1"/>
  <c r="D1782" i="1"/>
  <c r="C1782" i="1"/>
  <c r="I1781" i="1"/>
  <c r="H1781" i="1"/>
  <c r="G1781" i="1"/>
  <c r="F1781" i="1"/>
  <c r="E1781" i="1"/>
  <c r="D1781" i="1"/>
  <c r="C1781" i="1"/>
  <c r="I1780" i="1"/>
  <c r="H1780" i="1"/>
  <c r="G1780" i="1"/>
  <c r="F1780" i="1"/>
  <c r="E1780" i="1"/>
  <c r="D1780" i="1"/>
  <c r="C1780" i="1"/>
  <c r="I1779" i="1"/>
  <c r="H1779" i="1"/>
  <c r="G1779" i="1"/>
  <c r="F1779" i="1"/>
  <c r="E1779" i="1"/>
  <c r="D1779" i="1"/>
  <c r="C1779" i="1"/>
  <c r="I1778" i="1"/>
  <c r="H1778" i="1"/>
  <c r="G1778" i="1"/>
  <c r="F1778" i="1"/>
  <c r="E1778" i="1"/>
  <c r="D1778" i="1"/>
  <c r="C1778" i="1"/>
  <c r="I1777" i="1"/>
  <c r="H1777" i="1"/>
  <c r="G1777" i="1"/>
  <c r="F1777" i="1"/>
  <c r="E1777" i="1"/>
  <c r="D1777" i="1"/>
  <c r="C1777" i="1"/>
  <c r="I1776" i="1"/>
  <c r="H1776" i="1"/>
  <c r="G1776" i="1"/>
  <c r="F1776" i="1"/>
  <c r="E1776" i="1"/>
  <c r="D1776" i="1"/>
  <c r="C1776" i="1"/>
  <c r="I1775" i="1"/>
  <c r="H1775" i="1"/>
  <c r="G1775" i="1"/>
  <c r="F1775" i="1"/>
  <c r="E1775" i="1"/>
  <c r="D1775" i="1"/>
  <c r="C1775" i="1"/>
  <c r="I1774" i="1"/>
  <c r="H1774" i="1"/>
  <c r="G1774" i="1"/>
  <c r="F1774" i="1"/>
  <c r="E1774" i="1"/>
  <c r="D1774" i="1"/>
  <c r="C1774" i="1"/>
  <c r="I1773" i="1"/>
  <c r="H1773" i="1"/>
  <c r="G1773" i="1"/>
  <c r="F1773" i="1"/>
  <c r="E1773" i="1"/>
  <c r="D1773" i="1"/>
  <c r="C1773" i="1"/>
  <c r="I1772" i="1"/>
  <c r="H1772" i="1"/>
  <c r="G1772" i="1"/>
  <c r="F1772" i="1"/>
  <c r="E1772" i="1"/>
  <c r="D1772" i="1"/>
  <c r="C1772" i="1"/>
  <c r="I1771" i="1"/>
  <c r="H1771" i="1"/>
  <c r="G1771" i="1"/>
  <c r="F1771" i="1"/>
  <c r="E1771" i="1"/>
  <c r="D1771" i="1"/>
  <c r="C1771" i="1"/>
  <c r="I1770" i="1"/>
  <c r="H1770" i="1"/>
  <c r="G1770" i="1"/>
  <c r="F1770" i="1"/>
  <c r="E1770" i="1"/>
  <c r="D1770" i="1"/>
  <c r="C1770" i="1"/>
  <c r="I1769" i="1"/>
  <c r="H1769" i="1"/>
  <c r="G1769" i="1"/>
  <c r="F1769" i="1"/>
  <c r="E1769" i="1"/>
  <c r="D1769" i="1"/>
  <c r="C1769" i="1"/>
  <c r="I1768" i="1"/>
  <c r="H1768" i="1"/>
  <c r="G1768" i="1"/>
  <c r="F1768" i="1"/>
  <c r="E1768" i="1"/>
  <c r="D1768" i="1"/>
  <c r="C1768" i="1"/>
  <c r="I1767" i="1"/>
  <c r="H1767" i="1"/>
  <c r="G1767" i="1"/>
  <c r="F1767" i="1"/>
  <c r="E1767" i="1"/>
  <c r="D1767" i="1"/>
  <c r="C1767" i="1"/>
  <c r="I1766" i="1"/>
  <c r="H1766" i="1"/>
  <c r="G1766" i="1"/>
  <c r="F1766" i="1"/>
  <c r="E1766" i="1"/>
  <c r="D1766" i="1"/>
  <c r="C1766" i="1"/>
  <c r="I1765" i="1"/>
  <c r="H1765" i="1"/>
  <c r="G1765" i="1"/>
  <c r="F1765" i="1"/>
  <c r="E1765" i="1"/>
  <c r="D1765" i="1"/>
  <c r="C1765" i="1"/>
  <c r="I1764" i="1"/>
  <c r="H1764" i="1"/>
  <c r="G1764" i="1"/>
  <c r="F1764" i="1"/>
  <c r="E1764" i="1"/>
  <c r="D1764" i="1"/>
  <c r="C1764" i="1"/>
  <c r="I1763" i="1"/>
  <c r="H1763" i="1"/>
  <c r="G1763" i="1"/>
  <c r="F1763" i="1"/>
  <c r="E1763" i="1"/>
  <c r="D1763" i="1"/>
  <c r="C1763" i="1"/>
  <c r="I1762" i="1"/>
  <c r="H1762" i="1"/>
  <c r="G1762" i="1"/>
  <c r="F1762" i="1"/>
  <c r="E1762" i="1"/>
  <c r="D1762" i="1"/>
  <c r="C1762" i="1"/>
  <c r="I1761" i="1"/>
  <c r="H1761" i="1"/>
  <c r="G1761" i="1"/>
  <c r="F1761" i="1"/>
  <c r="E1761" i="1"/>
  <c r="D1761" i="1"/>
  <c r="C1761" i="1"/>
  <c r="I1760" i="1"/>
  <c r="H1760" i="1"/>
  <c r="G1760" i="1"/>
  <c r="F1760" i="1"/>
  <c r="E1760" i="1"/>
  <c r="D1760" i="1"/>
  <c r="C1760" i="1"/>
  <c r="I1759" i="1"/>
  <c r="H1759" i="1"/>
  <c r="G1759" i="1"/>
  <c r="F1759" i="1"/>
  <c r="E1759" i="1"/>
  <c r="D1759" i="1"/>
  <c r="C1759" i="1"/>
  <c r="I1758" i="1"/>
  <c r="H1758" i="1"/>
  <c r="G1758" i="1"/>
  <c r="F1758" i="1"/>
  <c r="E1758" i="1"/>
  <c r="D1758" i="1"/>
  <c r="C1758" i="1"/>
  <c r="I1757" i="1"/>
  <c r="H1757" i="1"/>
  <c r="G1757" i="1"/>
  <c r="F1757" i="1"/>
  <c r="E1757" i="1"/>
  <c r="D1757" i="1"/>
  <c r="C1757" i="1"/>
  <c r="I1756" i="1"/>
  <c r="H1756" i="1"/>
  <c r="G1756" i="1"/>
  <c r="F1756" i="1"/>
  <c r="E1756" i="1"/>
  <c r="D1756" i="1"/>
  <c r="C1756" i="1"/>
  <c r="I1755" i="1"/>
  <c r="H1755" i="1"/>
  <c r="G1755" i="1"/>
  <c r="F1755" i="1"/>
  <c r="E1755" i="1"/>
  <c r="D1755" i="1"/>
  <c r="C1755" i="1"/>
  <c r="I1754" i="1"/>
  <c r="H1754" i="1"/>
  <c r="G1754" i="1"/>
  <c r="F1754" i="1"/>
  <c r="E1754" i="1"/>
  <c r="D1754" i="1"/>
  <c r="C1754" i="1"/>
  <c r="I1753" i="1"/>
  <c r="H1753" i="1"/>
  <c r="G1753" i="1"/>
  <c r="F1753" i="1"/>
  <c r="E1753" i="1"/>
  <c r="D1753" i="1"/>
  <c r="C1753" i="1"/>
  <c r="I1752" i="1"/>
  <c r="H1752" i="1"/>
  <c r="G1752" i="1"/>
  <c r="F1752" i="1"/>
  <c r="E1752" i="1"/>
  <c r="D1752" i="1"/>
  <c r="C1752" i="1"/>
  <c r="I1751" i="1"/>
  <c r="H1751" i="1"/>
  <c r="G1751" i="1"/>
  <c r="F1751" i="1"/>
  <c r="E1751" i="1"/>
  <c r="D1751" i="1"/>
  <c r="C1751" i="1"/>
  <c r="I1750" i="1"/>
  <c r="H1750" i="1"/>
  <c r="G1750" i="1"/>
  <c r="F1750" i="1"/>
  <c r="E1750" i="1"/>
  <c r="D1750" i="1"/>
  <c r="C1750" i="1"/>
  <c r="I1749" i="1"/>
  <c r="H1749" i="1"/>
  <c r="G1749" i="1"/>
  <c r="F1749" i="1"/>
  <c r="E1749" i="1"/>
  <c r="D1749" i="1"/>
  <c r="C1749" i="1"/>
  <c r="I1748" i="1"/>
  <c r="H1748" i="1"/>
  <c r="G1748" i="1"/>
  <c r="F1748" i="1"/>
  <c r="E1748" i="1"/>
  <c r="D1748" i="1"/>
  <c r="C1748" i="1"/>
  <c r="I1747" i="1"/>
  <c r="H1747" i="1"/>
  <c r="G1747" i="1"/>
  <c r="F1747" i="1"/>
  <c r="E1747" i="1"/>
  <c r="D1747" i="1"/>
  <c r="C1747" i="1"/>
  <c r="I1746" i="1"/>
  <c r="H1746" i="1"/>
  <c r="G1746" i="1"/>
  <c r="F1746" i="1"/>
  <c r="E1746" i="1"/>
  <c r="D1746" i="1"/>
  <c r="C1746" i="1"/>
  <c r="I1745" i="1"/>
  <c r="H1745" i="1"/>
  <c r="G1745" i="1"/>
  <c r="F1745" i="1"/>
  <c r="E1745" i="1"/>
  <c r="D1745" i="1"/>
  <c r="C1745" i="1"/>
  <c r="I1744" i="1"/>
  <c r="H1744" i="1"/>
  <c r="G1744" i="1"/>
  <c r="F1744" i="1"/>
  <c r="E1744" i="1"/>
  <c r="D1744" i="1"/>
  <c r="C1744" i="1"/>
  <c r="I1743" i="1"/>
  <c r="H1743" i="1"/>
  <c r="G1743" i="1"/>
  <c r="F1743" i="1"/>
  <c r="E1743" i="1"/>
  <c r="D1743" i="1"/>
  <c r="C1743" i="1"/>
  <c r="I1742" i="1"/>
  <c r="H1742" i="1"/>
  <c r="G1742" i="1"/>
  <c r="F1742" i="1"/>
  <c r="E1742" i="1"/>
  <c r="D1742" i="1"/>
  <c r="C1742" i="1"/>
  <c r="I1741" i="1"/>
  <c r="H1741" i="1"/>
  <c r="G1741" i="1"/>
  <c r="F1741" i="1"/>
  <c r="E1741" i="1"/>
  <c r="D1741" i="1"/>
  <c r="C1741" i="1"/>
  <c r="I1740" i="1"/>
  <c r="H1740" i="1"/>
  <c r="G1740" i="1"/>
  <c r="F1740" i="1"/>
  <c r="E1740" i="1"/>
  <c r="D1740" i="1"/>
  <c r="C1740" i="1"/>
  <c r="I1739" i="1"/>
  <c r="H1739" i="1"/>
  <c r="G1739" i="1"/>
  <c r="F1739" i="1"/>
  <c r="E1739" i="1"/>
  <c r="D1739" i="1"/>
  <c r="C1739" i="1"/>
  <c r="I1738" i="1"/>
  <c r="H1738" i="1"/>
  <c r="G1738" i="1"/>
  <c r="F1738" i="1"/>
  <c r="E1738" i="1"/>
  <c r="D1738" i="1"/>
  <c r="C1738" i="1"/>
  <c r="I1737" i="1"/>
  <c r="H1737" i="1"/>
  <c r="G1737" i="1"/>
  <c r="F1737" i="1"/>
  <c r="E1737" i="1"/>
  <c r="D1737" i="1"/>
  <c r="C1737" i="1"/>
  <c r="I1736" i="1"/>
  <c r="H1736" i="1"/>
  <c r="G1736" i="1"/>
  <c r="F1736" i="1"/>
  <c r="E1736" i="1"/>
  <c r="D1736" i="1"/>
  <c r="C1736" i="1"/>
  <c r="I1735" i="1"/>
  <c r="H1735" i="1"/>
  <c r="G1735" i="1"/>
  <c r="F1735" i="1"/>
  <c r="E1735" i="1"/>
  <c r="D1735" i="1"/>
  <c r="C1735" i="1"/>
  <c r="I1734" i="1"/>
  <c r="H1734" i="1"/>
  <c r="G1734" i="1"/>
  <c r="F1734" i="1"/>
  <c r="E1734" i="1"/>
  <c r="D1734" i="1"/>
  <c r="C1734" i="1"/>
  <c r="I1733" i="1"/>
  <c r="H1733" i="1"/>
  <c r="G1733" i="1"/>
  <c r="F1733" i="1"/>
  <c r="E1733" i="1"/>
  <c r="D1733" i="1"/>
  <c r="C1733" i="1"/>
  <c r="I1732" i="1"/>
  <c r="H1732" i="1"/>
  <c r="G1732" i="1"/>
  <c r="F1732" i="1"/>
  <c r="E1732" i="1"/>
  <c r="D1732" i="1"/>
  <c r="C1732" i="1"/>
  <c r="I1731" i="1"/>
  <c r="H1731" i="1"/>
  <c r="G1731" i="1"/>
  <c r="F1731" i="1"/>
  <c r="E1731" i="1"/>
  <c r="D1731" i="1"/>
  <c r="C1731" i="1"/>
  <c r="I1730" i="1"/>
  <c r="H1730" i="1"/>
  <c r="G1730" i="1"/>
  <c r="F1730" i="1"/>
  <c r="E1730" i="1"/>
  <c r="D1730" i="1"/>
  <c r="C1730" i="1"/>
  <c r="I1729" i="1"/>
  <c r="H1729" i="1"/>
  <c r="G1729" i="1"/>
  <c r="F1729" i="1"/>
  <c r="E1729" i="1"/>
  <c r="D1729" i="1"/>
  <c r="C1729" i="1"/>
  <c r="I1728" i="1"/>
  <c r="H1728" i="1"/>
  <c r="G1728" i="1"/>
  <c r="F1728" i="1"/>
  <c r="E1728" i="1"/>
  <c r="D1728" i="1"/>
  <c r="C1728" i="1"/>
  <c r="I1727" i="1"/>
  <c r="H1727" i="1"/>
  <c r="G1727" i="1"/>
  <c r="F1727" i="1"/>
  <c r="E1727" i="1"/>
  <c r="D1727" i="1"/>
  <c r="C1727" i="1"/>
  <c r="I1726" i="1"/>
  <c r="H1726" i="1"/>
  <c r="G1726" i="1"/>
  <c r="F1726" i="1"/>
  <c r="E1726" i="1"/>
  <c r="D1726" i="1"/>
  <c r="C1726" i="1"/>
  <c r="I1725" i="1"/>
  <c r="H1725" i="1"/>
  <c r="G1725" i="1"/>
  <c r="F1725" i="1"/>
  <c r="E1725" i="1"/>
  <c r="D1725" i="1"/>
  <c r="C1725" i="1"/>
  <c r="I1724" i="1"/>
  <c r="H1724" i="1"/>
  <c r="G1724" i="1"/>
  <c r="F1724" i="1"/>
  <c r="E1724" i="1"/>
  <c r="D1724" i="1"/>
  <c r="C1724" i="1"/>
  <c r="I1723" i="1"/>
  <c r="H1723" i="1"/>
  <c r="G1723" i="1"/>
  <c r="F1723" i="1"/>
  <c r="E1723" i="1"/>
  <c r="D1723" i="1"/>
  <c r="C1723" i="1"/>
  <c r="I1722" i="1"/>
  <c r="H1722" i="1"/>
  <c r="G1722" i="1"/>
  <c r="F1722" i="1"/>
  <c r="E1722" i="1"/>
  <c r="D1722" i="1"/>
  <c r="C1722" i="1"/>
  <c r="I1721" i="1"/>
  <c r="H1721" i="1"/>
  <c r="G1721" i="1"/>
  <c r="F1721" i="1"/>
  <c r="E1721" i="1"/>
  <c r="D1721" i="1"/>
  <c r="C1721" i="1"/>
  <c r="I1720" i="1"/>
  <c r="H1720" i="1"/>
  <c r="G1720" i="1"/>
  <c r="F1720" i="1"/>
  <c r="E1720" i="1"/>
  <c r="D1720" i="1"/>
  <c r="C1720" i="1"/>
  <c r="I1719" i="1"/>
  <c r="H1719" i="1"/>
  <c r="G1719" i="1"/>
  <c r="F1719" i="1"/>
  <c r="E1719" i="1"/>
  <c r="D1719" i="1"/>
  <c r="C1719" i="1"/>
  <c r="I1718" i="1"/>
  <c r="H1718" i="1"/>
  <c r="G1718" i="1"/>
  <c r="F1718" i="1"/>
  <c r="E1718" i="1"/>
  <c r="D1718" i="1"/>
  <c r="C1718" i="1"/>
  <c r="I1717" i="1"/>
  <c r="H1717" i="1"/>
  <c r="G1717" i="1"/>
  <c r="F1717" i="1"/>
  <c r="E1717" i="1"/>
  <c r="D1717" i="1"/>
  <c r="C1717" i="1"/>
  <c r="I1716" i="1"/>
  <c r="H1716" i="1"/>
  <c r="G1716" i="1"/>
  <c r="F1716" i="1"/>
  <c r="E1716" i="1"/>
  <c r="D1716" i="1"/>
  <c r="C1716" i="1"/>
  <c r="I1715" i="1"/>
  <c r="H1715" i="1"/>
  <c r="G1715" i="1"/>
  <c r="F1715" i="1"/>
  <c r="E1715" i="1"/>
  <c r="D1715" i="1"/>
  <c r="C1715" i="1"/>
  <c r="I1714" i="1"/>
  <c r="H1714" i="1"/>
  <c r="G1714" i="1"/>
  <c r="F1714" i="1"/>
  <c r="E1714" i="1"/>
  <c r="D1714" i="1"/>
  <c r="C1714" i="1"/>
  <c r="I1713" i="1"/>
  <c r="H1713" i="1"/>
  <c r="G1713" i="1"/>
  <c r="F1713" i="1"/>
  <c r="E1713" i="1"/>
  <c r="D1713" i="1"/>
  <c r="C1713" i="1"/>
  <c r="I1712" i="1"/>
  <c r="H1712" i="1"/>
  <c r="G1712" i="1"/>
  <c r="F1712" i="1"/>
  <c r="E1712" i="1"/>
  <c r="D1712" i="1"/>
  <c r="C1712" i="1"/>
  <c r="I1711" i="1"/>
  <c r="H1711" i="1"/>
  <c r="G1711" i="1"/>
  <c r="F1711" i="1"/>
  <c r="E1711" i="1"/>
  <c r="D1711" i="1"/>
  <c r="C1711" i="1"/>
  <c r="I1710" i="1"/>
  <c r="H1710" i="1"/>
  <c r="G1710" i="1"/>
  <c r="F1710" i="1"/>
  <c r="E1710" i="1"/>
  <c r="D1710" i="1"/>
  <c r="C1710" i="1"/>
  <c r="I1709" i="1"/>
  <c r="H1709" i="1"/>
  <c r="G1709" i="1"/>
  <c r="F1709" i="1"/>
  <c r="E1709" i="1"/>
  <c r="D1709" i="1"/>
  <c r="C1709" i="1"/>
  <c r="I1708" i="1"/>
  <c r="H1708" i="1"/>
  <c r="G1708" i="1"/>
  <c r="F1708" i="1"/>
  <c r="E1708" i="1"/>
  <c r="D1708" i="1"/>
  <c r="C1708" i="1"/>
  <c r="I1707" i="1"/>
  <c r="H1707" i="1"/>
  <c r="G1707" i="1"/>
  <c r="F1707" i="1"/>
  <c r="E1707" i="1"/>
  <c r="D1707" i="1"/>
  <c r="C1707" i="1"/>
  <c r="I1706" i="1"/>
  <c r="H1706" i="1"/>
  <c r="G1706" i="1"/>
  <c r="F1706" i="1"/>
  <c r="E1706" i="1"/>
  <c r="D1706" i="1"/>
  <c r="C1706" i="1"/>
  <c r="I1705" i="1"/>
  <c r="H1705" i="1"/>
  <c r="G1705" i="1"/>
  <c r="F1705" i="1"/>
  <c r="E1705" i="1"/>
  <c r="D1705" i="1"/>
  <c r="C1705" i="1"/>
  <c r="I1704" i="1"/>
  <c r="H1704" i="1"/>
  <c r="G1704" i="1"/>
  <c r="F1704" i="1"/>
  <c r="E1704" i="1"/>
  <c r="D1704" i="1"/>
  <c r="C1704" i="1"/>
  <c r="I1703" i="1"/>
  <c r="H1703" i="1"/>
  <c r="G1703" i="1"/>
  <c r="F1703" i="1"/>
  <c r="E1703" i="1"/>
  <c r="D1703" i="1"/>
  <c r="C1703" i="1"/>
  <c r="I1702" i="1"/>
  <c r="H1702" i="1"/>
  <c r="G1702" i="1"/>
  <c r="F1702" i="1"/>
  <c r="E1702" i="1"/>
  <c r="D1702" i="1"/>
  <c r="C1702" i="1"/>
  <c r="I1701" i="1"/>
  <c r="H1701" i="1"/>
  <c r="G1701" i="1"/>
  <c r="F1701" i="1"/>
  <c r="E1701" i="1"/>
  <c r="D1701" i="1"/>
  <c r="C1701" i="1"/>
  <c r="I1700" i="1"/>
  <c r="H1700" i="1"/>
  <c r="G1700" i="1"/>
  <c r="F1700" i="1"/>
  <c r="E1700" i="1"/>
  <c r="D1700" i="1"/>
  <c r="C1700" i="1"/>
  <c r="I1699" i="1"/>
  <c r="H1699" i="1"/>
  <c r="G1699" i="1"/>
  <c r="F1699" i="1"/>
  <c r="E1699" i="1"/>
  <c r="D1699" i="1"/>
  <c r="C1699" i="1"/>
  <c r="I1698" i="1"/>
  <c r="H1698" i="1"/>
  <c r="G1698" i="1"/>
  <c r="F1698" i="1"/>
  <c r="E1698" i="1"/>
  <c r="D1698" i="1"/>
  <c r="C1698" i="1"/>
  <c r="I1697" i="1"/>
  <c r="H1697" i="1"/>
  <c r="G1697" i="1"/>
  <c r="F1697" i="1"/>
  <c r="E1697" i="1"/>
  <c r="D1697" i="1"/>
  <c r="C1697" i="1"/>
  <c r="I1696" i="1"/>
  <c r="H1696" i="1"/>
  <c r="G1696" i="1"/>
  <c r="F1696" i="1"/>
  <c r="E1696" i="1"/>
  <c r="D1696" i="1"/>
  <c r="C1696" i="1"/>
  <c r="I1695" i="1"/>
  <c r="H1695" i="1"/>
  <c r="G1695" i="1"/>
  <c r="F1695" i="1"/>
  <c r="E1695" i="1"/>
  <c r="D1695" i="1"/>
  <c r="C1695" i="1"/>
  <c r="I1694" i="1"/>
  <c r="H1694" i="1"/>
  <c r="G1694" i="1"/>
  <c r="F1694" i="1"/>
  <c r="E1694" i="1"/>
  <c r="D1694" i="1"/>
  <c r="C1694" i="1"/>
  <c r="I1693" i="1"/>
  <c r="H1693" i="1"/>
  <c r="G1693" i="1"/>
  <c r="F1693" i="1"/>
  <c r="E1693" i="1"/>
  <c r="D1693" i="1"/>
  <c r="C1693" i="1"/>
  <c r="I1692" i="1"/>
  <c r="H1692" i="1"/>
  <c r="G1692" i="1"/>
  <c r="F1692" i="1"/>
  <c r="E1692" i="1"/>
  <c r="D1692" i="1"/>
  <c r="C1692" i="1"/>
  <c r="I1691" i="1"/>
  <c r="H1691" i="1"/>
  <c r="G1691" i="1"/>
  <c r="F1691" i="1"/>
  <c r="E1691" i="1"/>
  <c r="D1691" i="1"/>
  <c r="C1691" i="1"/>
  <c r="I1690" i="1"/>
  <c r="H1690" i="1"/>
  <c r="G1690" i="1"/>
  <c r="F1690" i="1"/>
  <c r="E1690" i="1"/>
  <c r="D1690" i="1"/>
  <c r="C1690" i="1"/>
  <c r="I1689" i="1"/>
  <c r="H1689" i="1"/>
  <c r="G1689" i="1"/>
  <c r="F1689" i="1"/>
  <c r="E1689" i="1"/>
  <c r="D1689" i="1"/>
  <c r="C1689" i="1"/>
  <c r="I1688" i="1"/>
  <c r="H1688" i="1"/>
  <c r="G1688" i="1"/>
  <c r="F1688" i="1"/>
  <c r="E1688" i="1"/>
  <c r="D1688" i="1"/>
  <c r="C1688" i="1"/>
  <c r="I1687" i="1"/>
  <c r="H1687" i="1"/>
  <c r="G1687" i="1"/>
  <c r="F1687" i="1"/>
  <c r="E1687" i="1"/>
  <c r="D1687" i="1"/>
  <c r="C1687" i="1"/>
  <c r="I1686" i="1"/>
  <c r="H1686" i="1"/>
  <c r="G1686" i="1"/>
  <c r="F1686" i="1"/>
  <c r="E1686" i="1"/>
  <c r="D1686" i="1"/>
  <c r="C1686" i="1"/>
  <c r="I1685" i="1"/>
  <c r="H1685" i="1"/>
  <c r="G1685" i="1"/>
  <c r="F1685" i="1"/>
  <c r="E1685" i="1"/>
  <c r="D1685" i="1"/>
  <c r="C1685" i="1"/>
  <c r="I1684" i="1"/>
  <c r="H1684" i="1"/>
  <c r="G1684" i="1"/>
  <c r="F1684" i="1"/>
  <c r="E1684" i="1"/>
  <c r="D1684" i="1"/>
  <c r="C1684" i="1"/>
  <c r="I1683" i="1"/>
  <c r="H1683" i="1"/>
  <c r="G1683" i="1"/>
  <c r="F1683" i="1"/>
  <c r="E1683" i="1"/>
  <c r="D1683" i="1"/>
  <c r="C1683" i="1"/>
  <c r="I1682" i="1"/>
  <c r="H1682" i="1"/>
  <c r="G1682" i="1"/>
  <c r="F1682" i="1"/>
  <c r="E1682" i="1"/>
  <c r="D1682" i="1"/>
  <c r="C1682" i="1"/>
  <c r="I1681" i="1"/>
  <c r="H1681" i="1"/>
  <c r="G1681" i="1"/>
  <c r="F1681" i="1"/>
  <c r="E1681" i="1"/>
  <c r="D1681" i="1"/>
  <c r="C1681" i="1"/>
  <c r="I1680" i="1"/>
  <c r="H1680" i="1"/>
  <c r="G1680" i="1"/>
  <c r="F1680" i="1"/>
  <c r="E1680" i="1"/>
  <c r="D1680" i="1"/>
  <c r="C1680" i="1"/>
  <c r="I1679" i="1"/>
  <c r="H1679" i="1"/>
  <c r="G1679" i="1"/>
  <c r="F1679" i="1"/>
  <c r="E1679" i="1"/>
  <c r="D1679" i="1"/>
  <c r="C1679" i="1"/>
  <c r="I1678" i="1"/>
  <c r="H1678" i="1"/>
  <c r="G1678" i="1"/>
  <c r="F1678" i="1"/>
  <c r="E1678" i="1"/>
  <c r="D1678" i="1"/>
  <c r="C1678" i="1"/>
  <c r="I1677" i="1"/>
  <c r="H1677" i="1"/>
  <c r="G1677" i="1"/>
  <c r="F1677" i="1"/>
  <c r="E1677" i="1"/>
  <c r="D1677" i="1"/>
  <c r="C1677" i="1"/>
  <c r="I1676" i="1"/>
  <c r="H1676" i="1"/>
  <c r="G1676" i="1"/>
  <c r="F1676" i="1"/>
  <c r="E1676" i="1"/>
  <c r="D1676" i="1"/>
  <c r="C1676" i="1"/>
  <c r="I1675" i="1"/>
  <c r="H1675" i="1"/>
  <c r="G1675" i="1"/>
  <c r="F1675" i="1"/>
  <c r="E1675" i="1"/>
  <c r="D1675" i="1"/>
  <c r="C1675" i="1"/>
  <c r="I1674" i="1"/>
  <c r="H1674" i="1"/>
  <c r="G1674" i="1"/>
  <c r="F1674" i="1"/>
  <c r="E1674" i="1"/>
  <c r="D1674" i="1"/>
  <c r="C1674" i="1"/>
  <c r="I1673" i="1"/>
  <c r="H1673" i="1"/>
  <c r="G1673" i="1"/>
  <c r="F1673" i="1"/>
  <c r="E1673" i="1"/>
  <c r="D1673" i="1"/>
  <c r="C1673" i="1"/>
  <c r="I1672" i="1"/>
  <c r="H1672" i="1"/>
  <c r="G1672" i="1"/>
  <c r="F1672" i="1"/>
  <c r="E1672" i="1"/>
  <c r="D1672" i="1"/>
  <c r="C1672" i="1"/>
  <c r="I1671" i="1"/>
  <c r="H1671" i="1"/>
  <c r="G1671" i="1"/>
  <c r="F1671" i="1"/>
  <c r="E1671" i="1"/>
  <c r="D1671" i="1"/>
  <c r="C1671" i="1"/>
  <c r="I1670" i="1"/>
  <c r="H1670" i="1"/>
  <c r="G1670" i="1"/>
  <c r="F1670" i="1"/>
  <c r="E1670" i="1"/>
  <c r="D1670" i="1"/>
  <c r="C1670" i="1"/>
  <c r="I1669" i="1"/>
  <c r="H1669" i="1"/>
  <c r="G1669" i="1"/>
  <c r="F1669" i="1"/>
  <c r="E1669" i="1"/>
  <c r="D1669" i="1"/>
  <c r="C1669" i="1"/>
  <c r="I1668" i="1"/>
  <c r="H1668" i="1"/>
  <c r="G1668" i="1"/>
  <c r="F1668" i="1"/>
  <c r="E1668" i="1"/>
  <c r="D1668" i="1"/>
  <c r="C1668" i="1"/>
  <c r="I1667" i="1"/>
  <c r="H1667" i="1"/>
  <c r="G1667" i="1"/>
  <c r="F1667" i="1"/>
  <c r="E1667" i="1"/>
  <c r="D1667" i="1"/>
  <c r="C1667" i="1"/>
  <c r="I1666" i="1"/>
  <c r="H1666" i="1"/>
  <c r="G1666" i="1"/>
  <c r="F1666" i="1"/>
  <c r="E1666" i="1"/>
  <c r="D1666" i="1"/>
  <c r="C1666" i="1"/>
  <c r="I1665" i="1"/>
  <c r="H1665" i="1"/>
  <c r="G1665" i="1"/>
  <c r="F1665" i="1"/>
  <c r="E1665" i="1"/>
  <c r="D1665" i="1"/>
  <c r="C1665" i="1"/>
  <c r="I1664" i="1"/>
  <c r="H1664" i="1"/>
  <c r="G1664" i="1"/>
  <c r="F1664" i="1"/>
  <c r="E1664" i="1"/>
  <c r="D1664" i="1"/>
  <c r="C1664" i="1"/>
  <c r="I1663" i="1"/>
  <c r="H1663" i="1"/>
  <c r="G1663" i="1"/>
  <c r="F1663" i="1"/>
  <c r="E1663" i="1"/>
  <c r="D1663" i="1"/>
  <c r="C1663" i="1"/>
  <c r="I1662" i="1"/>
  <c r="H1662" i="1"/>
  <c r="G1662" i="1"/>
  <c r="F1662" i="1"/>
  <c r="E1662" i="1"/>
  <c r="D1662" i="1"/>
  <c r="C1662" i="1"/>
  <c r="I1661" i="1"/>
  <c r="H1661" i="1"/>
  <c r="G1661" i="1"/>
  <c r="F1661" i="1"/>
  <c r="E1661" i="1"/>
  <c r="D1661" i="1"/>
  <c r="C1661" i="1"/>
  <c r="I1660" i="1"/>
  <c r="H1660" i="1"/>
  <c r="G1660" i="1"/>
  <c r="F1660" i="1"/>
  <c r="E1660" i="1"/>
  <c r="D1660" i="1"/>
  <c r="C1660" i="1"/>
  <c r="I1659" i="1"/>
  <c r="H1659" i="1"/>
  <c r="G1659" i="1"/>
  <c r="F1659" i="1"/>
  <c r="E1659" i="1"/>
  <c r="D1659" i="1"/>
  <c r="C1659" i="1"/>
  <c r="I1658" i="1"/>
  <c r="H1658" i="1"/>
  <c r="G1658" i="1"/>
  <c r="F1658" i="1"/>
  <c r="E1658" i="1"/>
  <c r="D1658" i="1"/>
  <c r="C1658" i="1"/>
  <c r="I1657" i="1"/>
  <c r="H1657" i="1"/>
  <c r="G1657" i="1"/>
  <c r="F1657" i="1"/>
  <c r="E1657" i="1"/>
  <c r="D1657" i="1"/>
  <c r="C1657" i="1"/>
  <c r="I1656" i="1"/>
  <c r="H1656" i="1"/>
  <c r="G1656" i="1"/>
  <c r="F1656" i="1"/>
  <c r="E1656" i="1"/>
  <c r="D1656" i="1"/>
  <c r="C1656" i="1"/>
  <c r="I1655" i="1"/>
  <c r="H1655" i="1"/>
  <c r="G1655" i="1"/>
  <c r="F1655" i="1"/>
  <c r="E1655" i="1"/>
  <c r="D1655" i="1"/>
  <c r="C1655" i="1"/>
  <c r="I1654" i="1"/>
  <c r="H1654" i="1"/>
  <c r="G1654" i="1"/>
  <c r="F1654" i="1"/>
  <c r="E1654" i="1"/>
  <c r="D1654" i="1"/>
  <c r="C1654" i="1"/>
  <c r="I1653" i="1"/>
  <c r="H1653" i="1"/>
  <c r="G1653" i="1"/>
  <c r="F1653" i="1"/>
  <c r="E1653" i="1"/>
  <c r="D1653" i="1"/>
  <c r="C1653" i="1"/>
  <c r="I1652" i="1"/>
  <c r="H1652" i="1"/>
  <c r="G1652" i="1"/>
  <c r="F1652" i="1"/>
  <c r="E1652" i="1"/>
  <c r="D1652" i="1"/>
  <c r="C1652" i="1"/>
  <c r="I1651" i="1"/>
  <c r="H1651" i="1"/>
  <c r="G1651" i="1"/>
  <c r="F1651" i="1"/>
  <c r="E1651" i="1"/>
  <c r="D1651" i="1"/>
  <c r="C1651" i="1"/>
  <c r="I1650" i="1"/>
  <c r="H1650" i="1"/>
  <c r="G1650" i="1"/>
  <c r="F1650" i="1"/>
  <c r="E1650" i="1"/>
  <c r="D1650" i="1"/>
  <c r="C1650" i="1"/>
  <c r="I1649" i="1"/>
  <c r="H1649" i="1"/>
  <c r="G1649" i="1"/>
  <c r="F1649" i="1"/>
  <c r="E1649" i="1"/>
  <c r="D1649" i="1"/>
  <c r="C1649" i="1"/>
  <c r="I1648" i="1"/>
  <c r="H1648" i="1"/>
  <c r="G1648" i="1"/>
  <c r="F1648" i="1"/>
  <c r="E1648" i="1"/>
  <c r="D1648" i="1"/>
  <c r="C1648" i="1"/>
  <c r="I1647" i="1"/>
  <c r="H1647" i="1"/>
  <c r="G1647" i="1"/>
  <c r="F1647" i="1"/>
  <c r="E1647" i="1"/>
  <c r="D1647" i="1"/>
  <c r="C1647" i="1"/>
  <c r="I1646" i="1"/>
  <c r="H1646" i="1"/>
  <c r="G1646" i="1"/>
  <c r="F1646" i="1"/>
  <c r="E1646" i="1"/>
  <c r="D1646" i="1"/>
  <c r="C1646" i="1"/>
  <c r="I1645" i="1"/>
  <c r="H1645" i="1"/>
  <c r="G1645" i="1"/>
  <c r="F1645" i="1"/>
  <c r="E1645" i="1"/>
  <c r="D1645" i="1"/>
  <c r="C1645" i="1"/>
  <c r="I1644" i="1"/>
  <c r="H1644" i="1"/>
  <c r="G1644" i="1"/>
  <c r="F1644" i="1"/>
  <c r="E1644" i="1"/>
  <c r="D1644" i="1"/>
  <c r="C1644" i="1"/>
  <c r="I1643" i="1"/>
  <c r="H1643" i="1"/>
  <c r="G1643" i="1"/>
  <c r="F1643" i="1"/>
  <c r="E1643" i="1"/>
  <c r="D1643" i="1"/>
  <c r="C1643" i="1"/>
  <c r="I1642" i="1"/>
  <c r="H1642" i="1"/>
  <c r="G1642" i="1"/>
  <c r="F1642" i="1"/>
  <c r="E1642" i="1"/>
  <c r="D1642" i="1"/>
  <c r="C1642" i="1"/>
  <c r="I1641" i="1"/>
  <c r="H1641" i="1"/>
  <c r="G1641" i="1"/>
  <c r="F1641" i="1"/>
  <c r="E1641" i="1"/>
  <c r="D1641" i="1"/>
  <c r="C1641" i="1"/>
  <c r="I1640" i="1"/>
  <c r="H1640" i="1"/>
  <c r="G1640" i="1"/>
  <c r="F1640" i="1"/>
  <c r="E1640" i="1"/>
  <c r="D1640" i="1"/>
  <c r="C1640" i="1"/>
  <c r="I1639" i="1"/>
  <c r="H1639" i="1"/>
  <c r="G1639" i="1"/>
  <c r="F1639" i="1"/>
  <c r="E1639" i="1"/>
  <c r="D1639" i="1"/>
  <c r="C1639" i="1"/>
  <c r="I1638" i="1"/>
  <c r="H1638" i="1"/>
  <c r="G1638" i="1"/>
  <c r="F1638" i="1"/>
  <c r="E1638" i="1"/>
  <c r="D1638" i="1"/>
  <c r="C1638" i="1"/>
  <c r="I1637" i="1"/>
  <c r="H1637" i="1"/>
  <c r="G1637" i="1"/>
  <c r="F1637" i="1"/>
  <c r="E1637" i="1"/>
  <c r="D1637" i="1"/>
  <c r="C1637" i="1"/>
  <c r="I1636" i="1"/>
  <c r="H1636" i="1"/>
  <c r="G1636" i="1"/>
  <c r="F1636" i="1"/>
  <c r="E1636" i="1"/>
  <c r="D1636" i="1"/>
  <c r="C1636" i="1"/>
  <c r="I1635" i="1"/>
  <c r="H1635" i="1"/>
  <c r="G1635" i="1"/>
  <c r="F1635" i="1"/>
  <c r="E1635" i="1"/>
  <c r="D1635" i="1"/>
  <c r="C1635" i="1"/>
  <c r="I1634" i="1"/>
  <c r="H1634" i="1"/>
  <c r="G1634" i="1"/>
  <c r="F1634" i="1"/>
  <c r="E1634" i="1"/>
  <c r="D1634" i="1"/>
  <c r="C1634" i="1"/>
  <c r="I1633" i="1"/>
  <c r="H1633" i="1"/>
  <c r="G1633" i="1"/>
  <c r="F1633" i="1"/>
  <c r="E1633" i="1"/>
  <c r="D1633" i="1"/>
  <c r="C1633" i="1"/>
  <c r="I1632" i="1"/>
  <c r="H1632" i="1"/>
  <c r="G1632" i="1"/>
  <c r="F1632" i="1"/>
  <c r="E1632" i="1"/>
  <c r="D1632" i="1"/>
  <c r="C1632" i="1"/>
  <c r="I1631" i="1"/>
  <c r="H1631" i="1"/>
  <c r="G1631" i="1"/>
  <c r="F1631" i="1"/>
  <c r="E1631" i="1"/>
  <c r="D1631" i="1"/>
  <c r="C1631" i="1"/>
  <c r="I1630" i="1"/>
  <c r="H1630" i="1"/>
  <c r="G1630" i="1"/>
  <c r="F1630" i="1"/>
  <c r="E1630" i="1"/>
  <c r="D1630" i="1"/>
  <c r="C1630" i="1"/>
  <c r="I1629" i="1"/>
  <c r="H1629" i="1"/>
  <c r="G1629" i="1"/>
  <c r="F1629" i="1"/>
  <c r="E1629" i="1"/>
  <c r="D1629" i="1"/>
  <c r="C1629" i="1"/>
  <c r="I1628" i="1"/>
  <c r="H1628" i="1"/>
  <c r="G1628" i="1"/>
  <c r="F1628" i="1"/>
  <c r="E1628" i="1"/>
  <c r="D1628" i="1"/>
  <c r="C1628" i="1"/>
  <c r="I1627" i="1"/>
  <c r="H1627" i="1"/>
  <c r="G1627" i="1"/>
  <c r="F1627" i="1"/>
  <c r="E1627" i="1"/>
  <c r="D1627" i="1"/>
  <c r="C1627" i="1"/>
  <c r="I1626" i="1"/>
  <c r="H1626" i="1"/>
  <c r="G1626" i="1"/>
  <c r="F1626" i="1"/>
  <c r="E1626" i="1"/>
  <c r="D1626" i="1"/>
  <c r="C1626" i="1"/>
  <c r="I1625" i="1"/>
  <c r="H1625" i="1"/>
  <c r="G1625" i="1"/>
  <c r="F1625" i="1"/>
  <c r="E1625" i="1"/>
  <c r="D1625" i="1"/>
  <c r="C1625" i="1"/>
  <c r="I1624" i="1"/>
  <c r="H1624" i="1"/>
  <c r="G1624" i="1"/>
  <c r="F1624" i="1"/>
  <c r="E1624" i="1"/>
  <c r="D1624" i="1"/>
  <c r="C1624" i="1"/>
  <c r="I1623" i="1"/>
  <c r="H1623" i="1"/>
  <c r="G1623" i="1"/>
  <c r="F1623" i="1"/>
  <c r="E1623" i="1"/>
  <c r="D1623" i="1"/>
  <c r="C1623" i="1"/>
  <c r="I1622" i="1"/>
  <c r="H1622" i="1"/>
  <c r="G1622" i="1"/>
  <c r="F1622" i="1"/>
  <c r="E1622" i="1"/>
  <c r="D1622" i="1"/>
  <c r="C1622" i="1"/>
  <c r="I1621" i="1"/>
  <c r="H1621" i="1"/>
  <c r="G1621" i="1"/>
  <c r="F1621" i="1"/>
  <c r="E1621" i="1"/>
  <c r="D1621" i="1"/>
  <c r="C1621" i="1"/>
  <c r="I1620" i="1"/>
  <c r="H1620" i="1"/>
  <c r="G1620" i="1"/>
  <c r="F1620" i="1"/>
  <c r="E1620" i="1"/>
  <c r="D1620" i="1"/>
  <c r="C1620" i="1"/>
  <c r="I1619" i="1"/>
  <c r="H1619" i="1"/>
  <c r="G1619" i="1"/>
  <c r="F1619" i="1"/>
  <c r="E1619" i="1"/>
  <c r="D1619" i="1"/>
  <c r="C1619" i="1"/>
  <c r="I1618" i="1"/>
  <c r="H1618" i="1"/>
  <c r="G1618" i="1"/>
  <c r="F1618" i="1"/>
  <c r="E1618" i="1"/>
  <c r="D1618" i="1"/>
  <c r="C1618" i="1"/>
  <c r="I1617" i="1"/>
  <c r="H1617" i="1"/>
  <c r="G1617" i="1"/>
  <c r="F1617" i="1"/>
  <c r="E1617" i="1"/>
  <c r="D1617" i="1"/>
  <c r="C1617" i="1"/>
  <c r="I1616" i="1"/>
  <c r="H1616" i="1"/>
  <c r="G1616" i="1"/>
  <c r="F1616" i="1"/>
  <c r="E1616" i="1"/>
  <c r="D1616" i="1"/>
  <c r="C1616" i="1"/>
  <c r="I1615" i="1"/>
  <c r="H1615" i="1"/>
  <c r="G1615" i="1"/>
  <c r="F1615" i="1"/>
  <c r="E1615" i="1"/>
  <c r="D1615" i="1"/>
  <c r="C1615" i="1"/>
  <c r="I1614" i="1"/>
  <c r="H1614" i="1"/>
  <c r="G1614" i="1"/>
  <c r="F1614" i="1"/>
  <c r="E1614" i="1"/>
  <c r="D1614" i="1"/>
  <c r="C1614" i="1"/>
  <c r="I1613" i="1"/>
  <c r="H1613" i="1"/>
  <c r="G1613" i="1"/>
  <c r="F1613" i="1"/>
  <c r="E1613" i="1"/>
  <c r="D1613" i="1"/>
  <c r="C1613" i="1"/>
  <c r="I1612" i="1"/>
  <c r="H1612" i="1"/>
  <c r="G1612" i="1"/>
  <c r="F1612" i="1"/>
  <c r="E1612" i="1"/>
  <c r="D1612" i="1"/>
  <c r="C1612" i="1"/>
  <c r="I1611" i="1"/>
  <c r="H1611" i="1"/>
  <c r="G1611" i="1"/>
  <c r="F1611" i="1"/>
  <c r="E1611" i="1"/>
  <c r="D1611" i="1"/>
  <c r="C1611" i="1"/>
  <c r="I1610" i="1"/>
  <c r="H1610" i="1"/>
  <c r="G1610" i="1"/>
  <c r="F1610" i="1"/>
  <c r="E1610" i="1"/>
  <c r="D1610" i="1"/>
  <c r="C1610" i="1"/>
  <c r="I1609" i="1"/>
  <c r="H1609" i="1"/>
  <c r="G1609" i="1"/>
  <c r="F1609" i="1"/>
  <c r="E1609" i="1"/>
  <c r="D1609" i="1"/>
  <c r="C1609" i="1"/>
  <c r="I1608" i="1"/>
  <c r="H1608" i="1"/>
  <c r="G1608" i="1"/>
  <c r="F1608" i="1"/>
  <c r="E1608" i="1"/>
  <c r="D1608" i="1"/>
  <c r="C1608" i="1"/>
  <c r="I1607" i="1"/>
  <c r="H1607" i="1"/>
  <c r="G1607" i="1"/>
  <c r="F1607" i="1"/>
  <c r="E1607" i="1"/>
  <c r="D1607" i="1"/>
  <c r="C1607" i="1"/>
  <c r="I1606" i="1"/>
  <c r="H1606" i="1"/>
  <c r="G1606" i="1"/>
  <c r="F1606" i="1"/>
  <c r="E1606" i="1"/>
  <c r="D1606" i="1"/>
  <c r="C1606" i="1"/>
  <c r="I1605" i="1"/>
  <c r="H1605" i="1"/>
  <c r="G1605" i="1"/>
  <c r="F1605" i="1"/>
  <c r="E1605" i="1"/>
  <c r="D1605" i="1"/>
  <c r="C1605" i="1"/>
  <c r="I1604" i="1"/>
  <c r="H1604" i="1"/>
  <c r="G1604" i="1"/>
  <c r="F1604" i="1"/>
  <c r="E1604" i="1"/>
  <c r="D1604" i="1"/>
  <c r="C1604" i="1"/>
  <c r="I1603" i="1"/>
  <c r="H1603" i="1"/>
  <c r="G1603" i="1"/>
  <c r="F1603" i="1"/>
  <c r="E1603" i="1"/>
  <c r="D1603" i="1"/>
  <c r="C1603" i="1"/>
  <c r="I1602" i="1"/>
  <c r="H1602" i="1"/>
  <c r="G1602" i="1"/>
  <c r="F1602" i="1"/>
  <c r="E1602" i="1"/>
  <c r="D1602" i="1"/>
  <c r="C1602" i="1"/>
  <c r="I1601" i="1"/>
  <c r="H1601" i="1"/>
  <c r="G1601" i="1"/>
  <c r="F1601" i="1"/>
  <c r="E1601" i="1"/>
  <c r="D1601" i="1"/>
  <c r="C1601" i="1"/>
  <c r="I1600" i="1"/>
  <c r="H1600" i="1"/>
  <c r="G1600" i="1"/>
  <c r="F1600" i="1"/>
  <c r="E1600" i="1"/>
  <c r="D1600" i="1"/>
  <c r="C1600" i="1"/>
  <c r="I1599" i="1"/>
  <c r="H1599" i="1"/>
  <c r="G1599" i="1"/>
  <c r="F1599" i="1"/>
  <c r="E1599" i="1"/>
  <c r="D1599" i="1"/>
  <c r="C1599" i="1"/>
  <c r="I1598" i="1"/>
  <c r="H1598" i="1"/>
  <c r="G1598" i="1"/>
  <c r="F1598" i="1"/>
  <c r="E1598" i="1"/>
  <c r="D1598" i="1"/>
  <c r="C1598" i="1"/>
  <c r="I1597" i="1"/>
  <c r="H1597" i="1"/>
  <c r="G1597" i="1"/>
  <c r="F1597" i="1"/>
  <c r="E1597" i="1"/>
  <c r="D1597" i="1"/>
  <c r="C1597" i="1"/>
  <c r="I1596" i="1"/>
  <c r="H1596" i="1"/>
  <c r="G1596" i="1"/>
  <c r="F1596" i="1"/>
  <c r="E1596" i="1"/>
  <c r="D1596" i="1"/>
  <c r="C1596" i="1"/>
  <c r="I1595" i="1"/>
  <c r="H1595" i="1"/>
  <c r="G1595" i="1"/>
  <c r="F1595" i="1"/>
  <c r="E1595" i="1"/>
  <c r="D1595" i="1"/>
  <c r="C1595" i="1"/>
  <c r="I1594" i="1"/>
  <c r="H1594" i="1"/>
  <c r="G1594" i="1"/>
  <c r="F1594" i="1"/>
  <c r="E1594" i="1"/>
  <c r="D1594" i="1"/>
  <c r="C1594" i="1"/>
  <c r="I1593" i="1"/>
  <c r="H1593" i="1"/>
  <c r="G1593" i="1"/>
  <c r="F1593" i="1"/>
  <c r="E1593" i="1"/>
  <c r="D1593" i="1"/>
  <c r="C1593" i="1"/>
  <c r="I1592" i="1"/>
  <c r="H1592" i="1"/>
  <c r="G1592" i="1"/>
  <c r="F1592" i="1"/>
  <c r="E1592" i="1"/>
  <c r="D1592" i="1"/>
  <c r="C1592" i="1"/>
  <c r="I1591" i="1"/>
  <c r="H1591" i="1"/>
  <c r="G1591" i="1"/>
  <c r="F1591" i="1"/>
  <c r="E1591" i="1"/>
  <c r="D1591" i="1"/>
  <c r="C1591" i="1"/>
  <c r="I1590" i="1"/>
  <c r="H1590" i="1"/>
  <c r="G1590" i="1"/>
  <c r="F1590" i="1"/>
  <c r="E1590" i="1"/>
  <c r="D1590" i="1"/>
  <c r="C1590" i="1"/>
  <c r="I1589" i="1"/>
  <c r="H1589" i="1"/>
  <c r="G1589" i="1"/>
  <c r="F1589" i="1"/>
  <c r="E1589" i="1"/>
  <c r="D1589" i="1"/>
  <c r="C1589" i="1"/>
  <c r="I1588" i="1"/>
  <c r="H1588" i="1"/>
  <c r="G1588" i="1"/>
  <c r="F1588" i="1"/>
  <c r="E1588" i="1"/>
  <c r="D1588" i="1"/>
  <c r="C1588" i="1"/>
  <c r="I1587" i="1"/>
  <c r="H1587" i="1"/>
  <c r="G1587" i="1"/>
  <c r="F1587" i="1"/>
  <c r="E1587" i="1"/>
  <c r="D1587" i="1"/>
  <c r="C1587" i="1"/>
  <c r="I1586" i="1"/>
  <c r="H1586" i="1"/>
  <c r="G1586" i="1"/>
  <c r="F1586" i="1"/>
  <c r="E1586" i="1"/>
  <c r="D1586" i="1"/>
  <c r="C1586" i="1"/>
  <c r="I1585" i="1"/>
  <c r="H1585" i="1"/>
  <c r="G1585" i="1"/>
  <c r="F1585" i="1"/>
  <c r="E1585" i="1"/>
  <c r="D1585" i="1"/>
  <c r="C1585" i="1"/>
  <c r="I1584" i="1"/>
  <c r="H1584" i="1"/>
  <c r="G1584" i="1"/>
  <c r="F1584" i="1"/>
  <c r="E1584" i="1"/>
  <c r="D1584" i="1"/>
  <c r="C1584" i="1"/>
  <c r="I1583" i="1"/>
  <c r="H1583" i="1"/>
  <c r="G1583" i="1"/>
  <c r="F1583" i="1"/>
  <c r="E1583" i="1"/>
  <c r="D1583" i="1"/>
  <c r="C1583" i="1"/>
  <c r="I1582" i="1"/>
  <c r="H1582" i="1"/>
  <c r="G1582" i="1"/>
  <c r="F1582" i="1"/>
  <c r="E1582" i="1"/>
  <c r="D1582" i="1"/>
  <c r="C1582" i="1"/>
  <c r="I1581" i="1"/>
  <c r="H1581" i="1"/>
  <c r="G1581" i="1"/>
  <c r="F1581" i="1"/>
  <c r="E1581" i="1"/>
  <c r="D1581" i="1"/>
  <c r="C1581" i="1"/>
  <c r="I1580" i="1"/>
  <c r="H1580" i="1"/>
  <c r="G1580" i="1"/>
  <c r="F1580" i="1"/>
  <c r="E1580" i="1"/>
  <c r="D1580" i="1"/>
  <c r="C1580" i="1"/>
  <c r="I1579" i="1"/>
  <c r="H1579" i="1"/>
  <c r="G1579" i="1"/>
  <c r="F1579" i="1"/>
  <c r="E1579" i="1"/>
  <c r="D1579" i="1"/>
  <c r="C1579" i="1"/>
  <c r="I1578" i="1"/>
  <c r="H1578" i="1"/>
  <c r="G1578" i="1"/>
  <c r="F1578" i="1"/>
  <c r="E1578" i="1"/>
  <c r="D1578" i="1"/>
  <c r="C1578" i="1"/>
  <c r="I1577" i="1"/>
  <c r="H1577" i="1"/>
  <c r="G1577" i="1"/>
  <c r="F1577" i="1"/>
  <c r="E1577" i="1"/>
  <c r="D1577" i="1"/>
  <c r="C1577" i="1"/>
  <c r="I1576" i="1"/>
  <c r="H1576" i="1"/>
  <c r="G1576" i="1"/>
  <c r="F1576" i="1"/>
  <c r="E1576" i="1"/>
  <c r="D1576" i="1"/>
  <c r="C1576" i="1"/>
  <c r="I1575" i="1"/>
  <c r="H1575" i="1"/>
  <c r="G1575" i="1"/>
  <c r="F1575" i="1"/>
  <c r="E1575" i="1"/>
  <c r="D1575" i="1"/>
  <c r="C1575" i="1"/>
  <c r="I1574" i="1"/>
  <c r="H1574" i="1"/>
  <c r="G1574" i="1"/>
  <c r="F1574" i="1"/>
  <c r="E1574" i="1"/>
  <c r="D1574" i="1"/>
  <c r="C1574" i="1"/>
  <c r="I1573" i="1"/>
  <c r="H1573" i="1"/>
  <c r="G1573" i="1"/>
  <c r="F1573" i="1"/>
  <c r="E1573" i="1"/>
  <c r="D1573" i="1"/>
  <c r="C1573" i="1"/>
  <c r="I1572" i="1"/>
  <c r="H1572" i="1"/>
  <c r="G1572" i="1"/>
  <c r="F1572" i="1"/>
  <c r="E1572" i="1"/>
  <c r="D1572" i="1"/>
  <c r="C1572" i="1"/>
  <c r="I1571" i="1"/>
  <c r="H1571" i="1"/>
  <c r="G1571" i="1"/>
  <c r="F1571" i="1"/>
  <c r="E1571" i="1"/>
  <c r="D1571" i="1"/>
  <c r="C1571" i="1"/>
  <c r="I1570" i="1"/>
  <c r="H1570" i="1"/>
  <c r="G1570" i="1"/>
  <c r="F1570" i="1"/>
  <c r="E1570" i="1"/>
  <c r="D1570" i="1"/>
  <c r="C1570" i="1"/>
  <c r="I1569" i="1"/>
  <c r="H1569" i="1"/>
  <c r="G1569" i="1"/>
  <c r="F1569" i="1"/>
  <c r="E1569" i="1"/>
  <c r="D1569" i="1"/>
  <c r="C1569" i="1"/>
  <c r="I1568" i="1"/>
  <c r="H1568" i="1"/>
  <c r="G1568" i="1"/>
  <c r="F1568" i="1"/>
  <c r="E1568" i="1"/>
  <c r="D1568" i="1"/>
  <c r="C1568" i="1"/>
  <c r="I1567" i="1"/>
  <c r="H1567" i="1"/>
  <c r="G1567" i="1"/>
  <c r="F1567" i="1"/>
  <c r="E1567" i="1"/>
  <c r="D1567" i="1"/>
  <c r="C1567" i="1"/>
  <c r="I1566" i="1"/>
  <c r="H1566" i="1"/>
  <c r="G1566" i="1"/>
  <c r="F1566" i="1"/>
  <c r="E1566" i="1"/>
  <c r="D1566" i="1"/>
  <c r="C1566" i="1"/>
  <c r="I1565" i="1"/>
  <c r="H1565" i="1"/>
  <c r="G1565" i="1"/>
  <c r="F1565" i="1"/>
  <c r="E1565" i="1"/>
  <c r="D1565" i="1"/>
  <c r="C1565" i="1"/>
  <c r="I1564" i="1"/>
  <c r="H1564" i="1"/>
  <c r="G1564" i="1"/>
  <c r="F1564" i="1"/>
  <c r="E1564" i="1"/>
  <c r="D1564" i="1"/>
  <c r="C1564" i="1"/>
  <c r="I1563" i="1"/>
  <c r="H1563" i="1"/>
  <c r="G1563" i="1"/>
  <c r="F1563" i="1"/>
  <c r="E1563" i="1"/>
  <c r="D1563" i="1"/>
  <c r="C1563" i="1"/>
  <c r="I1562" i="1"/>
  <c r="H1562" i="1"/>
  <c r="G1562" i="1"/>
  <c r="F1562" i="1"/>
  <c r="E1562" i="1"/>
  <c r="D1562" i="1"/>
  <c r="C1562" i="1"/>
  <c r="I1561" i="1"/>
  <c r="H1561" i="1"/>
  <c r="G1561" i="1"/>
  <c r="F1561" i="1"/>
  <c r="E1561" i="1"/>
  <c r="D1561" i="1"/>
  <c r="C1561" i="1"/>
  <c r="I1560" i="1"/>
  <c r="H1560" i="1"/>
  <c r="G1560" i="1"/>
  <c r="F1560" i="1"/>
  <c r="E1560" i="1"/>
  <c r="D1560" i="1"/>
  <c r="C1560" i="1"/>
  <c r="I1559" i="1"/>
  <c r="H1559" i="1"/>
  <c r="G1559" i="1"/>
  <c r="F1559" i="1"/>
  <c r="E1559" i="1"/>
  <c r="D1559" i="1"/>
  <c r="C1559" i="1"/>
  <c r="I1558" i="1"/>
  <c r="H1558" i="1"/>
  <c r="G1558" i="1"/>
  <c r="F1558" i="1"/>
  <c r="E1558" i="1"/>
  <c r="D1558" i="1"/>
  <c r="C1558" i="1"/>
  <c r="I1557" i="1"/>
  <c r="H1557" i="1"/>
  <c r="G1557" i="1"/>
  <c r="F1557" i="1"/>
  <c r="E1557" i="1"/>
  <c r="D1557" i="1"/>
  <c r="C1557" i="1"/>
  <c r="I1556" i="1"/>
  <c r="H1556" i="1"/>
  <c r="G1556" i="1"/>
  <c r="F1556" i="1"/>
  <c r="E1556" i="1"/>
  <c r="D1556" i="1"/>
  <c r="C1556" i="1"/>
  <c r="I1555" i="1"/>
  <c r="H1555" i="1"/>
  <c r="G1555" i="1"/>
  <c r="F1555" i="1"/>
  <c r="E1555" i="1"/>
  <c r="D1555" i="1"/>
  <c r="C1555" i="1"/>
  <c r="I1554" i="1"/>
  <c r="H1554" i="1"/>
  <c r="G1554" i="1"/>
  <c r="F1554" i="1"/>
  <c r="E1554" i="1"/>
  <c r="D1554" i="1"/>
  <c r="C1554" i="1"/>
  <c r="I1553" i="1"/>
  <c r="H1553" i="1"/>
  <c r="G1553" i="1"/>
  <c r="F1553" i="1"/>
  <c r="E1553" i="1"/>
  <c r="D1553" i="1"/>
  <c r="C1553" i="1"/>
  <c r="I1552" i="1"/>
  <c r="H1552" i="1"/>
  <c r="G1552" i="1"/>
  <c r="F1552" i="1"/>
  <c r="E1552" i="1"/>
  <c r="D1552" i="1"/>
  <c r="C1552" i="1"/>
  <c r="I1551" i="1"/>
  <c r="H1551" i="1"/>
  <c r="G1551" i="1"/>
  <c r="F1551" i="1"/>
  <c r="E1551" i="1"/>
  <c r="D1551" i="1"/>
  <c r="C1551" i="1"/>
  <c r="I1550" i="1"/>
  <c r="H1550" i="1"/>
  <c r="G1550" i="1"/>
  <c r="F1550" i="1"/>
  <c r="E1550" i="1"/>
  <c r="D1550" i="1"/>
  <c r="C1550" i="1"/>
  <c r="I1549" i="1"/>
  <c r="H1549" i="1"/>
  <c r="G1549" i="1"/>
  <c r="F1549" i="1"/>
  <c r="E1549" i="1"/>
  <c r="D1549" i="1"/>
  <c r="C1549" i="1"/>
  <c r="I1548" i="1"/>
  <c r="H1548" i="1"/>
  <c r="G1548" i="1"/>
  <c r="F1548" i="1"/>
  <c r="E1548" i="1"/>
  <c r="D1548" i="1"/>
  <c r="C1548" i="1"/>
  <c r="I1547" i="1"/>
  <c r="H1547" i="1"/>
  <c r="G1547" i="1"/>
  <c r="F1547" i="1"/>
  <c r="E1547" i="1"/>
  <c r="D1547" i="1"/>
  <c r="C1547" i="1"/>
  <c r="I1546" i="1"/>
  <c r="H1546" i="1"/>
  <c r="G1546" i="1"/>
  <c r="F1546" i="1"/>
  <c r="E1546" i="1"/>
  <c r="D1546" i="1"/>
  <c r="C1546" i="1"/>
  <c r="I1545" i="1"/>
  <c r="H1545" i="1"/>
  <c r="G1545" i="1"/>
  <c r="F1545" i="1"/>
  <c r="E1545" i="1"/>
  <c r="D1545" i="1"/>
  <c r="C1545" i="1"/>
  <c r="I1544" i="1"/>
  <c r="H1544" i="1"/>
  <c r="G1544" i="1"/>
  <c r="F1544" i="1"/>
  <c r="E1544" i="1"/>
  <c r="D1544" i="1"/>
  <c r="C1544" i="1"/>
  <c r="I1543" i="1"/>
  <c r="H1543" i="1"/>
  <c r="G1543" i="1"/>
  <c r="F1543" i="1"/>
  <c r="E1543" i="1"/>
  <c r="D1543" i="1"/>
  <c r="C1543" i="1"/>
  <c r="I1542" i="1"/>
  <c r="H1542" i="1"/>
  <c r="G1542" i="1"/>
  <c r="F1542" i="1"/>
  <c r="E1542" i="1"/>
  <c r="D1542" i="1"/>
  <c r="C1542" i="1"/>
  <c r="I1541" i="1"/>
  <c r="H1541" i="1"/>
  <c r="G1541" i="1"/>
  <c r="F1541" i="1"/>
  <c r="E1541" i="1"/>
  <c r="D1541" i="1"/>
  <c r="C1541" i="1"/>
  <c r="I1540" i="1"/>
  <c r="H1540" i="1"/>
  <c r="G1540" i="1"/>
  <c r="F1540" i="1"/>
  <c r="E1540" i="1"/>
  <c r="D1540" i="1"/>
  <c r="C1540" i="1"/>
  <c r="I1539" i="1"/>
  <c r="H1539" i="1"/>
  <c r="G1539" i="1"/>
  <c r="F1539" i="1"/>
  <c r="E1539" i="1"/>
  <c r="D1539" i="1"/>
  <c r="C1539" i="1"/>
  <c r="I1538" i="1"/>
  <c r="H1538" i="1"/>
  <c r="G1538" i="1"/>
  <c r="F1538" i="1"/>
  <c r="E1538" i="1"/>
  <c r="D1538" i="1"/>
  <c r="C1538" i="1"/>
  <c r="I1537" i="1"/>
  <c r="H1537" i="1"/>
  <c r="G1537" i="1"/>
  <c r="F1537" i="1"/>
  <c r="E1537" i="1"/>
  <c r="D1537" i="1"/>
  <c r="C1537" i="1"/>
  <c r="I1536" i="1"/>
  <c r="H1536" i="1"/>
  <c r="G1536" i="1"/>
  <c r="F1536" i="1"/>
  <c r="E1536" i="1"/>
  <c r="D1536" i="1"/>
  <c r="C1536" i="1"/>
  <c r="I1535" i="1"/>
  <c r="H1535" i="1"/>
  <c r="G1535" i="1"/>
  <c r="F1535" i="1"/>
  <c r="E1535" i="1"/>
  <c r="D1535" i="1"/>
  <c r="C1535" i="1"/>
  <c r="I1534" i="1"/>
  <c r="H1534" i="1"/>
  <c r="G1534" i="1"/>
  <c r="F1534" i="1"/>
  <c r="E1534" i="1"/>
  <c r="D1534" i="1"/>
  <c r="C1534" i="1"/>
  <c r="I1533" i="1"/>
  <c r="H1533" i="1"/>
  <c r="G1533" i="1"/>
  <c r="F1533" i="1"/>
  <c r="E1533" i="1"/>
  <c r="D1533" i="1"/>
  <c r="C1533" i="1"/>
  <c r="I1532" i="1"/>
  <c r="H1532" i="1"/>
  <c r="G1532" i="1"/>
  <c r="F1532" i="1"/>
  <c r="E1532" i="1"/>
  <c r="D1532" i="1"/>
  <c r="C1532" i="1"/>
  <c r="I1531" i="1"/>
  <c r="H1531" i="1"/>
  <c r="G1531" i="1"/>
  <c r="F1531" i="1"/>
  <c r="E1531" i="1"/>
  <c r="D1531" i="1"/>
  <c r="C1531" i="1"/>
  <c r="I1530" i="1"/>
  <c r="H1530" i="1"/>
  <c r="G1530" i="1"/>
  <c r="F1530" i="1"/>
  <c r="E1530" i="1"/>
  <c r="D1530" i="1"/>
  <c r="C1530" i="1"/>
  <c r="I1529" i="1"/>
  <c r="H1529" i="1"/>
  <c r="G1529" i="1"/>
  <c r="F1529" i="1"/>
  <c r="E1529" i="1"/>
  <c r="D1529" i="1"/>
  <c r="C1529" i="1"/>
  <c r="I1528" i="1"/>
  <c r="H1528" i="1"/>
  <c r="G1528" i="1"/>
  <c r="F1528" i="1"/>
  <c r="E1528" i="1"/>
  <c r="D1528" i="1"/>
  <c r="C1528" i="1"/>
  <c r="I1527" i="1"/>
  <c r="H1527" i="1"/>
  <c r="G1527" i="1"/>
  <c r="F1527" i="1"/>
  <c r="E1527" i="1"/>
  <c r="D1527" i="1"/>
  <c r="C1527" i="1"/>
  <c r="I1526" i="1"/>
  <c r="H1526" i="1"/>
  <c r="G1526" i="1"/>
  <c r="F1526" i="1"/>
  <c r="E1526" i="1"/>
  <c r="D1526" i="1"/>
  <c r="C1526" i="1"/>
  <c r="I1525" i="1"/>
  <c r="H1525" i="1"/>
  <c r="G1525" i="1"/>
  <c r="F1525" i="1"/>
  <c r="E1525" i="1"/>
  <c r="D1525" i="1"/>
  <c r="C1525" i="1"/>
  <c r="I1524" i="1"/>
  <c r="H1524" i="1"/>
  <c r="G1524" i="1"/>
  <c r="F1524" i="1"/>
  <c r="E1524" i="1"/>
  <c r="D1524" i="1"/>
  <c r="C1524" i="1"/>
  <c r="I1523" i="1"/>
  <c r="H1523" i="1"/>
  <c r="G1523" i="1"/>
  <c r="F1523" i="1"/>
  <c r="E1523" i="1"/>
  <c r="D1523" i="1"/>
  <c r="C1523" i="1"/>
  <c r="I1522" i="1"/>
  <c r="H1522" i="1"/>
  <c r="G1522" i="1"/>
  <c r="F1522" i="1"/>
  <c r="E1522" i="1"/>
  <c r="D1522" i="1"/>
  <c r="C1522" i="1"/>
  <c r="I1521" i="1"/>
  <c r="H1521" i="1"/>
  <c r="G1521" i="1"/>
  <c r="F1521" i="1"/>
  <c r="E1521" i="1"/>
  <c r="D1521" i="1"/>
  <c r="C1521" i="1"/>
  <c r="I1520" i="1"/>
  <c r="H1520" i="1"/>
  <c r="G1520" i="1"/>
  <c r="F1520" i="1"/>
  <c r="E1520" i="1"/>
  <c r="D1520" i="1"/>
  <c r="C1520" i="1"/>
  <c r="I1519" i="1"/>
  <c r="H1519" i="1"/>
  <c r="G1519" i="1"/>
  <c r="F1519" i="1"/>
  <c r="E1519" i="1"/>
  <c r="D1519" i="1"/>
  <c r="C1519" i="1"/>
  <c r="I1518" i="1"/>
  <c r="H1518" i="1"/>
  <c r="G1518" i="1"/>
  <c r="F1518" i="1"/>
  <c r="E1518" i="1"/>
  <c r="D1518" i="1"/>
  <c r="C1518" i="1"/>
  <c r="I1517" i="1"/>
  <c r="H1517" i="1"/>
  <c r="G1517" i="1"/>
  <c r="F1517" i="1"/>
  <c r="E1517" i="1"/>
  <c r="D1517" i="1"/>
  <c r="C1517" i="1"/>
  <c r="I1516" i="1"/>
  <c r="H1516" i="1"/>
  <c r="G1516" i="1"/>
  <c r="F1516" i="1"/>
  <c r="E1516" i="1"/>
  <c r="D1516" i="1"/>
  <c r="C1516" i="1"/>
  <c r="I1515" i="1"/>
  <c r="H1515" i="1"/>
  <c r="G1515" i="1"/>
  <c r="F1515" i="1"/>
  <c r="E1515" i="1"/>
  <c r="D1515" i="1"/>
  <c r="C1515" i="1"/>
  <c r="I1514" i="1"/>
  <c r="H1514" i="1"/>
  <c r="G1514" i="1"/>
  <c r="F1514" i="1"/>
  <c r="E1514" i="1"/>
  <c r="D1514" i="1"/>
  <c r="C1514" i="1"/>
  <c r="I1513" i="1"/>
  <c r="H1513" i="1"/>
  <c r="G1513" i="1"/>
  <c r="F1513" i="1"/>
  <c r="E1513" i="1"/>
  <c r="D1513" i="1"/>
  <c r="C1513" i="1"/>
  <c r="I1512" i="1"/>
  <c r="H1512" i="1"/>
  <c r="G1512" i="1"/>
  <c r="F1512" i="1"/>
  <c r="E1512" i="1"/>
  <c r="D1512" i="1"/>
  <c r="C1512" i="1"/>
  <c r="I1511" i="1"/>
  <c r="H1511" i="1"/>
  <c r="G1511" i="1"/>
  <c r="F1511" i="1"/>
  <c r="E1511" i="1"/>
  <c r="D1511" i="1"/>
  <c r="C1511" i="1"/>
  <c r="I1510" i="1"/>
  <c r="H1510" i="1"/>
  <c r="G1510" i="1"/>
  <c r="F1510" i="1"/>
  <c r="E1510" i="1"/>
  <c r="D1510" i="1"/>
  <c r="C1510" i="1"/>
  <c r="I1509" i="1"/>
  <c r="H1509" i="1"/>
  <c r="G1509" i="1"/>
  <c r="F1509" i="1"/>
  <c r="E1509" i="1"/>
  <c r="D1509" i="1"/>
  <c r="C1509" i="1"/>
  <c r="I1508" i="1"/>
  <c r="H1508" i="1"/>
  <c r="G1508" i="1"/>
  <c r="F1508" i="1"/>
  <c r="E1508" i="1"/>
  <c r="D1508" i="1"/>
  <c r="C1508" i="1"/>
  <c r="I1507" i="1"/>
  <c r="H1507" i="1"/>
  <c r="G1507" i="1"/>
  <c r="F1507" i="1"/>
  <c r="E1507" i="1"/>
  <c r="D1507" i="1"/>
  <c r="C1507" i="1"/>
  <c r="I1506" i="1"/>
  <c r="H1506" i="1"/>
  <c r="G1506" i="1"/>
  <c r="F1506" i="1"/>
  <c r="E1506" i="1"/>
  <c r="D1506" i="1"/>
  <c r="C1506" i="1"/>
  <c r="I1505" i="1"/>
  <c r="H1505" i="1"/>
  <c r="G1505" i="1"/>
  <c r="F1505" i="1"/>
  <c r="E1505" i="1"/>
  <c r="D1505" i="1"/>
  <c r="C1505" i="1"/>
  <c r="I1504" i="1"/>
  <c r="H1504" i="1"/>
  <c r="G1504" i="1"/>
  <c r="F1504" i="1"/>
  <c r="E1504" i="1"/>
  <c r="D1504" i="1"/>
  <c r="C1504" i="1"/>
  <c r="I1503" i="1"/>
  <c r="H1503" i="1"/>
  <c r="G1503" i="1"/>
  <c r="F1503" i="1"/>
  <c r="E1503" i="1"/>
  <c r="D1503" i="1"/>
  <c r="C1503" i="1"/>
  <c r="I1502" i="1"/>
  <c r="H1502" i="1"/>
  <c r="G1502" i="1"/>
  <c r="F1502" i="1"/>
  <c r="E1502" i="1"/>
  <c r="D1502" i="1"/>
  <c r="C1502" i="1"/>
  <c r="I1501" i="1"/>
  <c r="H1501" i="1"/>
  <c r="G1501" i="1"/>
  <c r="F1501" i="1"/>
  <c r="E1501" i="1"/>
  <c r="D1501" i="1"/>
  <c r="C1501" i="1"/>
  <c r="I1500" i="1"/>
  <c r="H1500" i="1"/>
  <c r="G1500" i="1"/>
  <c r="F1500" i="1"/>
  <c r="E1500" i="1"/>
  <c r="D1500" i="1"/>
  <c r="C1500" i="1"/>
  <c r="I1499" i="1"/>
  <c r="H1499" i="1"/>
  <c r="G1499" i="1"/>
  <c r="F1499" i="1"/>
  <c r="E1499" i="1"/>
  <c r="D1499" i="1"/>
  <c r="C1499" i="1"/>
  <c r="I1498" i="1"/>
  <c r="H1498" i="1"/>
  <c r="G1498" i="1"/>
  <c r="F1498" i="1"/>
  <c r="E1498" i="1"/>
  <c r="D1498" i="1"/>
  <c r="C1498" i="1"/>
  <c r="I1497" i="1"/>
  <c r="H1497" i="1"/>
  <c r="G1497" i="1"/>
  <c r="F1497" i="1"/>
  <c r="E1497" i="1"/>
  <c r="D1497" i="1"/>
  <c r="C1497" i="1"/>
  <c r="I1496" i="1"/>
  <c r="H1496" i="1"/>
  <c r="G1496" i="1"/>
  <c r="F1496" i="1"/>
  <c r="E1496" i="1"/>
  <c r="D1496" i="1"/>
  <c r="C1496" i="1"/>
  <c r="I1495" i="1"/>
  <c r="H1495" i="1"/>
  <c r="G1495" i="1"/>
  <c r="F1495" i="1"/>
  <c r="E1495" i="1"/>
  <c r="D1495" i="1"/>
  <c r="C1495" i="1"/>
  <c r="I1494" i="1"/>
  <c r="H1494" i="1"/>
  <c r="G1494" i="1"/>
  <c r="F1494" i="1"/>
  <c r="E1494" i="1"/>
  <c r="D1494" i="1"/>
  <c r="C1494" i="1"/>
  <c r="I1493" i="1"/>
  <c r="H1493" i="1"/>
  <c r="G1493" i="1"/>
  <c r="F1493" i="1"/>
  <c r="E1493" i="1"/>
  <c r="D1493" i="1"/>
  <c r="C1493" i="1"/>
  <c r="I1492" i="1"/>
  <c r="H1492" i="1"/>
  <c r="G1492" i="1"/>
  <c r="F1492" i="1"/>
  <c r="E1492" i="1"/>
  <c r="D1492" i="1"/>
  <c r="C1492" i="1"/>
  <c r="I1491" i="1"/>
  <c r="H1491" i="1"/>
  <c r="G1491" i="1"/>
  <c r="F1491" i="1"/>
  <c r="E1491" i="1"/>
  <c r="D1491" i="1"/>
  <c r="C1491" i="1"/>
  <c r="I1490" i="1"/>
  <c r="H1490" i="1"/>
  <c r="G1490" i="1"/>
  <c r="F1490" i="1"/>
  <c r="E1490" i="1"/>
  <c r="D1490" i="1"/>
  <c r="C1490" i="1"/>
  <c r="I1489" i="1"/>
  <c r="H1489" i="1"/>
  <c r="G1489" i="1"/>
  <c r="F1489" i="1"/>
  <c r="E1489" i="1"/>
  <c r="D1489" i="1"/>
  <c r="C1489" i="1"/>
  <c r="I1488" i="1"/>
  <c r="H1488" i="1"/>
  <c r="G1488" i="1"/>
  <c r="F1488" i="1"/>
  <c r="E1488" i="1"/>
  <c r="D1488" i="1"/>
  <c r="C1488" i="1"/>
  <c r="I1487" i="1"/>
  <c r="H1487" i="1"/>
  <c r="G1487" i="1"/>
  <c r="F1487" i="1"/>
  <c r="E1487" i="1"/>
  <c r="D1487" i="1"/>
  <c r="C1487" i="1"/>
  <c r="I1486" i="1"/>
  <c r="H1486" i="1"/>
  <c r="G1486" i="1"/>
  <c r="F1486" i="1"/>
  <c r="E1486" i="1"/>
  <c r="D1486" i="1"/>
  <c r="C1486" i="1"/>
  <c r="I1485" i="1"/>
  <c r="H1485" i="1"/>
  <c r="G1485" i="1"/>
  <c r="F1485" i="1"/>
  <c r="E1485" i="1"/>
  <c r="D1485" i="1"/>
  <c r="C1485" i="1"/>
  <c r="I1484" i="1"/>
  <c r="H1484" i="1"/>
  <c r="G1484" i="1"/>
  <c r="F1484" i="1"/>
  <c r="E1484" i="1"/>
  <c r="D1484" i="1"/>
  <c r="C1484" i="1"/>
  <c r="I1483" i="1"/>
  <c r="H1483" i="1"/>
  <c r="G1483" i="1"/>
  <c r="F1483" i="1"/>
  <c r="E1483" i="1"/>
  <c r="D1483" i="1"/>
  <c r="C1483" i="1"/>
  <c r="I1482" i="1"/>
  <c r="H1482" i="1"/>
  <c r="G1482" i="1"/>
  <c r="F1482" i="1"/>
  <c r="E1482" i="1"/>
  <c r="D1482" i="1"/>
  <c r="C1482" i="1"/>
  <c r="I1481" i="1"/>
  <c r="H1481" i="1"/>
  <c r="G1481" i="1"/>
  <c r="F1481" i="1"/>
  <c r="E1481" i="1"/>
  <c r="D1481" i="1"/>
  <c r="C1481" i="1"/>
  <c r="I1480" i="1"/>
  <c r="H1480" i="1"/>
  <c r="G1480" i="1"/>
  <c r="F1480" i="1"/>
  <c r="E1480" i="1"/>
  <c r="D1480" i="1"/>
  <c r="C1480" i="1"/>
  <c r="I1479" i="1"/>
  <c r="H1479" i="1"/>
  <c r="G1479" i="1"/>
  <c r="F1479" i="1"/>
  <c r="E1479" i="1"/>
  <c r="D1479" i="1"/>
  <c r="C1479" i="1"/>
  <c r="I1478" i="1"/>
  <c r="H1478" i="1"/>
  <c r="G1478" i="1"/>
  <c r="F1478" i="1"/>
  <c r="E1478" i="1"/>
  <c r="D1478" i="1"/>
  <c r="C1478" i="1"/>
  <c r="I1477" i="1"/>
  <c r="H1477" i="1"/>
  <c r="G1477" i="1"/>
  <c r="F1477" i="1"/>
  <c r="E1477" i="1"/>
  <c r="D1477" i="1"/>
  <c r="C1477" i="1"/>
  <c r="I1476" i="1"/>
  <c r="H1476" i="1"/>
  <c r="G1476" i="1"/>
  <c r="F1476" i="1"/>
  <c r="E1476" i="1"/>
  <c r="D1476" i="1"/>
  <c r="C1476" i="1"/>
  <c r="I1475" i="1"/>
  <c r="H1475" i="1"/>
  <c r="G1475" i="1"/>
  <c r="F1475" i="1"/>
  <c r="E1475" i="1"/>
  <c r="D1475" i="1"/>
  <c r="C1475" i="1"/>
  <c r="I1474" i="1"/>
  <c r="H1474" i="1"/>
  <c r="G1474" i="1"/>
  <c r="F1474" i="1"/>
  <c r="E1474" i="1"/>
  <c r="D1474" i="1"/>
  <c r="C1474" i="1"/>
  <c r="I1473" i="1"/>
  <c r="H1473" i="1"/>
  <c r="G1473" i="1"/>
  <c r="F1473" i="1"/>
  <c r="E1473" i="1"/>
  <c r="D1473" i="1"/>
  <c r="C1473" i="1"/>
  <c r="I1472" i="1"/>
  <c r="H1472" i="1"/>
  <c r="G1472" i="1"/>
  <c r="F1472" i="1"/>
  <c r="E1472" i="1"/>
  <c r="D1472" i="1"/>
  <c r="C1472" i="1"/>
  <c r="I1471" i="1"/>
  <c r="H1471" i="1"/>
  <c r="G1471" i="1"/>
  <c r="F1471" i="1"/>
  <c r="E1471" i="1"/>
  <c r="D1471" i="1"/>
  <c r="C1471" i="1"/>
  <c r="I1470" i="1"/>
  <c r="H1470" i="1"/>
  <c r="G1470" i="1"/>
  <c r="F1470" i="1"/>
  <c r="E1470" i="1"/>
  <c r="D1470" i="1"/>
  <c r="C1470" i="1"/>
  <c r="I1469" i="1"/>
  <c r="H1469" i="1"/>
  <c r="G1469" i="1"/>
  <c r="F1469" i="1"/>
  <c r="E1469" i="1"/>
  <c r="D1469" i="1"/>
  <c r="C1469" i="1"/>
  <c r="I1468" i="1"/>
  <c r="H1468" i="1"/>
  <c r="G1468" i="1"/>
  <c r="F1468" i="1"/>
  <c r="E1468" i="1"/>
  <c r="D1468" i="1"/>
  <c r="C1468" i="1"/>
  <c r="I1467" i="1"/>
  <c r="H1467" i="1"/>
  <c r="G1467" i="1"/>
  <c r="F1467" i="1"/>
  <c r="E1467" i="1"/>
  <c r="D1467" i="1"/>
  <c r="C1467" i="1"/>
  <c r="I1466" i="1"/>
  <c r="H1466" i="1"/>
  <c r="G1466" i="1"/>
  <c r="F1466" i="1"/>
  <c r="E1466" i="1"/>
  <c r="D1466" i="1"/>
  <c r="C1466" i="1"/>
  <c r="I1465" i="1"/>
  <c r="H1465" i="1"/>
  <c r="G1465" i="1"/>
  <c r="F1465" i="1"/>
  <c r="E1465" i="1"/>
  <c r="D1465" i="1"/>
  <c r="C1465" i="1"/>
  <c r="I1464" i="1"/>
  <c r="H1464" i="1"/>
  <c r="G1464" i="1"/>
  <c r="F1464" i="1"/>
  <c r="E1464" i="1"/>
  <c r="D1464" i="1"/>
  <c r="C1464" i="1"/>
  <c r="I1463" i="1"/>
  <c r="H1463" i="1"/>
  <c r="G1463" i="1"/>
  <c r="F1463" i="1"/>
  <c r="E1463" i="1"/>
  <c r="D1463" i="1"/>
  <c r="C1463" i="1"/>
  <c r="I1462" i="1"/>
  <c r="H1462" i="1"/>
  <c r="G1462" i="1"/>
  <c r="F1462" i="1"/>
  <c r="E1462" i="1"/>
  <c r="D1462" i="1"/>
  <c r="C1462" i="1"/>
  <c r="I1461" i="1"/>
  <c r="H1461" i="1"/>
  <c r="G1461" i="1"/>
  <c r="F1461" i="1"/>
  <c r="E1461" i="1"/>
  <c r="D1461" i="1"/>
  <c r="C1461" i="1"/>
  <c r="I1460" i="1"/>
  <c r="H1460" i="1"/>
  <c r="G1460" i="1"/>
  <c r="F1460" i="1"/>
  <c r="E1460" i="1"/>
  <c r="D1460" i="1"/>
  <c r="C1460" i="1"/>
  <c r="I1459" i="1"/>
  <c r="H1459" i="1"/>
  <c r="G1459" i="1"/>
  <c r="F1459" i="1"/>
  <c r="E1459" i="1"/>
  <c r="D1459" i="1"/>
  <c r="C1459" i="1"/>
  <c r="I1458" i="1"/>
  <c r="H1458" i="1"/>
  <c r="G1458" i="1"/>
  <c r="F1458" i="1"/>
  <c r="E1458" i="1"/>
  <c r="D1458" i="1"/>
  <c r="C1458" i="1"/>
  <c r="I1457" i="1"/>
  <c r="H1457" i="1"/>
  <c r="G1457" i="1"/>
  <c r="F1457" i="1"/>
  <c r="E1457" i="1"/>
  <c r="D1457" i="1"/>
  <c r="C1457" i="1"/>
  <c r="I1456" i="1"/>
  <c r="H1456" i="1"/>
  <c r="G1456" i="1"/>
  <c r="F1456" i="1"/>
  <c r="E1456" i="1"/>
  <c r="D1456" i="1"/>
  <c r="C1456" i="1"/>
  <c r="I1455" i="1"/>
  <c r="H1455" i="1"/>
  <c r="G1455" i="1"/>
  <c r="F1455" i="1"/>
  <c r="E1455" i="1"/>
  <c r="D1455" i="1"/>
  <c r="C1455" i="1"/>
  <c r="I1454" i="1"/>
  <c r="H1454" i="1"/>
  <c r="G1454" i="1"/>
  <c r="F1454" i="1"/>
  <c r="E1454" i="1"/>
  <c r="D1454" i="1"/>
  <c r="C1454" i="1"/>
  <c r="I1453" i="1"/>
  <c r="H1453" i="1"/>
  <c r="G1453" i="1"/>
  <c r="F1453" i="1"/>
  <c r="E1453" i="1"/>
  <c r="D1453" i="1"/>
  <c r="C1453" i="1"/>
  <c r="I1452" i="1"/>
  <c r="H1452" i="1"/>
  <c r="G1452" i="1"/>
  <c r="F1452" i="1"/>
  <c r="E1452" i="1"/>
  <c r="D1452" i="1"/>
  <c r="C1452" i="1"/>
  <c r="I1451" i="1"/>
  <c r="H1451" i="1"/>
  <c r="G1451" i="1"/>
  <c r="F1451" i="1"/>
  <c r="E1451" i="1"/>
  <c r="D1451" i="1"/>
  <c r="C1451" i="1"/>
  <c r="I1450" i="1"/>
  <c r="H1450" i="1"/>
  <c r="G1450" i="1"/>
  <c r="F1450" i="1"/>
  <c r="E1450" i="1"/>
  <c r="D1450" i="1"/>
  <c r="C1450" i="1"/>
  <c r="I1449" i="1"/>
  <c r="H1449" i="1"/>
  <c r="G1449" i="1"/>
  <c r="F1449" i="1"/>
  <c r="E1449" i="1"/>
  <c r="D1449" i="1"/>
  <c r="C1449" i="1"/>
  <c r="I1448" i="1"/>
  <c r="H1448" i="1"/>
  <c r="G1448" i="1"/>
  <c r="F1448" i="1"/>
  <c r="E1448" i="1"/>
  <c r="D1448" i="1"/>
  <c r="C1448" i="1"/>
  <c r="I1447" i="1"/>
  <c r="H1447" i="1"/>
  <c r="G1447" i="1"/>
  <c r="F1447" i="1"/>
  <c r="E1447" i="1"/>
  <c r="D1447" i="1"/>
  <c r="C1447" i="1"/>
  <c r="I1446" i="1"/>
  <c r="H1446" i="1"/>
  <c r="G1446" i="1"/>
  <c r="F1446" i="1"/>
  <c r="E1446" i="1"/>
  <c r="D1446" i="1"/>
  <c r="C1446" i="1"/>
  <c r="I1445" i="1"/>
  <c r="H1445" i="1"/>
  <c r="G1445" i="1"/>
  <c r="F1445" i="1"/>
  <c r="E1445" i="1"/>
  <c r="D1445" i="1"/>
  <c r="C1445" i="1"/>
  <c r="I1444" i="1"/>
  <c r="H1444" i="1"/>
  <c r="G1444" i="1"/>
  <c r="F1444" i="1"/>
  <c r="E1444" i="1"/>
  <c r="D1444" i="1"/>
  <c r="C1444" i="1"/>
  <c r="I1443" i="1"/>
  <c r="H1443" i="1"/>
  <c r="G1443" i="1"/>
  <c r="F1443" i="1"/>
  <c r="E1443" i="1"/>
  <c r="D1443" i="1"/>
  <c r="C1443" i="1"/>
  <c r="I1442" i="1"/>
  <c r="H1442" i="1"/>
  <c r="G1442" i="1"/>
  <c r="F1442" i="1"/>
  <c r="E1442" i="1"/>
  <c r="D1442" i="1"/>
  <c r="C1442" i="1"/>
  <c r="I1441" i="1"/>
  <c r="H1441" i="1"/>
  <c r="G1441" i="1"/>
  <c r="F1441" i="1"/>
  <c r="E1441" i="1"/>
  <c r="D1441" i="1"/>
  <c r="C1441" i="1"/>
  <c r="I1440" i="1"/>
  <c r="H1440" i="1"/>
  <c r="G1440" i="1"/>
  <c r="F1440" i="1"/>
  <c r="E1440" i="1"/>
  <c r="D1440" i="1"/>
  <c r="C1440" i="1"/>
  <c r="I1439" i="1"/>
  <c r="H1439" i="1"/>
  <c r="G1439" i="1"/>
  <c r="F1439" i="1"/>
  <c r="E1439" i="1"/>
  <c r="D1439" i="1"/>
  <c r="C1439" i="1"/>
  <c r="I1438" i="1"/>
  <c r="H1438" i="1"/>
  <c r="G1438" i="1"/>
  <c r="F1438" i="1"/>
  <c r="E1438" i="1"/>
  <c r="D1438" i="1"/>
  <c r="C1438" i="1"/>
  <c r="I1437" i="1"/>
  <c r="H1437" i="1"/>
  <c r="G1437" i="1"/>
  <c r="F1437" i="1"/>
  <c r="E1437" i="1"/>
  <c r="D1437" i="1"/>
  <c r="C1437" i="1"/>
  <c r="I1436" i="1"/>
  <c r="H1436" i="1"/>
  <c r="G1436" i="1"/>
  <c r="F1436" i="1"/>
  <c r="E1436" i="1"/>
  <c r="D1436" i="1"/>
  <c r="C1436" i="1"/>
  <c r="I1435" i="1"/>
  <c r="H1435" i="1"/>
  <c r="G1435" i="1"/>
  <c r="F1435" i="1"/>
  <c r="E1435" i="1"/>
  <c r="D1435" i="1"/>
  <c r="C1435" i="1"/>
  <c r="I1434" i="1"/>
  <c r="H1434" i="1"/>
  <c r="G1434" i="1"/>
  <c r="F1434" i="1"/>
  <c r="E1434" i="1"/>
  <c r="D1434" i="1"/>
  <c r="C1434" i="1"/>
  <c r="I1433" i="1"/>
  <c r="H1433" i="1"/>
  <c r="G1433" i="1"/>
  <c r="F1433" i="1"/>
  <c r="E1433" i="1"/>
  <c r="D1433" i="1"/>
  <c r="C1433" i="1"/>
  <c r="I1432" i="1"/>
  <c r="H1432" i="1"/>
  <c r="G1432" i="1"/>
  <c r="F1432" i="1"/>
  <c r="E1432" i="1"/>
  <c r="D1432" i="1"/>
  <c r="C1432" i="1"/>
  <c r="I1431" i="1"/>
  <c r="H1431" i="1"/>
  <c r="G1431" i="1"/>
  <c r="F1431" i="1"/>
  <c r="E1431" i="1"/>
  <c r="D1431" i="1"/>
  <c r="C1431" i="1"/>
  <c r="I1430" i="1"/>
  <c r="H1430" i="1"/>
  <c r="G1430" i="1"/>
  <c r="F1430" i="1"/>
  <c r="E1430" i="1"/>
  <c r="D1430" i="1"/>
  <c r="C1430" i="1"/>
  <c r="I1429" i="1"/>
  <c r="H1429" i="1"/>
  <c r="G1429" i="1"/>
  <c r="F1429" i="1"/>
  <c r="E1429" i="1"/>
  <c r="D1429" i="1"/>
  <c r="C1429" i="1"/>
  <c r="I1428" i="1"/>
  <c r="H1428" i="1"/>
  <c r="G1428" i="1"/>
  <c r="F1428" i="1"/>
  <c r="E1428" i="1"/>
  <c r="D1428" i="1"/>
  <c r="C1428" i="1"/>
  <c r="I1427" i="1"/>
  <c r="H1427" i="1"/>
  <c r="G1427" i="1"/>
  <c r="F1427" i="1"/>
  <c r="E1427" i="1"/>
  <c r="D1427" i="1"/>
  <c r="C1427" i="1"/>
  <c r="I1426" i="1"/>
  <c r="H1426" i="1"/>
  <c r="G1426" i="1"/>
  <c r="F1426" i="1"/>
  <c r="E1426" i="1"/>
  <c r="D1426" i="1"/>
  <c r="C1426" i="1"/>
  <c r="I1425" i="1"/>
  <c r="H1425" i="1"/>
  <c r="G1425" i="1"/>
  <c r="F1425" i="1"/>
  <c r="E1425" i="1"/>
  <c r="D1425" i="1"/>
  <c r="C1425" i="1"/>
  <c r="I1424" i="1"/>
  <c r="H1424" i="1"/>
  <c r="G1424" i="1"/>
  <c r="F1424" i="1"/>
  <c r="E1424" i="1"/>
  <c r="D1424" i="1"/>
  <c r="C1424" i="1"/>
  <c r="I1423" i="1"/>
  <c r="H1423" i="1"/>
  <c r="G1423" i="1"/>
  <c r="F1423" i="1"/>
  <c r="E1423" i="1"/>
  <c r="D1423" i="1"/>
  <c r="C1423" i="1"/>
  <c r="I1422" i="1"/>
  <c r="H1422" i="1"/>
  <c r="G1422" i="1"/>
  <c r="F1422" i="1"/>
  <c r="E1422" i="1"/>
  <c r="D1422" i="1"/>
  <c r="C1422" i="1"/>
  <c r="I1421" i="1"/>
  <c r="H1421" i="1"/>
  <c r="G1421" i="1"/>
  <c r="F1421" i="1"/>
  <c r="E1421" i="1"/>
  <c r="D1421" i="1"/>
  <c r="C1421" i="1"/>
  <c r="I1420" i="1"/>
  <c r="H1420" i="1"/>
  <c r="G1420" i="1"/>
  <c r="F1420" i="1"/>
  <c r="E1420" i="1"/>
  <c r="D1420" i="1"/>
  <c r="C1420" i="1"/>
  <c r="I1419" i="1"/>
  <c r="H1419" i="1"/>
  <c r="G1419" i="1"/>
  <c r="F1419" i="1"/>
  <c r="E1419" i="1"/>
  <c r="D1419" i="1"/>
  <c r="C1419" i="1"/>
  <c r="I1418" i="1"/>
  <c r="H1418" i="1"/>
  <c r="G1418" i="1"/>
  <c r="F1418" i="1"/>
  <c r="E1418" i="1"/>
  <c r="D1418" i="1"/>
  <c r="C1418" i="1"/>
  <c r="I1417" i="1"/>
  <c r="H1417" i="1"/>
  <c r="G1417" i="1"/>
  <c r="F1417" i="1"/>
  <c r="E1417" i="1"/>
  <c r="D1417" i="1"/>
  <c r="C1417" i="1"/>
  <c r="I1416" i="1"/>
  <c r="H1416" i="1"/>
  <c r="G1416" i="1"/>
  <c r="F1416" i="1"/>
  <c r="E1416" i="1"/>
  <c r="D1416" i="1"/>
  <c r="C1416" i="1"/>
  <c r="I1415" i="1"/>
  <c r="H1415" i="1"/>
  <c r="G1415" i="1"/>
  <c r="F1415" i="1"/>
  <c r="E1415" i="1"/>
  <c r="D1415" i="1"/>
  <c r="C1415" i="1"/>
  <c r="I1414" i="1"/>
  <c r="H1414" i="1"/>
  <c r="G1414" i="1"/>
  <c r="F1414" i="1"/>
  <c r="E1414" i="1"/>
  <c r="D1414" i="1"/>
  <c r="C1414" i="1"/>
  <c r="I1413" i="1"/>
  <c r="H1413" i="1"/>
  <c r="G1413" i="1"/>
  <c r="F1413" i="1"/>
  <c r="E1413" i="1"/>
  <c r="D1413" i="1"/>
  <c r="C1413" i="1"/>
  <c r="I1412" i="1"/>
  <c r="H1412" i="1"/>
  <c r="G1412" i="1"/>
  <c r="F1412" i="1"/>
  <c r="E1412" i="1"/>
  <c r="D1412" i="1"/>
  <c r="C1412" i="1"/>
  <c r="I1411" i="1"/>
  <c r="H1411" i="1"/>
  <c r="G1411" i="1"/>
  <c r="F1411" i="1"/>
  <c r="E1411" i="1"/>
  <c r="D1411" i="1"/>
  <c r="C1411" i="1"/>
  <c r="I1410" i="1"/>
  <c r="H1410" i="1"/>
  <c r="G1410" i="1"/>
  <c r="F1410" i="1"/>
  <c r="E1410" i="1"/>
  <c r="D1410" i="1"/>
  <c r="C1410" i="1"/>
  <c r="I1409" i="1"/>
  <c r="H1409" i="1"/>
  <c r="G1409" i="1"/>
  <c r="F1409" i="1"/>
  <c r="E1409" i="1"/>
  <c r="D1409" i="1"/>
  <c r="C1409" i="1"/>
  <c r="I1408" i="1"/>
  <c r="H1408" i="1"/>
  <c r="G1408" i="1"/>
  <c r="F1408" i="1"/>
  <c r="E1408" i="1"/>
  <c r="D1408" i="1"/>
  <c r="C1408" i="1"/>
  <c r="I1407" i="1"/>
  <c r="H1407" i="1"/>
  <c r="G1407" i="1"/>
  <c r="F1407" i="1"/>
  <c r="E1407" i="1"/>
  <c r="D1407" i="1"/>
  <c r="C1407" i="1"/>
  <c r="I1406" i="1"/>
  <c r="H1406" i="1"/>
  <c r="G1406" i="1"/>
  <c r="F1406" i="1"/>
  <c r="E1406" i="1"/>
  <c r="D1406" i="1"/>
  <c r="C1406" i="1"/>
  <c r="I1405" i="1"/>
  <c r="H1405" i="1"/>
  <c r="G1405" i="1"/>
  <c r="F1405" i="1"/>
  <c r="E1405" i="1"/>
  <c r="D1405" i="1"/>
  <c r="C1405" i="1"/>
  <c r="I1404" i="1"/>
  <c r="H1404" i="1"/>
  <c r="G1404" i="1"/>
  <c r="F1404" i="1"/>
  <c r="E1404" i="1"/>
  <c r="D1404" i="1"/>
  <c r="C1404" i="1"/>
  <c r="I1403" i="1"/>
  <c r="H1403" i="1"/>
  <c r="G1403" i="1"/>
  <c r="F1403" i="1"/>
  <c r="E1403" i="1"/>
  <c r="D1403" i="1"/>
  <c r="C1403" i="1"/>
  <c r="I1402" i="1"/>
  <c r="H1402" i="1"/>
  <c r="G1402" i="1"/>
  <c r="F1402" i="1"/>
  <c r="E1402" i="1"/>
  <c r="D1402" i="1"/>
  <c r="C1402" i="1"/>
  <c r="I1401" i="1"/>
  <c r="H1401" i="1"/>
  <c r="G1401" i="1"/>
  <c r="F1401" i="1"/>
  <c r="E1401" i="1"/>
  <c r="D1401" i="1"/>
  <c r="C1401" i="1"/>
  <c r="I1400" i="1"/>
  <c r="H1400" i="1"/>
  <c r="G1400" i="1"/>
  <c r="F1400" i="1"/>
  <c r="E1400" i="1"/>
  <c r="D1400" i="1"/>
  <c r="C1400" i="1"/>
  <c r="I1399" i="1"/>
  <c r="H1399" i="1"/>
  <c r="G1399" i="1"/>
  <c r="F1399" i="1"/>
  <c r="E1399" i="1"/>
  <c r="D1399" i="1"/>
  <c r="C1399" i="1"/>
  <c r="I1398" i="1"/>
  <c r="H1398" i="1"/>
  <c r="G1398" i="1"/>
  <c r="F1398" i="1"/>
  <c r="E1398" i="1"/>
  <c r="D1398" i="1"/>
  <c r="C1398" i="1"/>
  <c r="I1397" i="1"/>
  <c r="H1397" i="1"/>
  <c r="G1397" i="1"/>
  <c r="F1397" i="1"/>
  <c r="E1397" i="1"/>
  <c r="D1397" i="1"/>
  <c r="C1397" i="1"/>
  <c r="I1396" i="1"/>
  <c r="H1396" i="1"/>
  <c r="G1396" i="1"/>
  <c r="F1396" i="1"/>
  <c r="E1396" i="1"/>
  <c r="D1396" i="1"/>
  <c r="C1396" i="1"/>
  <c r="I1395" i="1"/>
  <c r="H1395" i="1"/>
  <c r="G1395" i="1"/>
  <c r="F1395" i="1"/>
  <c r="E1395" i="1"/>
  <c r="D1395" i="1"/>
  <c r="C1395" i="1"/>
  <c r="I1394" i="1"/>
  <c r="H1394" i="1"/>
  <c r="G1394" i="1"/>
  <c r="F1394" i="1"/>
  <c r="E1394" i="1"/>
  <c r="D1394" i="1"/>
  <c r="C1394" i="1"/>
  <c r="I1393" i="1"/>
  <c r="H1393" i="1"/>
  <c r="G1393" i="1"/>
  <c r="F1393" i="1"/>
  <c r="E1393" i="1"/>
  <c r="D1393" i="1"/>
  <c r="C1393" i="1"/>
  <c r="I1392" i="1"/>
  <c r="H1392" i="1"/>
  <c r="G1392" i="1"/>
  <c r="F1392" i="1"/>
  <c r="E1392" i="1"/>
  <c r="D1392" i="1"/>
  <c r="C1392" i="1"/>
  <c r="I1391" i="1"/>
  <c r="H1391" i="1"/>
  <c r="G1391" i="1"/>
  <c r="F1391" i="1"/>
  <c r="E1391" i="1"/>
  <c r="D1391" i="1"/>
  <c r="C1391" i="1"/>
  <c r="I1390" i="1"/>
  <c r="H1390" i="1"/>
  <c r="G1390" i="1"/>
  <c r="F1390" i="1"/>
  <c r="E1390" i="1"/>
  <c r="D1390" i="1"/>
  <c r="C1390" i="1"/>
  <c r="I1389" i="1"/>
  <c r="H1389" i="1"/>
  <c r="G1389" i="1"/>
  <c r="F1389" i="1"/>
  <c r="E1389" i="1"/>
  <c r="D1389" i="1"/>
  <c r="C1389" i="1"/>
  <c r="I1388" i="1"/>
  <c r="H1388" i="1"/>
  <c r="G1388" i="1"/>
  <c r="F1388" i="1"/>
  <c r="E1388" i="1"/>
  <c r="D1388" i="1"/>
  <c r="C1388" i="1"/>
  <c r="I1387" i="1"/>
  <c r="H1387" i="1"/>
  <c r="G1387" i="1"/>
  <c r="F1387" i="1"/>
  <c r="E1387" i="1"/>
  <c r="D1387" i="1"/>
  <c r="C1387" i="1"/>
  <c r="I1386" i="1"/>
  <c r="H1386" i="1"/>
  <c r="G1386" i="1"/>
  <c r="F1386" i="1"/>
  <c r="E1386" i="1"/>
  <c r="D1386" i="1"/>
  <c r="C1386" i="1"/>
  <c r="I1385" i="1"/>
  <c r="H1385" i="1"/>
  <c r="G1385" i="1"/>
  <c r="F1385" i="1"/>
  <c r="E1385" i="1"/>
  <c r="D1385" i="1"/>
  <c r="C1385" i="1"/>
  <c r="I1384" i="1"/>
  <c r="H1384" i="1"/>
  <c r="G1384" i="1"/>
  <c r="F1384" i="1"/>
  <c r="E1384" i="1"/>
  <c r="D1384" i="1"/>
  <c r="C1384" i="1"/>
  <c r="I1383" i="1"/>
  <c r="H1383" i="1"/>
  <c r="G1383" i="1"/>
  <c r="F1383" i="1"/>
  <c r="E1383" i="1"/>
  <c r="D1383" i="1"/>
  <c r="C1383" i="1"/>
  <c r="I1382" i="1"/>
  <c r="H1382" i="1"/>
  <c r="G1382" i="1"/>
  <c r="F1382" i="1"/>
  <c r="E1382" i="1"/>
  <c r="D1382" i="1"/>
  <c r="C1382" i="1"/>
  <c r="I1381" i="1"/>
  <c r="H1381" i="1"/>
  <c r="G1381" i="1"/>
  <c r="F1381" i="1"/>
  <c r="E1381" i="1"/>
  <c r="D1381" i="1"/>
  <c r="C1381" i="1"/>
  <c r="I1380" i="1"/>
  <c r="H1380" i="1"/>
  <c r="G1380" i="1"/>
  <c r="F1380" i="1"/>
  <c r="E1380" i="1"/>
  <c r="D1380" i="1"/>
  <c r="C1380" i="1"/>
  <c r="I1379" i="1"/>
  <c r="H1379" i="1"/>
  <c r="G1379" i="1"/>
  <c r="F1379" i="1"/>
  <c r="E1379" i="1"/>
  <c r="D1379" i="1"/>
  <c r="C1379" i="1"/>
  <c r="I1378" i="1"/>
  <c r="H1378" i="1"/>
  <c r="G1378" i="1"/>
  <c r="F1378" i="1"/>
  <c r="E1378" i="1"/>
  <c r="D1378" i="1"/>
  <c r="C1378" i="1"/>
  <c r="I1377" i="1"/>
  <c r="H1377" i="1"/>
  <c r="G1377" i="1"/>
  <c r="F1377" i="1"/>
  <c r="E1377" i="1"/>
  <c r="D1377" i="1"/>
  <c r="C1377" i="1"/>
  <c r="I1376" i="1"/>
  <c r="H1376" i="1"/>
  <c r="G1376" i="1"/>
  <c r="F1376" i="1"/>
  <c r="E1376" i="1"/>
  <c r="D1376" i="1"/>
  <c r="C1376" i="1"/>
  <c r="I1375" i="1"/>
  <c r="H1375" i="1"/>
  <c r="G1375" i="1"/>
  <c r="F1375" i="1"/>
  <c r="E1375" i="1"/>
  <c r="D1375" i="1"/>
  <c r="C1375" i="1"/>
  <c r="I1374" i="1"/>
  <c r="H1374" i="1"/>
  <c r="G1374" i="1"/>
  <c r="F1374" i="1"/>
  <c r="E1374" i="1"/>
  <c r="D1374" i="1"/>
  <c r="C1374" i="1"/>
  <c r="I1373" i="1"/>
  <c r="H1373" i="1"/>
  <c r="G1373" i="1"/>
  <c r="F1373" i="1"/>
  <c r="E1373" i="1"/>
  <c r="D1373" i="1"/>
  <c r="C1373" i="1"/>
  <c r="I1372" i="1"/>
  <c r="H1372" i="1"/>
  <c r="G1372" i="1"/>
  <c r="F1372" i="1"/>
  <c r="E1372" i="1"/>
  <c r="D1372" i="1"/>
  <c r="C1372" i="1"/>
  <c r="I1371" i="1"/>
  <c r="H1371" i="1"/>
  <c r="G1371" i="1"/>
  <c r="F1371" i="1"/>
  <c r="E1371" i="1"/>
  <c r="D1371" i="1"/>
  <c r="C1371" i="1"/>
  <c r="I1370" i="1"/>
  <c r="H1370" i="1"/>
  <c r="G1370" i="1"/>
  <c r="F1370" i="1"/>
  <c r="E1370" i="1"/>
  <c r="D1370" i="1"/>
  <c r="C1370" i="1"/>
  <c r="I1369" i="1"/>
  <c r="H1369" i="1"/>
  <c r="G1369" i="1"/>
  <c r="F1369" i="1"/>
  <c r="E1369" i="1"/>
  <c r="D1369" i="1"/>
  <c r="C1369" i="1"/>
  <c r="I1368" i="1"/>
  <c r="H1368" i="1"/>
  <c r="G1368" i="1"/>
  <c r="F1368" i="1"/>
  <c r="E1368" i="1"/>
  <c r="D1368" i="1"/>
  <c r="C1368" i="1"/>
  <c r="I1367" i="1"/>
  <c r="H1367" i="1"/>
  <c r="G1367" i="1"/>
  <c r="F1367" i="1"/>
  <c r="E1367" i="1"/>
  <c r="D1367" i="1"/>
  <c r="C1367" i="1"/>
  <c r="I1366" i="1"/>
  <c r="H1366" i="1"/>
  <c r="G1366" i="1"/>
  <c r="F1366" i="1"/>
  <c r="E1366" i="1"/>
  <c r="D1366" i="1"/>
  <c r="C1366" i="1"/>
  <c r="I1365" i="1"/>
  <c r="H1365" i="1"/>
  <c r="G1365" i="1"/>
  <c r="F1365" i="1"/>
  <c r="E1365" i="1"/>
  <c r="D1365" i="1"/>
  <c r="C1365" i="1"/>
  <c r="I1364" i="1"/>
  <c r="H1364" i="1"/>
  <c r="G1364" i="1"/>
  <c r="F1364" i="1"/>
  <c r="E1364" i="1"/>
  <c r="D1364" i="1"/>
  <c r="C1364" i="1"/>
  <c r="I1363" i="1"/>
  <c r="H1363" i="1"/>
  <c r="G1363" i="1"/>
  <c r="F1363" i="1"/>
  <c r="E1363" i="1"/>
  <c r="D1363" i="1"/>
  <c r="C1363" i="1"/>
  <c r="I1362" i="1"/>
  <c r="H1362" i="1"/>
  <c r="G1362" i="1"/>
  <c r="F1362" i="1"/>
  <c r="E1362" i="1"/>
  <c r="D1362" i="1"/>
  <c r="C1362" i="1"/>
  <c r="I1361" i="1"/>
  <c r="H1361" i="1"/>
  <c r="G1361" i="1"/>
  <c r="F1361" i="1"/>
  <c r="E1361" i="1"/>
  <c r="D1361" i="1"/>
  <c r="C1361" i="1"/>
  <c r="I1360" i="1"/>
  <c r="H1360" i="1"/>
  <c r="G1360" i="1"/>
  <c r="F1360" i="1"/>
  <c r="E1360" i="1"/>
  <c r="D1360" i="1"/>
  <c r="C1360" i="1"/>
  <c r="I1359" i="1"/>
  <c r="H1359" i="1"/>
  <c r="G1359" i="1"/>
  <c r="F1359" i="1"/>
  <c r="E1359" i="1"/>
  <c r="D1359" i="1"/>
  <c r="C1359" i="1"/>
  <c r="I1358" i="1"/>
  <c r="H1358" i="1"/>
  <c r="G1358" i="1"/>
  <c r="F1358" i="1"/>
  <c r="E1358" i="1"/>
  <c r="D1358" i="1"/>
  <c r="C1358" i="1"/>
  <c r="I1357" i="1"/>
  <c r="H1357" i="1"/>
  <c r="G1357" i="1"/>
  <c r="F1357" i="1"/>
  <c r="E1357" i="1"/>
  <c r="D1357" i="1"/>
  <c r="C1357" i="1"/>
  <c r="I1356" i="1"/>
  <c r="H1356" i="1"/>
  <c r="G1356" i="1"/>
  <c r="F1356" i="1"/>
  <c r="E1356" i="1"/>
  <c r="D1356" i="1"/>
  <c r="C1356" i="1"/>
  <c r="I1355" i="1"/>
  <c r="H1355" i="1"/>
  <c r="G1355" i="1"/>
  <c r="F1355" i="1"/>
  <c r="E1355" i="1"/>
  <c r="D1355" i="1"/>
  <c r="C1355" i="1"/>
  <c r="I1354" i="1"/>
  <c r="H1354" i="1"/>
  <c r="G1354" i="1"/>
  <c r="F1354" i="1"/>
  <c r="E1354" i="1"/>
  <c r="D1354" i="1"/>
  <c r="C1354" i="1"/>
  <c r="I1353" i="1"/>
  <c r="H1353" i="1"/>
  <c r="G1353" i="1"/>
  <c r="F1353" i="1"/>
  <c r="E1353" i="1"/>
  <c r="D1353" i="1"/>
  <c r="C1353" i="1"/>
  <c r="I1352" i="1"/>
  <c r="H1352" i="1"/>
  <c r="G1352" i="1"/>
  <c r="F1352" i="1"/>
  <c r="E1352" i="1"/>
  <c r="D1352" i="1"/>
  <c r="C1352" i="1"/>
  <c r="I1351" i="1"/>
  <c r="H1351" i="1"/>
  <c r="G1351" i="1"/>
  <c r="F1351" i="1"/>
  <c r="E1351" i="1"/>
  <c r="D1351" i="1"/>
  <c r="C1351" i="1"/>
  <c r="I1350" i="1"/>
  <c r="H1350" i="1"/>
  <c r="G1350" i="1"/>
  <c r="F1350" i="1"/>
  <c r="E1350" i="1"/>
  <c r="D1350" i="1"/>
  <c r="C1350" i="1"/>
  <c r="I1349" i="1"/>
  <c r="H1349" i="1"/>
  <c r="G1349" i="1"/>
  <c r="F1349" i="1"/>
  <c r="E1349" i="1"/>
  <c r="D1349" i="1"/>
  <c r="C1349" i="1"/>
  <c r="I1348" i="1"/>
  <c r="H1348" i="1"/>
  <c r="G1348" i="1"/>
  <c r="F1348" i="1"/>
  <c r="E1348" i="1"/>
  <c r="D1348" i="1"/>
  <c r="C1348" i="1"/>
  <c r="I1347" i="1"/>
  <c r="H1347" i="1"/>
  <c r="G1347" i="1"/>
  <c r="F1347" i="1"/>
  <c r="E1347" i="1"/>
  <c r="D1347" i="1"/>
  <c r="C1347" i="1"/>
  <c r="I1346" i="1"/>
  <c r="H1346" i="1"/>
  <c r="G1346" i="1"/>
  <c r="F1346" i="1"/>
  <c r="E1346" i="1"/>
  <c r="D1346" i="1"/>
  <c r="C1346" i="1"/>
  <c r="I1345" i="1"/>
  <c r="H1345" i="1"/>
  <c r="G1345" i="1"/>
  <c r="F1345" i="1"/>
  <c r="E1345" i="1"/>
  <c r="D1345" i="1"/>
  <c r="C1345" i="1"/>
  <c r="I1344" i="1"/>
  <c r="H1344" i="1"/>
  <c r="G1344" i="1"/>
  <c r="F1344" i="1"/>
  <c r="E1344" i="1"/>
  <c r="D1344" i="1"/>
  <c r="C1344" i="1"/>
  <c r="I1343" i="1"/>
  <c r="H1343" i="1"/>
  <c r="G1343" i="1"/>
  <c r="F1343" i="1"/>
  <c r="E1343" i="1"/>
  <c r="D1343" i="1"/>
  <c r="C1343" i="1"/>
  <c r="I1342" i="1"/>
  <c r="H1342" i="1"/>
  <c r="G1342" i="1"/>
  <c r="F1342" i="1"/>
  <c r="E1342" i="1"/>
  <c r="D1342" i="1"/>
  <c r="C1342" i="1"/>
  <c r="I1341" i="1"/>
  <c r="H1341" i="1"/>
  <c r="G1341" i="1"/>
  <c r="F1341" i="1"/>
  <c r="E1341" i="1"/>
  <c r="D1341" i="1"/>
  <c r="C1341" i="1"/>
  <c r="I1340" i="1"/>
  <c r="H1340" i="1"/>
  <c r="G1340" i="1"/>
  <c r="F1340" i="1"/>
  <c r="E1340" i="1"/>
  <c r="D1340" i="1"/>
  <c r="C1340" i="1"/>
  <c r="I1339" i="1"/>
  <c r="H1339" i="1"/>
  <c r="G1339" i="1"/>
  <c r="F1339" i="1"/>
  <c r="E1339" i="1"/>
  <c r="D1339" i="1"/>
  <c r="C1339" i="1"/>
  <c r="I1338" i="1"/>
  <c r="H1338" i="1"/>
  <c r="G1338" i="1"/>
  <c r="F1338" i="1"/>
  <c r="E1338" i="1"/>
  <c r="D1338" i="1"/>
  <c r="C1338" i="1"/>
  <c r="I1337" i="1"/>
  <c r="H1337" i="1"/>
  <c r="G1337" i="1"/>
  <c r="F1337" i="1"/>
  <c r="E1337" i="1"/>
  <c r="D1337" i="1"/>
  <c r="C1337" i="1"/>
  <c r="I1336" i="1"/>
  <c r="H1336" i="1"/>
  <c r="G1336" i="1"/>
  <c r="F1336" i="1"/>
  <c r="E1336" i="1"/>
  <c r="D1336" i="1"/>
  <c r="C1336" i="1"/>
  <c r="I1335" i="1"/>
  <c r="H1335" i="1"/>
  <c r="G1335" i="1"/>
  <c r="F1335" i="1"/>
  <c r="E1335" i="1"/>
  <c r="D1335" i="1"/>
  <c r="C1335" i="1"/>
  <c r="I1334" i="1"/>
  <c r="H1334" i="1"/>
  <c r="G1334" i="1"/>
  <c r="F1334" i="1"/>
  <c r="E1334" i="1"/>
  <c r="D1334" i="1"/>
  <c r="C1334" i="1"/>
  <c r="I1333" i="1"/>
  <c r="H1333" i="1"/>
  <c r="G1333" i="1"/>
  <c r="F1333" i="1"/>
  <c r="E1333" i="1"/>
  <c r="D1333" i="1"/>
  <c r="C1333" i="1"/>
  <c r="I1332" i="1"/>
  <c r="H1332" i="1"/>
  <c r="G1332" i="1"/>
  <c r="F1332" i="1"/>
  <c r="E1332" i="1"/>
  <c r="D1332" i="1"/>
  <c r="C1332" i="1"/>
  <c r="I1331" i="1"/>
  <c r="H1331" i="1"/>
  <c r="G1331" i="1"/>
  <c r="F1331" i="1"/>
  <c r="E1331" i="1"/>
  <c r="D1331" i="1"/>
  <c r="C1331" i="1"/>
  <c r="I1330" i="1"/>
  <c r="H1330" i="1"/>
  <c r="G1330" i="1"/>
  <c r="F1330" i="1"/>
  <c r="E1330" i="1"/>
  <c r="D1330" i="1"/>
  <c r="C1330" i="1"/>
  <c r="I1329" i="1"/>
  <c r="H1329" i="1"/>
  <c r="G1329" i="1"/>
  <c r="F1329" i="1"/>
  <c r="E1329" i="1"/>
  <c r="D1329" i="1"/>
  <c r="C1329" i="1"/>
  <c r="I1328" i="1"/>
  <c r="H1328" i="1"/>
  <c r="G1328" i="1"/>
  <c r="F1328" i="1"/>
  <c r="E1328" i="1"/>
  <c r="D1328" i="1"/>
  <c r="C1328" i="1"/>
  <c r="I1327" i="1"/>
  <c r="H1327" i="1"/>
  <c r="G1327" i="1"/>
  <c r="F1327" i="1"/>
  <c r="E1327" i="1"/>
  <c r="D1327" i="1"/>
  <c r="C1327" i="1"/>
  <c r="I1326" i="1"/>
  <c r="H1326" i="1"/>
  <c r="G1326" i="1"/>
  <c r="F1326" i="1"/>
  <c r="E1326" i="1"/>
  <c r="D1326" i="1"/>
  <c r="C1326" i="1"/>
  <c r="I1325" i="1"/>
  <c r="H1325" i="1"/>
  <c r="G1325" i="1"/>
  <c r="F1325" i="1"/>
  <c r="E1325" i="1"/>
  <c r="D1325" i="1"/>
  <c r="C1325" i="1"/>
  <c r="I1324" i="1"/>
  <c r="H1324" i="1"/>
  <c r="G1324" i="1"/>
  <c r="F1324" i="1"/>
  <c r="E1324" i="1"/>
  <c r="D1324" i="1"/>
  <c r="C1324" i="1"/>
  <c r="I1323" i="1"/>
  <c r="H1323" i="1"/>
  <c r="G1323" i="1"/>
  <c r="F1323" i="1"/>
  <c r="E1323" i="1"/>
  <c r="D1323" i="1"/>
  <c r="C1323" i="1"/>
  <c r="I1322" i="1"/>
  <c r="H1322" i="1"/>
  <c r="G1322" i="1"/>
  <c r="F1322" i="1"/>
  <c r="E1322" i="1"/>
  <c r="D1322" i="1"/>
  <c r="C1322" i="1"/>
  <c r="I1321" i="1"/>
  <c r="H1321" i="1"/>
  <c r="G1321" i="1"/>
  <c r="F1321" i="1"/>
  <c r="E1321" i="1"/>
  <c r="D1321" i="1"/>
  <c r="C1321" i="1"/>
  <c r="I1320" i="1"/>
  <c r="H1320" i="1"/>
  <c r="G1320" i="1"/>
  <c r="F1320" i="1"/>
  <c r="E1320" i="1"/>
  <c r="D1320" i="1"/>
  <c r="C1320" i="1"/>
  <c r="I1319" i="1"/>
  <c r="H1319" i="1"/>
  <c r="G1319" i="1"/>
  <c r="F1319" i="1"/>
  <c r="E1319" i="1"/>
  <c r="D1319" i="1"/>
  <c r="C1319" i="1"/>
  <c r="I1318" i="1"/>
  <c r="H1318" i="1"/>
  <c r="G1318" i="1"/>
  <c r="F1318" i="1"/>
  <c r="E1318" i="1"/>
  <c r="D1318" i="1"/>
  <c r="C1318" i="1"/>
  <c r="I1317" i="1"/>
  <c r="H1317" i="1"/>
  <c r="G1317" i="1"/>
  <c r="F1317" i="1"/>
  <c r="E1317" i="1"/>
  <c r="D1317" i="1"/>
  <c r="C1317" i="1"/>
  <c r="I1316" i="1"/>
  <c r="H1316" i="1"/>
  <c r="G1316" i="1"/>
  <c r="F1316" i="1"/>
  <c r="E1316" i="1"/>
  <c r="D1316" i="1"/>
  <c r="C1316" i="1"/>
  <c r="I1315" i="1"/>
  <c r="H1315" i="1"/>
  <c r="G1315" i="1"/>
  <c r="F1315" i="1"/>
  <c r="E1315" i="1"/>
  <c r="D1315" i="1"/>
  <c r="C1315" i="1"/>
  <c r="I1314" i="1"/>
  <c r="H1314" i="1"/>
  <c r="G1314" i="1"/>
  <c r="F1314" i="1"/>
  <c r="E1314" i="1"/>
  <c r="D1314" i="1"/>
  <c r="C1314" i="1"/>
  <c r="I1313" i="1"/>
  <c r="H1313" i="1"/>
  <c r="G1313" i="1"/>
  <c r="F1313" i="1"/>
  <c r="E1313" i="1"/>
  <c r="D1313" i="1"/>
  <c r="C1313" i="1"/>
  <c r="I1312" i="1"/>
  <c r="H1312" i="1"/>
  <c r="G1312" i="1"/>
  <c r="F1312" i="1"/>
  <c r="E1312" i="1"/>
  <c r="D1312" i="1"/>
  <c r="C1312" i="1"/>
  <c r="I1311" i="1"/>
  <c r="H1311" i="1"/>
  <c r="G1311" i="1"/>
  <c r="F1311" i="1"/>
  <c r="E1311" i="1"/>
  <c r="D1311" i="1"/>
  <c r="C1311" i="1"/>
  <c r="I1310" i="1"/>
  <c r="H1310" i="1"/>
  <c r="G1310" i="1"/>
  <c r="F1310" i="1"/>
  <c r="E1310" i="1"/>
  <c r="D1310" i="1"/>
  <c r="C1310" i="1"/>
  <c r="I1309" i="1"/>
  <c r="H1309" i="1"/>
  <c r="G1309" i="1"/>
  <c r="F1309" i="1"/>
  <c r="E1309" i="1"/>
  <c r="D1309" i="1"/>
  <c r="C1309" i="1"/>
  <c r="I1308" i="1"/>
  <c r="H1308" i="1"/>
  <c r="G1308" i="1"/>
  <c r="F1308" i="1"/>
  <c r="E1308" i="1"/>
  <c r="D1308" i="1"/>
  <c r="C1308" i="1"/>
  <c r="I1307" i="1"/>
  <c r="H1307" i="1"/>
  <c r="G1307" i="1"/>
  <c r="F1307" i="1"/>
  <c r="E1307" i="1"/>
  <c r="D1307" i="1"/>
  <c r="C1307" i="1"/>
  <c r="I1306" i="1"/>
  <c r="H1306" i="1"/>
  <c r="G1306" i="1"/>
  <c r="F1306" i="1"/>
  <c r="E1306" i="1"/>
  <c r="D1306" i="1"/>
  <c r="C1306" i="1"/>
  <c r="I1305" i="1"/>
  <c r="H1305" i="1"/>
  <c r="G1305" i="1"/>
  <c r="F1305" i="1"/>
  <c r="E1305" i="1"/>
  <c r="D1305" i="1"/>
  <c r="C1305" i="1"/>
  <c r="I1304" i="1"/>
  <c r="H1304" i="1"/>
  <c r="G1304" i="1"/>
  <c r="F1304" i="1"/>
  <c r="E1304" i="1"/>
  <c r="D1304" i="1"/>
  <c r="C1304" i="1"/>
  <c r="I1303" i="1"/>
  <c r="H1303" i="1"/>
  <c r="G1303" i="1"/>
  <c r="F1303" i="1"/>
  <c r="E1303" i="1"/>
  <c r="D1303" i="1"/>
  <c r="C1303" i="1"/>
  <c r="I1302" i="1"/>
  <c r="H1302" i="1"/>
  <c r="G1302" i="1"/>
  <c r="F1302" i="1"/>
  <c r="E1302" i="1"/>
  <c r="D1302" i="1"/>
  <c r="C1302" i="1"/>
  <c r="I1301" i="1"/>
  <c r="H1301" i="1"/>
  <c r="G1301" i="1"/>
  <c r="F1301" i="1"/>
  <c r="E1301" i="1"/>
  <c r="D1301" i="1"/>
  <c r="C1301" i="1"/>
  <c r="I1300" i="1"/>
  <c r="H1300" i="1"/>
  <c r="G1300" i="1"/>
  <c r="F1300" i="1"/>
  <c r="E1300" i="1"/>
  <c r="D1300" i="1"/>
  <c r="C1300" i="1"/>
  <c r="I1299" i="1"/>
  <c r="H1299" i="1"/>
  <c r="G1299" i="1"/>
  <c r="F1299" i="1"/>
  <c r="E1299" i="1"/>
  <c r="D1299" i="1"/>
  <c r="C1299" i="1"/>
  <c r="I1298" i="1"/>
  <c r="H1298" i="1"/>
  <c r="G1298" i="1"/>
  <c r="F1298" i="1"/>
  <c r="E1298" i="1"/>
  <c r="D1298" i="1"/>
  <c r="C1298" i="1"/>
  <c r="I1297" i="1"/>
  <c r="H1297" i="1"/>
  <c r="G1297" i="1"/>
  <c r="F1297" i="1"/>
  <c r="E1297" i="1"/>
  <c r="D1297" i="1"/>
  <c r="C1297" i="1"/>
  <c r="I1296" i="1"/>
  <c r="H1296" i="1"/>
  <c r="G1296" i="1"/>
  <c r="F1296" i="1"/>
  <c r="E1296" i="1"/>
  <c r="D1296" i="1"/>
  <c r="C1296" i="1"/>
  <c r="I1295" i="1"/>
  <c r="H1295" i="1"/>
  <c r="G1295" i="1"/>
  <c r="F1295" i="1"/>
  <c r="E1295" i="1"/>
  <c r="D1295" i="1"/>
  <c r="C1295" i="1"/>
  <c r="I1294" i="1"/>
  <c r="H1294" i="1"/>
  <c r="G1294" i="1"/>
  <c r="F1294" i="1"/>
  <c r="E1294" i="1"/>
  <c r="D1294" i="1"/>
  <c r="C1294" i="1"/>
  <c r="I1293" i="1"/>
  <c r="H1293" i="1"/>
  <c r="G1293" i="1"/>
  <c r="F1293" i="1"/>
  <c r="E1293" i="1"/>
  <c r="D1293" i="1"/>
  <c r="C1293" i="1"/>
  <c r="I1292" i="1"/>
  <c r="H1292" i="1"/>
  <c r="G1292" i="1"/>
  <c r="F1292" i="1"/>
  <c r="E1292" i="1"/>
  <c r="D1292" i="1"/>
  <c r="C1292" i="1"/>
  <c r="I1291" i="1"/>
  <c r="H1291" i="1"/>
  <c r="G1291" i="1"/>
  <c r="F1291" i="1"/>
  <c r="E1291" i="1"/>
  <c r="D1291" i="1"/>
  <c r="C1291" i="1"/>
  <c r="I1290" i="1"/>
  <c r="H1290" i="1"/>
  <c r="G1290" i="1"/>
  <c r="F1290" i="1"/>
  <c r="E1290" i="1"/>
  <c r="D1290" i="1"/>
  <c r="C1290" i="1"/>
  <c r="I1289" i="1"/>
  <c r="H1289" i="1"/>
  <c r="G1289" i="1"/>
  <c r="F1289" i="1"/>
  <c r="E1289" i="1"/>
  <c r="D1289" i="1"/>
  <c r="C1289" i="1"/>
  <c r="I1288" i="1"/>
  <c r="H1288" i="1"/>
  <c r="G1288" i="1"/>
  <c r="F1288" i="1"/>
  <c r="E1288" i="1"/>
  <c r="D1288" i="1"/>
  <c r="C1288" i="1"/>
  <c r="I1287" i="1"/>
  <c r="H1287" i="1"/>
  <c r="G1287" i="1"/>
  <c r="F1287" i="1"/>
  <c r="E1287" i="1"/>
  <c r="D1287" i="1"/>
  <c r="C1287" i="1"/>
  <c r="I1286" i="1"/>
  <c r="H1286" i="1"/>
  <c r="G1286" i="1"/>
  <c r="F1286" i="1"/>
  <c r="E1286" i="1"/>
  <c r="D1286" i="1"/>
  <c r="C1286" i="1"/>
  <c r="I1285" i="1"/>
  <c r="H1285" i="1"/>
  <c r="G1285" i="1"/>
  <c r="F1285" i="1"/>
  <c r="E1285" i="1"/>
  <c r="D1285" i="1"/>
  <c r="C1285" i="1"/>
  <c r="I1284" i="1"/>
  <c r="H1284" i="1"/>
  <c r="G1284" i="1"/>
  <c r="F1284" i="1"/>
  <c r="E1284" i="1"/>
  <c r="D1284" i="1"/>
  <c r="C1284" i="1"/>
  <c r="I1283" i="1"/>
  <c r="H1283" i="1"/>
  <c r="G1283" i="1"/>
  <c r="F1283" i="1"/>
  <c r="E1283" i="1"/>
  <c r="D1283" i="1"/>
  <c r="C1283" i="1"/>
  <c r="I1282" i="1"/>
  <c r="H1282" i="1"/>
  <c r="G1282" i="1"/>
  <c r="F1282" i="1"/>
  <c r="E1282" i="1"/>
  <c r="D1282" i="1"/>
  <c r="C1282" i="1"/>
  <c r="I1281" i="1"/>
  <c r="H1281" i="1"/>
  <c r="G1281" i="1"/>
  <c r="F1281" i="1"/>
  <c r="E1281" i="1"/>
  <c r="D1281" i="1"/>
  <c r="C1281" i="1"/>
  <c r="I1280" i="1"/>
  <c r="H1280" i="1"/>
  <c r="G1280" i="1"/>
  <c r="F1280" i="1"/>
  <c r="E1280" i="1"/>
  <c r="D1280" i="1"/>
  <c r="C1280" i="1"/>
  <c r="I1279" i="1"/>
  <c r="H1279" i="1"/>
  <c r="G1279" i="1"/>
  <c r="F1279" i="1"/>
  <c r="E1279" i="1"/>
  <c r="D1279" i="1"/>
  <c r="C1279" i="1"/>
  <c r="I1278" i="1"/>
  <c r="H1278" i="1"/>
  <c r="G1278" i="1"/>
  <c r="F1278" i="1"/>
  <c r="E1278" i="1"/>
  <c r="D1278" i="1"/>
  <c r="C1278" i="1"/>
  <c r="I1277" i="1"/>
  <c r="H1277" i="1"/>
  <c r="G1277" i="1"/>
  <c r="F1277" i="1"/>
  <c r="E1277" i="1"/>
  <c r="D1277" i="1"/>
  <c r="C1277" i="1"/>
  <c r="I1276" i="1"/>
  <c r="H1276" i="1"/>
  <c r="G1276" i="1"/>
  <c r="F1276" i="1"/>
  <c r="E1276" i="1"/>
  <c r="D1276" i="1"/>
  <c r="C1276" i="1"/>
  <c r="I1275" i="1"/>
  <c r="H1275" i="1"/>
  <c r="G1275" i="1"/>
  <c r="F1275" i="1"/>
  <c r="E1275" i="1"/>
  <c r="D1275" i="1"/>
  <c r="C1275" i="1"/>
  <c r="I1274" i="1"/>
  <c r="H1274" i="1"/>
  <c r="G1274" i="1"/>
  <c r="F1274" i="1"/>
  <c r="E1274" i="1"/>
  <c r="D1274" i="1"/>
  <c r="C1274" i="1"/>
  <c r="I1273" i="1"/>
  <c r="H1273" i="1"/>
  <c r="G1273" i="1"/>
  <c r="F1273" i="1"/>
  <c r="E1273" i="1"/>
  <c r="D1273" i="1"/>
  <c r="C1273" i="1"/>
  <c r="I1272" i="1"/>
  <c r="H1272" i="1"/>
  <c r="G1272" i="1"/>
  <c r="F1272" i="1"/>
  <c r="E1272" i="1"/>
  <c r="D1272" i="1"/>
  <c r="C1272" i="1"/>
  <c r="I1271" i="1"/>
  <c r="H1271" i="1"/>
  <c r="G1271" i="1"/>
  <c r="F1271" i="1"/>
  <c r="E1271" i="1"/>
  <c r="D1271" i="1"/>
  <c r="C1271" i="1"/>
  <c r="I1270" i="1"/>
  <c r="H1270" i="1"/>
  <c r="G1270" i="1"/>
  <c r="F1270" i="1"/>
  <c r="E1270" i="1"/>
  <c r="D1270" i="1"/>
  <c r="C1270" i="1"/>
  <c r="I1269" i="1"/>
  <c r="H1269" i="1"/>
  <c r="G1269" i="1"/>
  <c r="F1269" i="1"/>
  <c r="E1269" i="1"/>
  <c r="D1269" i="1"/>
  <c r="C1269" i="1"/>
  <c r="I1268" i="1"/>
  <c r="H1268" i="1"/>
  <c r="G1268" i="1"/>
  <c r="F1268" i="1"/>
  <c r="E1268" i="1"/>
  <c r="D1268" i="1"/>
  <c r="C1268" i="1"/>
  <c r="I1267" i="1"/>
  <c r="H1267" i="1"/>
  <c r="G1267" i="1"/>
  <c r="F1267" i="1"/>
  <c r="E1267" i="1"/>
  <c r="D1267" i="1"/>
  <c r="C1267" i="1"/>
  <c r="I1266" i="1"/>
  <c r="H1266" i="1"/>
  <c r="G1266" i="1"/>
  <c r="F1266" i="1"/>
  <c r="E1266" i="1"/>
  <c r="D1266" i="1"/>
  <c r="C1266" i="1"/>
  <c r="I1265" i="1"/>
  <c r="H1265" i="1"/>
  <c r="G1265" i="1"/>
  <c r="F1265" i="1"/>
  <c r="E1265" i="1"/>
  <c r="D1265" i="1"/>
  <c r="C1265" i="1"/>
  <c r="I1264" i="1"/>
  <c r="H1264" i="1"/>
  <c r="G1264" i="1"/>
  <c r="F1264" i="1"/>
  <c r="E1264" i="1"/>
  <c r="D1264" i="1"/>
  <c r="C1264" i="1"/>
  <c r="I1263" i="1"/>
  <c r="H1263" i="1"/>
  <c r="G1263" i="1"/>
  <c r="F1263" i="1"/>
  <c r="E1263" i="1"/>
  <c r="D1263" i="1"/>
  <c r="C1263" i="1"/>
  <c r="I1262" i="1"/>
  <c r="H1262" i="1"/>
  <c r="G1262" i="1"/>
  <c r="F1262" i="1"/>
  <c r="E1262" i="1"/>
  <c r="D1262" i="1"/>
  <c r="C1262" i="1"/>
  <c r="I1261" i="1"/>
  <c r="H1261" i="1"/>
  <c r="G1261" i="1"/>
  <c r="F1261" i="1"/>
  <c r="E1261" i="1"/>
  <c r="D1261" i="1"/>
  <c r="C1261" i="1"/>
  <c r="I1260" i="1"/>
  <c r="H1260" i="1"/>
  <c r="G1260" i="1"/>
  <c r="F1260" i="1"/>
  <c r="E1260" i="1"/>
  <c r="D1260" i="1"/>
  <c r="C1260" i="1"/>
  <c r="I1259" i="1"/>
  <c r="H1259" i="1"/>
  <c r="G1259" i="1"/>
  <c r="F1259" i="1"/>
  <c r="E1259" i="1"/>
  <c r="D1259" i="1"/>
  <c r="C1259" i="1"/>
  <c r="I1258" i="1"/>
  <c r="H1258" i="1"/>
  <c r="G1258" i="1"/>
  <c r="F1258" i="1"/>
  <c r="E1258" i="1"/>
  <c r="D1258" i="1"/>
  <c r="C1258" i="1"/>
  <c r="I1257" i="1"/>
  <c r="H1257" i="1"/>
  <c r="G1257" i="1"/>
  <c r="F1257" i="1"/>
  <c r="E1257" i="1"/>
  <c r="D1257" i="1"/>
  <c r="C1257" i="1"/>
  <c r="I1256" i="1"/>
  <c r="H1256" i="1"/>
  <c r="G1256" i="1"/>
  <c r="F1256" i="1"/>
  <c r="E1256" i="1"/>
  <c r="D1256" i="1"/>
  <c r="C1256" i="1"/>
  <c r="I1255" i="1"/>
  <c r="H1255" i="1"/>
  <c r="G1255" i="1"/>
  <c r="F1255" i="1"/>
  <c r="E1255" i="1"/>
  <c r="D1255" i="1"/>
  <c r="C1255" i="1"/>
  <c r="I1254" i="1"/>
  <c r="H1254" i="1"/>
  <c r="G1254" i="1"/>
  <c r="F1254" i="1"/>
  <c r="E1254" i="1"/>
  <c r="D1254" i="1"/>
  <c r="C1254" i="1"/>
  <c r="I1253" i="1"/>
  <c r="H1253" i="1"/>
  <c r="G1253" i="1"/>
  <c r="F1253" i="1"/>
  <c r="E1253" i="1"/>
  <c r="D1253" i="1"/>
  <c r="C1253" i="1"/>
  <c r="I1252" i="1"/>
  <c r="H1252" i="1"/>
  <c r="G1252" i="1"/>
  <c r="F1252" i="1"/>
  <c r="E1252" i="1"/>
  <c r="D1252" i="1"/>
  <c r="C1252" i="1"/>
  <c r="I1251" i="1"/>
  <c r="H1251" i="1"/>
  <c r="G1251" i="1"/>
  <c r="F1251" i="1"/>
  <c r="E1251" i="1"/>
  <c r="D1251" i="1"/>
  <c r="C1251" i="1"/>
  <c r="I1250" i="1"/>
  <c r="H1250" i="1"/>
  <c r="G1250" i="1"/>
  <c r="F1250" i="1"/>
  <c r="E1250" i="1"/>
  <c r="D1250" i="1"/>
  <c r="C1250" i="1"/>
  <c r="I1249" i="1"/>
  <c r="H1249" i="1"/>
  <c r="G1249" i="1"/>
  <c r="F1249" i="1"/>
  <c r="E1249" i="1"/>
  <c r="D1249" i="1"/>
  <c r="C1249" i="1"/>
  <c r="I1248" i="1"/>
  <c r="H1248" i="1"/>
  <c r="G1248" i="1"/>
  <c r="F1248" i="1"/>
  <c r="E1248" i="1"/>
  <c r="D1248" i="1"/>
  <c r="C1248" i="1"/>
  <c r="I1247" i="1"/>
  <c r="H1247" i="1"/>
  <c r="G1247" i="1"/>
  <c r="F1247" i="1"/>
  <c r="E1247" i="1"/>
  <c r="D1247" i="1"/>
  <c r="C1247" i="1"/>
  <c r="I1246" i="1"/>
  <c r="H1246" i="1"/>
  <c r="G1246" i="1"/>
  <c r="F1246" i="1"/>
  <c r="E1246" i="1"/>
  <c r="D1246" i="1"/>
  <c r="C1246" i="1"/>
  <c r="I1245" i="1"/>
  <c r="H1245" i="1"/>
  <c r="G1245" i="1"/>
  <c r="F1245" i="1"/>
  <c r="E1245" i="1"/>
  <c r="D1245" i="1"/>
  <c r="C1245" i="1"/>
  <c r="I1244" i="1"/>
  <c r="H1244" i="1"/>
  <c r="G1244" i="1"/>
  <c r="F1244" i="1"/>
  <c r="E1244" i="1"/>
  <c r="D1244" i="1"/>
  <c r="C1244" i="1"/>
  <c r="I1243" i="1"/>
  <c r="H1243" i="1"/>
  <c r="G1243" i="1"/>
  <c r="F1243" i="1"/>
  <c r="E1243" i="1"/>
  <c r="D1243" i="1"/>
  <c r="C1243" i="1"/>
  <c r="I1242" i="1"/>
  <c r="H1242" i="1"/>
  <c r="G1242" i="1"/>
  <c r="F1242" i="1"/>
  <c r="E1242" i="1"/>
  <c r="D1242" i="1"/>
  <c r="C1242" i="1"/>
  <c r="I1241" i="1"/>
  <c r="H1241" i="1"/>
  <c r="G1241" i="1"/>
  <c r="F1241" i="1"/>
  <c r="E1241" i="1"/>
  <c r="D1241" i="1"/>
  <c r="C1241" i="1"/>
  <c r="I1240" i="1"/>
  <c r="H1240" i="1"/>
  <c r="G1240" i="1"/>
  <c r="F1240" i="1"/>
  <c r="E1240" i="1"/>
  <c r="D1240" i="1"/>
  <c r="C1240" i="1"/>
  <c r="I1239" i="1"/>
  <c r="H1239" i="1"/>
  <c r="G1239" i="1"/>
  <c r="F1239" i="1"/>
  <c r="E1239" i="1"/>
  <c r="D1239" i="1"/>
  <c r="C1239" i="1"/>
  <c r="I1238" i="1"/>
  <c r="H1238" i="1"/>
  <c r="G1238" i="1"/>
  <c r="F1238" i="1"/>
  <c r="E1238" i="1"/>
  <c r="D1238" i="1"/>
  <c r="C1238" i="1"/>
  <c r="I1237" i="1"/>
  <c r="H1237" i="1"/>
  <c r="G1237" i="1"/>
  <c r="F1237" i="1"/>
  <c r="E1237" i="1"/>
  <c r="D1237" i="1"/>
  <c r="C1237" i="1"/>
  <c r="I1236" i="1"/>
  <c r="H1236" i="1"/>
  <c r="G1236" i="1"/>
  <c r="F1236" i="1"/>
  <c r="E1236" i="1"/>
  <c r="D1236" i="1"/>
  <c r="C1236" i="1"/>
  <c r="I1235" i="1"/>
  <c r="H1235" i="1"/>
  <c r="G1235" i="1"/>
  <c r="F1235" i="1"/>
  <c r="E1235" i="1"/>
  <c r="D1235" i="1"/>
  <c r="C1235" i="1"/>
  <c r="I1234" i="1"/>
  <c r="H1234" i="1"/>
  <c r="G1234" i="1"/>
  <c r="F1234" i="1"/>
  <c r="E1234" i="1"/>
  <c r="D1234" i="1"/>
  <c r="C1234" i="1"/>
  <c r="I1233" i="1"/>
  <c r="H1233" i="1"/>
  <c r="G1233" i="1"/>
  <c r="F1233" i="1"/>
  <c r="E1233" i="1"/>
  <c r="D1233" i="1"/>
  <c r="C1233" i="1"/>
  <c r="I1232" i="1"/>
  <c r="H1232" i="1"/>
  <c r="G1232" i="1"/>
  <c r="F1232" i="1"/>
  <c r="E1232" i="1"/>
  <c r="D1232" i="1"/>
  <c r="C1232" i="1"/>
  <c r="I1231" i="1"/>
  <c r="H1231" i="1"/>
  <c r="G1231" i="1"/>
  <c r="F1231" i="1"/>
  <c r="E1231" i="1"/>
  <c r="D1231" i="1"/>
  <c r="C1231" i="1"/>
  <c r="I1230" i="1"/>
  <c r="H1230" i="1"/>
  <c r="G1230" i="1"/>
  <c r="F1230" i="1"/>
  <c r="E1230" i="1"/>
  <c r="D1230" i="1"/>
  <c r="C1230" i="1"/>
  <c r="I1229" i="1"/>
  <c r="H1229" i="1"/>
  <c r="G1229" i="1"/>
  <c r="F1229" i="1"/>
  <c r="E1229" i="1"/>
  <c r="D1229" i="1"/>
  <c r="C1229" i="1"/>
  <c r="I1228" i="1"/>
  <c r="H1228" i="1"/>
  <c r="G1228" i="1"/>
  <c r="F1228" i="1"/>
  <c r="E1228" i="1"/>
  <c r="D1228" i="1"/>
  <c r="C1228" i="1"/>
  <c r="I1227" i="1"/>
  <c r="H1227" i="1"/>
  <c r="G1227" i="1"/>
  <c r="F1227" i="1"/>
  <c r="E1227" i="1"/>
  <c r="D1227" i="1"/>
  <c r="C1227" i="1"/>
  <c r="I1226" i="1"/>
  <c r="H1226" i="1"/>
  <c r="G1226" i="1"/>
  <c r="F1226" i="1"/>
  <c r="E1226" i="1"/>
  <c r="D1226" i="1"/>
  <c r="C1226" i="1"/>
  <c r="I1225" i="1"/>
  <c r="H1225" i="1"/>
  <c r="G1225" i="1"/>
  <c r="F1225" i="1"/>
  <c r="E1225" i="1"/>
  <c r="D1225" i="1"/>
  <c r="C1225" i="1"/>
  <c r="I1224" i="1"/>
  <c r="H1224" i="1"/>
  <c r="G1224" i="1"/>
  <c r="F1224" i="1"/>
  <c r="E1224" i="1"/>
  <c r="D1224" i="1"/>
  <c r="C1224" i="1"/>
  <c r="I1223" i="1"/>
  <c r="H1223" i="1"/>
  <c r="G1223" i="1"/>
  <c r="F1223" i="1"/>
  <c r="E1223" i="1"/>
  <c r="D1223" i="1"/>
  <c r="C1223" i="1"/>
  <c r="I1222" i="1"/>
  <c r="H1222" i="1"/>
  <c r="G1222" i="1"/>
  <c r="F1222" i="1"/>
  <c r="E1222" i="1"/>
  <c r="D1222" i="1"/>
  <c r="C1222" i="1"/>
  <c r="I1221" i="1"/>
  <c r="H1221" i="1"/>
  <c r="G1221" i="1"/>
  <c r="F1221" i="1"/>
  <c r="E1221" i="1"/>
  <c r="D1221" i="1"/>
  <c r="C1221" i="1"/>
  <c r="I1220" i="1"/>
  <c r="H1220" i="1"/>
  <c r="G1220" i="1"/>
  <c r="F1220" i="1"/>
  <c r="E1220" i="1"/>
  <c r="D1220" i="1"/>
  <c r="C1220" i="1"/>
  <c r="I1219" i="1"/>
  <c r="H1219" i="1"/>
  <c r="G1219" i="1"/>
  <c r="F1219" i="1"/>
  <c r="E1219" i="1"/>
  <c r="D1219" i="1"/>
  <c r="C1219" i="1"/>
  <c r="I1218" i="1"/>
  <c r="H1218" i="1"/>
  <c r="G1218" i="1"/>
  <c r="F1218" i="1"/>
  <c r="E1218" i="1"/>
  <c r="D1218" i="1"/>
  <c r="C1218" i="1"/>
  <c r="I1217" i="1"/>
  <c r="H1217" i="1"/>
  <c r="G1217" i="1"/>
  <c r="F1217" i="1"/>
  <c r="E1217" i="1"/>
  <c r="D1217" i="1"/>
  <c r="C1217" i="1"/>
  <c r="I1216" i="1"/>
  <c r="H1216" i="1"/>
  <c r="G1216" i="1"/>
  <c r="F1216" i="1"/>
  <c r="E1216" i="1"/>
  <c r="D1216" i="1"/>
  <c r="C1216" i="1"/>
  <c r="I1215" i="1"/>
  <c r="H1215" i="1"/>
  <c r="G1215" i="1"/>
  <c r="F1215" i="1"/>
  <c r="E1215" i="1"/>
  <c r="D1215" i="1"/>
  <c r="C1215" i="1"/>
  <c r="I1214" i="1"/>
  <c r="H1214" i="1"/>
  <c r="G1214" i="1"/>
  <c r="F1214" i="1"/>
  <c r="E1214" i="1"/>
  <c r="D1214" i="1"/>
  <c r="C1214" i="1"/>
  <c r="I1213" i="1"/>
  <c r="H1213" i="1"/>
  <c r="G1213" i="1"/>
  <c r="F1213" i="1"/>
  <c r="E1213" i="1"/>
  <c r="D1213" i="1"/>
  <c r="C1213" i="1"/>
  <c r="I1212" i="1"/>
  <c r="H1212" i="1"/>
  <c r="G1212" i="1"/>
  <c r="F1212" i="1"/>
  <c r="E1212" i="1"/>
  <c r="D1212" i="1"/>
  <c r="C1212" i="1"/>
  <c r="I1211" i="1"/>
  <c r="H1211" i="1"/>
  <c r="G1211" i="1"/>
  <c r="F1211" i="1"/>
  <c r="E1211" i="1"/>
  <c r="D1211" i="1"/>
  <c r="C1211" i="1"/>
  <c r="I1210" i="1"/>
  <c r="H1210" i="1"/>
  <c r="G1210" i="1"/>
  <c r="F1210" i="1"/>
  <c r="E1210" i="1"/>
  <c r="D1210" i="1"/>
  <c r="C1210" i="1"/>
  <c r="I1209" i="1"/>
  <c r="H1209" i="1"/>
  <c r="G1209" i="1"/>
  <c r="F1209" i="1"/>
  <c r="E1209" i="1"/>
  <c r="D1209" i="1"/>
  <c r="C1209" i="1"/>
  <c r="I1208" i="1"/>
  <c r="H1208" i="1"/>
  <c r="G1208" i="1"/>
  <c r="F1208" i="1"/>
  <c r="E1208" i="1"/>
  <c r="D1208" i="1"/>
  <c r="C1208" i="1"/>
  <c r="I1207" i="1"/>
  <c r="H1207" i="1"/>
  <c r="G1207" i="1"/>
  <c r="F1207" i="1"/>
  <c r="E1207" i="1"/>
  <c r="D1207" i="1"/>
  <c r="C1207" i="1"/>
  <c r="I1206" i="1"/>
  <c r="H1206" i="1"/>
  <c r="G1206" i="1"/>
  <c r="F1206" i="1"/>
  <c r="E1206" i="1"/>
  <c r="D1206" i="1"/>
  <c r="C1206" i="1"/>
  <c r="I1205" i="1"/>
  <c r="H1205" i="1"/>
  <c r="G1205" i="1"/>
  <c r="F1205" i="1"/>
  <c r="E1205" i="1"/>
  <c r="D1205" i="1"/>
  <c r="C1205" i="1"/>
  <c r="I1204" i="1"/>
  <c r="H1204" i="1"/>
  <c r="G1204" i="1"/>
  <c r="F1204" i="1"/>
  <c r="E1204" i="1"/>
  <c r="D1204" i="1"/>
  <c r="C1204" i="1"/>
  <c r="I1203" i="1"/>
  <c r="H1203" i="1"/>
  <c r="G1203" i="1"/>
  <c r="F1203" i="1"/>
  <c r="E1203" i="1"/>
  <c r="D1203" i="1"/>
  <c r="C1203" i="1"/>
  <c r="I1202" i="1"/>
  <c r="H1202" i="1"/>
  <c r="G1202" i="1"/>
  <c r="F1202" i="1"/>
  <c r="E1202" i="1"/>
  <c r="D1202" i="1"/>
  <c r="C1202" i="1"/>
  <c r="I1201" i="1"/>
  <c r="H1201" i="1"/>
  <c r="G1201" i="1"/>
  <c r="F1201" i="1"/>
  <c r="E1201" i="1"/>
  <c r="D1201" i="1"/>
  <c r="C1201" i="1"/>
  <c r="I1200" i="1"/>
  <c r="H1200" i="1"/>
  <c r="G1200" i="1"/>
  <c r="F1200" i="1"/>
  <c r="E1200" i="1"/>
  <c r="D1200" i="1"/>
  <c r="C1200" i="1"/>
  <c r="I1199" i="1"/>
  <c r="H1199" i="1"/>
  <c r="G1199" i="1"/>
  <c r="F1199" i="1"/>
  <c r="E1199" i="1"/>
  <c r="D1199" i="1"/>
  <c r="C1199" i="1"/>
  <c r="I1198" i="1"/>
  <c r="H1198" i="1"/>
  <c r="G1198" i="1"/>
  <c r="F1198" i="1"/>
  <c r="E1198" i="1"/>
  <c r="D1198" i="1"/>
  <c r="C1198" i="1"/>
  <c r="I1197" i="1"/>
  <c r="H1197" i="1"/>
  <c r="G1197" i="1"/>
  <c r="F1197" i="1"/>
  <c r="E1197" i="1"/>
  <c r="D1197" i="1"/>
  <c r="C1197" i="1"/>
  <c r="I1196" i="1"/>
  <c r="H1196" i="1"/>
  <c r="G1196" i="1"/>
  <c r="F1196" i="1"/>
  <c r="E1196" i="1"/>
  <c r="D1196" i="1"/>
  <c r="C1196" i="1"/>
  <c r="I1195" i="1"/>
  <c r="H1195" i="1"/>
  <c r="G1195" i="1"/>
  <c r="F1195" i="1"/>
  <c r="E1195" i="1"/>
  <c r="D1195" i="1"/>
  <c r="C1195" i="1"/>
  <c r="I1194" i="1"/>
  <c r="H1194" i="1"/>
  <c r="G1194" i="1"/>
  <c r="F1194" i="1"/>
  <c r="E1194" i="1"/>
  <c r="D1194" i="1"/>
  <c r="C1194" i="1"/>
  <c r="I1193" i="1"/>
  <c r="H1193" i="1"/>
  <c r="G1193" i="1"/>
  <c r="F1193" i="1"/>
  <c r="E1193" i="1"/>
  <c r="D1193" i="1"/>
  <c r="C1193" i="1"/>
  <c r="I1192" i="1"/>
  <c r="H1192" i="1"/>
  <c r="G1192" i="1"/>
  <c r="F1192" i="1"/>
  <c r="E1192" i="1"/>
  <c r="D1192" i="1"/>
  <c r="C1192" i="1"/>
  <c r="I1191" i="1"/>
  <c r="H1191" i="1"/>
  <c r="G1191" i="1"/>
  <c r="F1191" i="1"/>
  <c r="E1191" i="1"/>
  <c r="D1191" i="1"/>
  <c r="C1191" i="1"/>
  <c r="I1190" i="1"/>
  <c r="H1190" i="1"/>
  <c r="G1190" i="1"/>
  <c r="F1190" i="1"/>
  <c r="E1190" i="1"/>
  <c r="D1190" i="1"/>
  <c r="C1190" i="1"/>
  <c r="I1189" i="1"/>
  <c r="H1189" i="1"/>
  <c r="G1189" i="1"/>
  <c r="F1189" i="1"/>
  <c r="E1189" i="1"/>
  <c r="D1189" i="1"/>
  <c r="C1189" i="1"/>
  <c r="I1188" i="1"/>
  <c r="H1188" i="1"/>
  <c r="G1188" i="1"/>
  <c r="F1188" i="1"/>
  <c r="E1188" i="1"/>
  <c r="D1188" i="1"/>
  <c r="C1188" i="1"/>
  <c r="I1187" i="1"/>
  <c r="H1187" i="1"/>
  <c r="G1187" i="1"/>
  <c r="F1187" i="1"/>
  <c r="E1187" i="1"/>
  <c r="D1187" i="1"/>
  <c r="C1187" i="1"/>
  <c r="I1186" i="1"/>
  <c r="H1186" i="1"/>
  <c r="G1186" i="1"/>
  <c r="F1186" i="1"/>
  <c r="E1186" i="1"/>
  <c r="D1186" i="1"/>
  <c r="C1186" i="1"/>
  <c r="I1185" i="1"/>
  <c r="H1185" i="1"/>
  <c r="G1185" i="1"/>
  <c r="F1185" i="1"/>
  <c r="E1185" i="1"/>
  <c r="D1185" i="1"/>
  <c r="C1185" i="1"/>
  <c r="I1184" i="1"/>
  <c r="H1184" i="1"/>
  <c r="G1184" i="1"/>
  <c r="F1184" i="1"/>
  <c r="E1184" i="1"/>
  <c r="D1184" i="1"/>
  <c r="C1184" i="1"/>
  <c r="I1183" i="1"/>
  <c r="H1183" i="1"/>
  <c r="G1183" i="1"/>
  <c r="F1183" i="1"/>
  <c r="E1183" i="1"/>
  <c r="D1183" i="1"/>
  <c r="C1183" i="1"/>
  <c r="I1182" i="1"/>
  <c r="H1182" i="1"/>
  <c r="G1182" i="1"/>
  <c r="F1182" i="1"/>
  <c r="E1182" i="1"/>
  <c r="D1182" i="1"/>
  <c r="C1182" i="1"/>
  <c r="I1181" i="1"/>
  <c r="H1181" i="1"/>
  <c r="G1181" i="1"/>
  <c r="F1181" i="1"/>
  <c r="E1181" i="1"/>
  <c r="D1181" i="1"/>
  <c r="C1181" i="1"/>
  <c r="I1180" i="1"/>
  <c r="H1180" i="1"/>
  <c r="G1180" i="1"/>
  <c r="F1180" i="1"/>
  <c r="E1180" i="1"/>
  <c r="D1180" i="1"/>
  <c r="C1180" i="1"/>
  <c r="I1179" i="1"/>
  <c r="H1179" i="1"/>
  <c r="G1179" i="1"/>
  <c r="F1179" i="1"/>
  <c r="E1179" i="1"/>
  <c r="D1179" i="1"/>
  <c r="C1179" i="1"/>
  <c r="I1178" i="1"/>
  <c r="H1178" i="1"/>
  <c r="G1178" i="1"/>
  <c r="F1178" i="1"/>
  <c r="E1178" i="1"/>
  <c r="D1178" i="1"/>
  <c r="C1178" i="1"/>
  <c r="I1177" i="1"/>
  <c r="H1177" i="1"/>
  <c r="G1177" i="1"/>
  <c r="F1177" i="1"/>
  <c r="E1177" i="1"/>
  <c r="D1177" i="1"/>
  <c r="C1177" i="1"/>
  <c r="I1176" i="1"/>
  <c r="H1176" i="1"/>
  <c r="G1176" i="1"/>
  <c r="F1176" i="1"/>
  <c r="E1176" i="1"/>
  <c r="D1176" i="1"/>
  <c r="C1176" i="1"/>
  <c r="I1175" i="1"/>
  <c r="H1175" i="1"/>
  <c r="G1175" i="1"/>
  <c r="F1175" i="1"/>
  <c r="E1175" i="1"/>
  <c r="D1175" i="1"/>
  <c r="C1175" i="1"/>
  <c r="I1174" i="1"/>
  <c r="H1174" i="1"/>
  <c r="G1174" i="1"/>
  <c r="F1174" i="1"/>
  <c r="E1174" i="1"/>
  <c r="D1174" i="1"/>
  <c r="C1174" i="1"/>
  <c r="I1173" i="1"/>
  <c r="H1173" i="1"/>
  <c r="G1173" i="1"/>
  <c r="F1173" i="1"/>
  <c r="E1173" i="1"/>
  <c r="D1173" i="1"/>
  <c r="C1173" i="1"/>
  <c r="I1172" i="1"/>
  <c r="H1172" i="1"/>
  <c r="G1172" i="1"/>
  <c r="F1172" i="1"/>
  <c r="E1172" i="1"/>
  <c r="D1172" i="1"/>
  <c r="C1172" i="1"/>
  <c r="I1171" i="1"/>
  <c r="H1171" i="1"/>
  <c r="G1171" i="1"/>
  <c r="F1171" i="1"/>
  <c r="E1171" i="1"/>
  <c r="D1171" i="1"/>
  <c r="C1171" i="1"/>
  <c r="I1170" i="1"/>
  <c r="H1170" i="1"/>
  <c r="G1170" i="1"/>
  <c r="F1170" i="1"/>
  <c r="E1170" i="1"/>
  <c r="D1170" i="1"/>
  <c r="C1170" i="1"/>
  <c r="I1169" i="1"/>
  <c r="H1169" i="1"/>
  <c r="G1169" i="1"/>
  <c r="F1169" i="1"/>
  <c r="E1169" i="1"/>
  <c r="D1169" i="1"/>
  <c r="C1169" i="1"/>
  <c r="I1168" i="1"/>
  <c r="H1168" i="1"/>
  <c r="G1168" i="1"/>
  <c r="F1168" i="1"/>
  <c r="E1168" i="1"/>
  <c r="D1168" i="1"/>
  <c r="C1168" i="1"/>
  <c r="I1167" i="1"/>
  <c r="H1167" i="1"/>
  <c r="G1167" i="1"/>
  <c r="F1167" i="1"/>
  <c r="E1167" i="1"/>
  <c r="D1167" i="1"/>
  <c r="C1167" i="1"/>
  <c r="I1166" i="1"/>
  <c r="H1166" i="1"/>
  <c r="G1166" i="1"/>
  <c r="F1166" i="1"/>
  <c r="E1166" i="1"/>
  <c r="D1166" i="1"/>
  <c r="C1166" i="1"/>
  <c r="I1165" i="1"/>
  <c r="H1165" i="1"/>
  <c r="G1165" i="1"/>
  <c r="F1165" i="1"/>
  <c r="E1165" i="1"/>
  <c r="D1165" i="1"/>
  <c r="C1165" i="1"/>
  <c r="I1164" i="1"/>
  <c r="H1164" i="1"/>
  <c r="G1164" i="1"/>
  <c r="F1164" i="1"/>
  <c r="E1164" i="1"/>
  <c r="D1164" i="1"/>
  <c r="C1164" i="1"/>
  <c r="I1163" i="1"/>
  <c r="H1163" i="1"/>
  <c r="G1163" i="1"/>
  <c r="F1163" i="1"/>
  <c r="E1163" i="1"/>
  <c r="D1163" i="1"/>
  <c r="C1163" i="1"/>
  <c r="I1162" i="1"/>
  <c r="H1162" i="1"/>
  <c r="G1162" i="1"/>
  <c r="F1162" i="1"/>
  <c r="E1162" i="1"/>
  <c r="D1162" i="1"/>
  <c r="C1162" i="1"/>
  <c r="I1161" i="1"/>
  <c r="H1161" i="1"/>
  <c r="G1161" i="1"/>
  <c r="F1161" i="1"/>
  <c r="E1161" i="1"/>
  <c r="D1161" i="1"/>
  <c r="C1161" i="1"/>
  <c r="I1160" i="1"/>
  <c r="H1160" i="1"/>
  <c r="G1160" i="1"/>
  <c r="F1160" i="1"/>
  <c r="E1160" i="1"/>
  <c r="D1160" i="1"/>
  <c r="C1160" i="1"/>
  <c r="I1159" i="1"/>
  <c r="H1159" i="1"/>
  <c r="G1159" i="1"/>
  <c r="F1159" i="1"/>
  <c r="E1159" i="1"/>
  <c r="D1159" i="1"/>
  <c r="C1159" i="1"/>
  <c r="I1158" i="1"/>
  <c r="H1158" i="1"/>
  <c r="G1158" i="1"/>
  <c r="F1158" i="1"/>
  <c r="E1158" i="1"/>
  <c r="D1158" i="1"/>
  <c r="C1158" i="1"/>
  <c r="I1157" i="1"/>
  <c r="H1157" i="1"/>
  <c r="G1157" i="1"/>
  <c r="F1157" i="1"/>
  <c r="E1157" i="1"/>
  <c r="D1157" i="1"/>
  <c r="C1157" i="1"/>
  <c r="I1156" i="1"/>
  <c r="H1156" i="1"/>
  <c r="G1156" i="1"/>
  <c r="F1156" i="1"/>
  <c r="E1156" i="1"/>
  <c r="D1156" i="1"/>
  <c r="C1156" i="1"/>
  <c r="I1155" i="1"/>
  <c r="H1155" i="1"/>
  <c r="G1155" i="1"/>
  <c r="F1155" i="1"/>
  <c r="E1155" i="1"/>
  <c r="D1155" i="1"/>
  <c r="C1155" i="1"/>
  <c r="I1154" i="1"/>
  <c r="H1154" i="1"/>
  <c r="G1154" i="1"/>
  <c r="F1154" i="1"/>
  <c r="E1154" i="1"/>
  <c r="D1154" i="1"/>
  <c r="C1154" i="1"/>
  <c r="I1153" i="1"/>
  <c r="H1153" i="1"/>
  <c r="G1153" i="1"/>
  <c r="F1153" i="1"/>
  <c r="E1153" i="1"/>
  <c r="D1153" i="1"/>
  <c r="C1153" i="1"/>
  <c r="I1152" i="1"/>
  <c r="H1152" i="1"/>
  <c r="G1152" i="1"/>
  <c r="F1152" i="1"/>
  <c r="E1152" i="1"/>
  <c r="D1152" i="1"/>
  <c r="C1152" i="1"/>
  <c r="I1151" i="1"/>
  <c r="H1151" i="1"/>
  <c r="G1151" i="1"/>
  <c r="F1151" i="1"/>
  <c r="E1151" i="1"/>
  <c r="D1151" i="1"/>
  <c r="C1151" i="1"/>
  <c r="I1150" i="1"/>
  <c r="H1150" i="1"/>
  <c r="G1150" i="1"/>
  <c r="F1150" i="1"/>
  <c r="E1150" i="1"/>
  <c r="D1150" i="1"/>
  <c r="C1150" i="1"/>
  <c r="I1149" i="1"/>
  <c r="H1149" i="1"/>
  <c r="G1149" i="1"/>
  <c r="F1149" i="1"/>
  <c r="E1149" i="1"/>
  <c r="D1149" i="1"/>
  <c r="C1149" i="1"/>
  <c r="I1148" i="1"/>
  <c r="H1148" i="1"/>
  <c r="G1148" i="1"/>
  <c r="F1148" i="1"/>
  <c r="E1148" i="1"/>
  <c r="D1148" i="1"/>
  <c r="C1148" i="1"/>
  <c r="I1147" i="1"/>
  <c r="H1147" i="1"/>
  <c r="G1147" i="1"/>
  <c r="F1147" i="1"/>
  <c r="E1147" i="1"/>
  <c r="D1147" i="1"/>
  <c r="C1147" i="1"/>
  <c r="I1146" i="1"/>
  <c r="H1146" i="1"/>
  <c r="G1146" i="1"/>
  <c r="F1146" i="1"/>
  <c r="E1146" i="1"/>
  <c r="D1146" i="1"/>
  <c r="C1146" i="1"/>
  <c r="I1145" i="1"/>
  <c r="H1145" i="1"/>
  <c r="G1145" i="1"/>
  <c r="F1145" i="1"/>
  <c r="E1145" i="1"/>
  <c r="D1145" i="1"/>
  <c r="C1145" i="1"/>
  <c r="I1144" i="1"/>
  <c r="H1144" i="1"/>
  <c r="G1144" i="1"/>
  <c r="F1144" i="1"/>
  <c r="E1144" i="1"/>
  <c r="D1144" i="1"/>
  <c r="C1144" i="1"/>
  <c r="I1143" i="1"/>
  <c r="H1143" i="1"/>
  <c r="G1143" i="1"/>
  <c r="F1143" i="1"/>
  <c r="E1143" i="1"/>
  <c r="D1143" i="1"/>
  <c r="C1143" i="1"/>
  <c r="I1142" i="1"/>
  <c r="H1142" i="1"/>
  <c r="G1142" i="1"/>
  <c r="F1142" i="1"/>
  <c r="E1142" i="1"/>
  <c r="D1142" i="1"/>
  <c r="C1142" i="1"/>
  <c r="I1141" i="1"/>
  <c r="H1141" i="1"/>
  <c r="G1141" i="1"/>
  <c r="F1141" i="1"/>
  <c r="E1141" i="1"/>
  <c r="D1141" i="1"/>
  <c r="C1141" i="1"/>
  <c r="I1140" i="1"/>
  <c r="H1140" i="1"/>
  <c r="G1140" i="1"/>
  <c r="F1140" i="1"/>
  <c r="E1140" i="1"/>
  <c r="D1140" i="1"/>
  <c r="C1140" i="1"/>
  <c r="I1139" i="1"/>
  <c r="H1139" i="1"/>
  <c r="G1139" i="1"/>
  <c r="F1139" i="1"/>
  <c r="E1139" i="1"/>
  <c r="D1139" i="1"/>
  <c r="C1139" i="1"/>
  <c r="I1138" i="1"/>
  <c r="H1138" i="1"/>
  <c r="G1138" i="1"/>
  <c r="F1138" i="1"/>
  <c r="E1138" i="1"/>
  <c r="D1138" i="1"/>
  <c r="C1138" i="1"/>
  <c r="I1137" i="1"/>
  <c r="H1137" i="1"/>
  <c r="G1137" i="1"/>
  <c r="F1137" i="1"/>
  <c r="E1137" i="1"/>
  <c r="D1137" i="1"/>
  <c r="C1137" i="1"/>
  <c r="I1136" i="1"/>
  <c r="H1136" i="1"/>
  <c r="G1136" i="1"/>
  <c r="F1136" i="1"/>
  <c r="E1136" i="1"/>
  <c r="D1136" i="1"/>
  <c r="C1136" i="1"/>
  <c r="I1135" i="1"/>
  <c r="H1135" i="1"/>
  <c r="G1135" i="1"/>
  <c r="F1135" i="1"/>
  <c r="E1135" i="1"/>
  <c r="D1135" i="1"/>
  <c r="C1135" i="1"/>
  <c r="I1134" i="1"/>
  <c r="H1134" i="1"/>
  <c r="G1134" i="1"/>
  <c r="F1134" i="1"/>
  <c r="E1134" i="1"/>
  <c r="D1134" i="1"/>
  <c r="C1134" i="1"/>
  <c r="I1133" i="1"/>
  <c r="H1133" i="1"/>
  <c r="G1133" i="1"/>
  <c r="F1133" i="1"/>
  <c r="E1133" i="1"/>
  <c r="D1133" i="1"/>
  <c r="C1133" i="1"/>
  <c r="I1132" i="1"/>
  <c r="H1132" i="1"/>
  <c r="G1132" i="1"/>
  <c r="F1132" i="1"/>
  <c r="E1132" i="1"/>
  <c r="D1132" i="1"/>
  <c r="C1132" i="1"/>
  <c r="I1131" i="1"/>
  <c r="H1131" i="1"/>
  <c r="G1131" i="1"/>
  <c r="F1131" i="1"/>
  <c r="E1131" i="1"/>
  <c r="D1131" i="1"/>
  <c r="C1131" i="1"/>
  <c r="I1130" i="1"/>
  <c r="H1130" i="1"/>
  <c r="G1130" i="1"/>
  <c r="F1130" i="1"/>
  <c r="E1130" i="1"/>
  <c r="D1130" i="1"/>
  <c r="C1130" i="1"/>
  <c r="I1129" i="1"/>
  <c r="H1129" i="1"/>
  <c r="G1129" i="1"/>
  <c r="F1129" i="1"/>
  <c r="E1129" i="1"/>
  <c r="D1129" i="1"/>
  <c r="C1129" i="1"/>
  <c r="I1128" i="1"/>
  <c r="H1128" i="1"/>
  <c r="G1128" i="1"/>
  <c r="F1128" i="1"/>
  <c r="E1128" i="1"/>
  <c r="D1128" i="1"/>
  <c r="C1128" i="1"/>
  <c r="I1127" i="1"/>
  <c r="H1127" i="1"/>
  <c r="G1127" i="1"/>
  <c r="F1127" i="1"/>
  <c r="E1127" i="1"/>
  <c r="D1127" i="1"/>
  <c r="C1127" i="1"/>
  <c r="I1126" i="1"/>
  <c r="H1126" i="1"/>
  <c r="G1126" i="1"/>
  <c r="F1126" i="1"/>
  <c r="E1126" i="1"/>
  <c r="D1126" i="1"/>
  <c r="C1126" i="1"/>
  <c r="I1125" i="1"/>
  <c r="H1125" i="1"/>
  <c r="G1125" i="1"/>
  <c r="F1125" i="1"/>
  <c r="E1125" i="1"/>
  <c r="D1125" i="1"/>
  <c r="C1125" i="1"/>
  <c r="I1124" i="1"/>
  <c r="H1124" i="1"/>
  <c r="G1124" i="1"/>
  <c r="F1124" i="1"/>
  <c r="E1124" i="1"/>
  <c r="D1124" i="1"/>
  <c r="C1124" i="1"/>
  <c r="I1123" i="1"/>
  <c r="H1123" i="1"/>
  <c r="G1123" i="1"/>
  <c r="F1123" i="1"/>
  <c r="E1123" i="1"/>
  <c r="D1123" i="1"/>
  <c r="C1123" i="1"/>
  <c r="I1122" i="1"/>
  <c r="H1122" i="1"/>
  <c r="G1122" i="1"/>
  <c r="F1122" i="1"/>
  <c r="E1122" i="1"/>
  <c r="D1122" i="1"/>
  <c r="C1122" i="1"/>
  <c r="I1121" i="1"/>
  <c r="H1121" i="1"/>
  <c r="G1121" i="1"/>
  <c r="F1121" i="1"/>
  <c r="E1121" i="1"/>
  <c r="D1121" i="1"/>
  <c r="C1121" i="1"/>
  <c r="I1120" i="1"/>
  <c r="H1120" i="1"/>
  <c r="G1120" i="1"/>
  <c r="F1120" i="1"/>
  <c r="E1120" i="1"/>
  <c r="D1120" i="1"/>
  <c r="C1120" i="1"/>
  <c r="I1119" i="1"/>
  <c r="H1119" i="1"/>
  <c r="G1119" i="1"/>
  <c r="F1119" i="1"/>
  <c r="E1119" i="1"/>
  <c r="D1119" i="1"/>
  <c r="C1119" i="1"/>
  <c r="I1118" i="1"/>
  <c r="H1118" i="1"/>
  <c r="G1118" i="1"/>
  <c r="F1118" i="1"/>
  <c r="E1118" i="1"/>
  <c r="D1118" i="1"/>
  <c r="C1118" i="1"/>
  <c r="I1117" i="1"/>
  <c r="H1117" i="1"/>
  <c r="G1117" i="1"/>
  <c r="F1117" i="1"/>
  <c r="E1117" i="1"/>
  <c r="D1117" i="1"/>
  <c r="C1117" i="1"/>
  <c r="I1116" i="1"/>
  <c r="H1116" i="1"/>
  <c r="G1116" i="1"/>
  <c r="F1116" i="1"/>
  <c r="E1116" i="1"/>
  <c r="D1116" i="1"/>
  <c r="C1116" i="1"/>
  <c r="I1115" i="1"/>
  <c r="H1115" i="1"/>
  <c r="G1115" i="1"/>
  <c r="F1115" i="1"/>
  <c r="E1115" i="1"/>
  <c r="D1115" i="1"/>
  <c r="C1115" i="1"/>
  <c r="I1114" i="1"/>
  <c r="H1114" i="1"/>
  <c r="G1114" i="1"/>
  <c r="F1114" i="1"/>
  <c r="E1114" i="1"/>
  <c r="D1114" i="1"/>
  <c r="C1114" i="1"/>
  <c r="I1113" i="1"/>
  <c r="H1113" i="1"/>
  <c r="G1113" i="1"/>
  <c r="F1113" i="1"/>
  <c r="E1113" i="1"/>
  <c r="D1113" i="1"/>
  <c r="C1113" i="1"/>
  <c r="I1112" i="1"/>
  <c r="H1112" i="1"/>
  <c r="G1112" i="1"/>
  <c r="F1112" i="1"/>
  <c r="E1112" i="1"/>
  <c r="D1112" i="1"/>
  <c r="C1112" i="1"/>
  <c r="I1111" i="1"/>
  <c r="H1111" i="1"/>
  <c r="G1111" i="1"/>
  <c r="F1111" i="1"/>
  <c r="E1111" i="1"/>
  <c r="D1111" i="1"/>
  <c r="C1111" i="1"/>
  <c r="I1110" i="1"/>
  <c r="H1110" i="1"/>
  <c r="G1110" i="1"/>
  <c r="F1110" i="1"/>
  <c r="E1110" i="1"/>
  <c r="D1110" i="1"/>
  <c r="C1110" i="1"/>
  <c r="I1109" i="1"/>
  <c r="H1109" i="1"/>
  <c r="G1109" i="1"/>
  <c r="F1109" i="1"/>
  <c r="E1109" i="1"/>
  <c r="D1109" i="1"/>
  <c r="C1109" i="1"/>
  <c r="I1108" i="1"/>
  <c r="H1108" i="1"/>
  <c r="G1108" i="1"/>
  <c r="F1108" i="1"/>
  <c r="E1108" i="1"/>
  <c r="D1108" i="1"/>
  <c r="C1108" i="1"/>
  <c r="I1107" i="1"/>
  <c r="H1107" i="1"/>
  <c r="G1107" i="1"/>
  <c r="F1107" i="1"/>
  <c r="E1107" i="1"/>
  <c r="D1107" i="1"/>
  <c r="C1107" i="1"/>
  <c r="I1106" i="1"/>
  <c r="H1106" i="1"/>
  <c r="G1106" i="1"/>
  <c r="F1106" i="1"/>
  <c r="E1106" i="1"/>
  <c r="D1106" i="1"/>
  <c r="C1106" i="1"/>
  <c r="I1105" i="1"/>
  <c r="H1105" i="1"/>
  <c r="G1105" i="1"/>
  <c r="F1105" i="1"/>
  <c r="E1105" i="1"/>
  <c r="D1105" i="1"/>
  <c r="C1105" i="1"/>
  <c r="I1104" i="1"/>
  <c r="H1104" i="1"/>
  <c r="G1104" i="1"/>
  <c r="F1104" i="1"/>
  <c r="E1104" i="1"/>
  <c r="D1104" i="1"/>
  <c r="C1104" i="1"/>
  <c r="I1103" i="1"/>
  <c r="H1103" i="1"/>
  <c r="G1103" i="1"/>
  <c r="F1103" i="1"/>
  <c r="E1103" i="1"/>
  <c r="D1103" i="1"/>
  <c r="C1103" i="1"/>
  <c r="I1102" i="1"/>
  <c r="H1102" i="1"/>
  <c r="G1102" i="1"/>
  <c r="F1102" i="1"/>
  <c r="E1102" i="1"/>
  <c r="D1102" i="1"/>
  <c r="C1102" i="1"/>
  <c r="I1101" i="1"/>
  <c r="H1101" i="1"/>
  <c r="G1101" i="1"/>
  <c r="F1101" i="1"/>
  <c r="E1101" i="1"/>
  <c r="D1101" i="1"/>
  <c r="C1101" i="1"/>
  <c r="I1100" i="1"/>
  <c r="H1100" i="1"/>
  <c r="G1100" i="1"/>
  <c r="F1100" i="1"/>
  <c r="E1100" i="1"/>
  <c r="D1100" i="1"/>
  <c r="C1100" i="1"/>
  <c r="I1099" i="1"/>
  <c r="H1099" i="1"/>
  <c r="G1099" i="1"/>
  <c r="F1099" i="1"/>
  <c r="E1099" i="1"/>
  <c r="D1099" i="1"/>
  <c r="C1099" i="1"/>
  <c r="I1098" i="1"/>
  <c r="H1098" i="1"/>
  <c r="G1098" i="1"/>
  <c r="F1098" i="1"/>
  <c r="E1098" i="1"/>
  <c r="D1098" i="1"/>
  <c r="C1098" i="1"/>
  <c r="I1097" i="1"/>
  <c r="H1097" i="1"/>
  <c r="G1097" i="1"/>
  <c r="F1097" i="1"/>
  <c r="E1097" i="1"/>
  <c r="D1097" i="1"/>
  <c r="C1097" i="1"/>
  <c r="I1096" i="1"/>
  <c r="H1096" i="1"/>
  <c r="G1096" i="1"/>
  <c r="F1096" i="1"/>
  <c r="E1096" i="1"/>
  <c r="D1096" i="1"/>
  <c r="C1096" i="1"/>
  <c r="I1095" i="1"/>
  <c r="H1095" i="1"/>
  <c r="G1095" i="1"/>
  <c r="F1095" i="1"/>
  <c r="E1095" i="1"/>
  <c r="D1095" i="1"/>
  <c r="C1095" i="1"/>
  <c r="I1094" i="1"/>
  <c r="H1094" i="1"/>
  <c r="G1094" i="1"/>
  <c r="F1094" i="1"/>
  <c r="E1094" i="1"/>
  <c r="D1094" i="1"/>
  <c r="C1094" i="1"/>
  <c r="I1093" i="1"/>
  <c r="H1093" i="1"/>
  <c r="G1093" i="1"/>
  <c r="F1093" i="1"/>
  <c r="E1093" i="1"/>
  <c r="D1093" i="1"/>
  <c r="C1093" i="1"/>
  <c r="I1092" i="1"/>
  <c r="H1092" i="1"/>
  <c r="G1092" i="1"/>
  <c r="F1092" i="1"/>
  <c r="E1092" i="1"/>
  <c r="D1092" i="1"/>
  <c r="C1092" i="1"/>
  <c r="I1091" i="1"/>
  <c r="H1091" i="1"/>
  <c r="G1091" i="1"/>
  <c r="F1091" i="1"/>
  <c r="E1091" i="1"/>
  <c r="D1091" i="1"/>
  <c r="C1091" i="1"/>
  <c r="I1090" i="1"/>
  <c r="H1090" i="1"/>
  <c r="G1090" i="1"/>
  <c r="F1090" i="1"/>
  <c r="E1090" i="1"/>
  <c r="D1090" i="1"/>
  <c r="C1090" i="1"/>
  <c r="I1089" i="1"/>
  <c r="H1089" i="1"/>
  <c r="G1089" i="1"/>
  <c r="F1089" i="1"/>
  <c r="E1089" i="1"/>
  <c r="D1089" i="1"/>
  <c r="C1089" i="1"/>
  <c r="I1088" i="1"/>
  <c r="H1088" i="1"/>
  <c r="G1088" i="1"/>
  <c r="F1088" i="1"/>
  <c r="E1088" i="1"/>
  <c r="D1088" i="1"/>
  <c r="C1088" i="1"/>
  <c r="I1087" i="1"/>
  <c r="H1087" i="1"/>
  <c r="G1087" i="1"/>
  <c r="F1087" i="1"/>
  <c r="E1087" i="1"/>
  <c r="D1087" i="1"/>
  <c r="C1087" i="1"/>
  <c r="I1086" i="1"/>
  <c r="H1086" i="1"/>
  <c r="G1086" i="1"/>
  <c r="F1086" i="1"/>
  <c r="E1086" i="1"/>
  <c r="D1086" i="1"/>
  <c r="C1086" i="1"/>
  <c r="I1085" i="1"/>
  <c r="H1085" i="1"/>
  <c r="G1085" i="1"/>
  <c r="F1085" i="1"/>
  <c r="E1085" i="1"/>
  <c r="D1085" i="1"/>
  <c r="C1085" i="1"/>
  <c r="I1084" i="1"/>
  <c r="H1084" i="1"/>
  <c r="G1084" i="1"/>
  <c r="F1084" i="1"/>
  <c r="E1084" i="1"/>
  <c r="D1084" i="1"/>
  <c r="C1084" i="1"/>
  <c r="I1083" i="1"/>
  <c r="H1083" i="1"/>
  <c r="G1083" i="1"/>
  <c r="F1083" i="1"/>
  <c r="E1083" i="1"/>
  <c r="D1083" i="1"/>
  <c r="C1083" i="1"/>
  <c r="I1082" i="1"/>
  <c r="H1082" i="1"/>
  <c r="G1082" i="1"/>
  <c r="F1082" i="1"/>
  <c r="E1082" i="1"/>
  <c r="D1082" i="1"/>
  <c r="C1082" i="1"/>
  <c r="I1081" i="1"/>
  <c r="H1081" i="1"/>
  <c r="G1081" i="1"/>
  <c r="F1081" i="1"/>
  <c r="E1081" i="1"/>
  <c r="D1081" i="1"/>
  <c r="C1081" i="1"/>
  <c r="I1080" i="1"/>
  <c r="H1080" i="1"/>
  <c r="G1080" i="1"/>
  <c r="F1080" i="1"/>
  <c r="E1080" i="1"/>
  <c r="D1080" i="1"/>
  <c r="C1080" i="1"/>
  <c r="I1079" i="1"/>
  <c r="H1079" i="1"/>
  <c r="G1079" i="1"/>
  <c r="F1079" i="1"/>
  <c r="E1079" i="1"/>
  <c r="D1079" i="1"/>
  <c r="C1079" i="1"/>
  <c r="I1078" i="1"/>
  <c r="H1078" i="1"/>
  <c r="G1078" i="1"/>
  <c r="F1078" i="1"/>
  <c r="E1078" i="1"/>
  <c r="D1078" i="1"/>
  <c r="C1078" i="1"/>
  <c r="I1077" i="1"/>
  <c r="H1077" i="1"/>
  <c r="G1077" i="1"/>
  <c r="F1077" i="1"/>
  <c r="E1077" i="1"/>
  <c r="D1077" i="1"/>
  <c r="C1077" i="1"/>
  <c r="I1076" i="1"/>
  <c r="H1076" i="1"/>
  <c r="G1076" i="1"/>
  <c r="F1076" i="1"/>
  <c r="E1076" i="1"/>
  <c r="D1076" i="1"/>
  <c r="C1076" i="1"/>
  <c r="I1075" i="1"/>
  <c r="H1075" i="1"/>
  <c r="G1075" i="1"/>
  <c r="F1075" i="1"/>
  <c r="E1075" i="1"/>
  <c r="D1075" i="1"/>
  <c r="C1075" i="1"/>
  <c r="I1074" i="1"/>
  <c r="H1074" i="1"/>
  <c r="G1074" i="1"/>
  <c r="F1074" i="1"/>
  <c r="E1074" i="1"/>
  <c r="D1074" i="1"/>
  <c r="C1074" i="1"/>
  <c r="I1073" i="1"/>
  <c r="H1073" i="1"/>
  <c r="G1073" i="1"/>
  <c r="F1073" i="1"/>
  <c r="E1073" i="1"/>
  <c r="D1073" i="1"/>
  <c r="C1073" i="1"/>
  <c r="I1072" i="1"/>
  <c r="H1072" i="1"/>
  <c r="G1072" i="1"/>
  <c r="F1072" i="1"/>
  <c r="E1072" i="1"/>
  <c r="D1072" i="1"/>
  <c r="C1072" i="1"/>
  <c r="I1071" i="1"/>
  <c r="H1071" i="1"/>
  <c r="G1071" i="1"/>
  <c r="F1071" i="1"/>
  <c r="E1071" i="1"/>
  <c r="D1071" i="1"/>
  <c r="C1071" i="1"/>
  <c r="I1070" i="1"/>
  <c r="H1070" i="1"/>
  <c r="G1070" i="1"/>
  <c r="F1070" i="1"/>
  <c r="E1070" i="1"/>
  <c r="D1070" i="1"/>
  <c r="C1070" i="1"/>
  <c r="I1069" i="1"/>
  <c r="H1069" i="1"/>
  <c r="G1069" i="1"/>
  <c r="F1069" i="1"/>
  <c r="E1069" i="1"/>
  <c r="D1069" i="1"/>
  <c r="C1069" i="1"/>
  <c r="I1068" i="1"/>
  <c r="H1068" i="1"/>
  <c r="G1068" i="1"/>
  <c r="F1068" i="1"/>
  <c r="E1068" i="1"/>
  <c r="D1068" i="1"/>
  <c r="C1068" i="1"/>
  <c r="I1067" i="1"/>
  <c r="H1067" i="1"/>
  <c r="G1067" i="1"/>
  <c r="F1067" i="1"/>
  <c r="E1067" i="1"/>
  <c r="D1067" i="1"/>
  <c r="C1067" i="1"/>
  <c r="I1066" i="1"/>
  <c r="H1066" i="1"/>
  <c r="G1066" i="1"/>
  <c r="F1066" i="1"/>
  <c r="E1066" i="1"/>
  <c r="D1066" i="1"/>
  <c r="C1066" i="1"/>
  <c r="I1065" i="1"/>
  <c r="H1065" i="1"/>
  <c r="G1065" i="1"/>
  <c r="F1065" i="1"/>
  <c r="E1065" i="1"/>
  <c r="D1065" i="1"/>
  <c r="C1065" i="1"/>
  <c r="I1064" i="1"/>
  <c r="H1064" i="1"/>
  <c r="G1064" i="1"/>
  <c r="F1064" i="1"/>
  <c r="E1064" i="1"/>
  <c r="D1064" i="1"/>
  <c r="C1064" i="1"/>
  <c r="I1063" i="1"/>
  <c r="H1063" i="1"/>
  <c r="G1063" i="1"/>
  <c r="F1063" i="1"/>
  <c r="E1063" i="1"/>
  <c r="D1063" i="1"/>
  <c r="C1063" i="1"/>
  <c r="I1062" i="1"/>
  <c r="H1062" i="1"/>
  <c r="G1062" i="1"/>
  <c r="F1062" i="1"/>
  <c r="E1062" i="1"/>
  <c r="D1062" i="1"/>
  <c r="C1062" i="1"/>
  <c r="I1061" i="1"/>
  <c r="H1061" i="1"/>
  <c r="G1061" i="1"/>
  <c r="F1061" i="1"/>
  <c r="E1061" i="1"/>
  <c r="D1061" i="1"/>
  <c r="C1061" i="1"/>
  <c r="I1060" i="1"/>
  <c r="H1060" i="1"/>
  <c r="G1060" i="1"/>
  <c r="F1060" i="1"/>
  <c r="E1060" i="1"/>
  <c r="D1060" i="1"/>
  <c r="C1060" i="1"/>
  <c r="I1059" i="1"/>
  <c r="H1059" i="1"/>
  <c r="G1059" i="1"/>
  <c r="F1059" i="1"/>
  <c r="E1059" i="1"/>
  <c r="D1059" i="1"/>
  <c r="C1059" i="1"/>
  <c r="I1058" i="1"/>
  <c r="H1058" i="1"/>
  <c r="G1058" i="1"/>
  <c r="F1058" i="1"/>
  <c r="E1058" i="1"/>
  <c r="D1058" i="1"/>
  <c r="C1058" i="1"/>
  <c r="I1057" i="1"/>
  <c r="H1057" i="1"/>
  <c r="G1057" i="1"/>
  <c r="F1057" i="1"/>
  <c r="E1057" i="1"/>
  <c r="D1057" i="1"/>
  <c r="C1057" i="1"/>
  <c r="I1056" i="1"/>
  <c r="H1056" i="1"/>
  <c r="G1056" i="1"/>
  <c r="F1056" i="1"/>
  <c r="E1056" i="1"/>
  <c r="D1056" i="1"/>
  <c r="C1056" i="1"/>
  <c r="I1055" i="1"/>
  <c r="H1055" i="1"/>
  <c r="G1055" i="1"/>
  <c r="F1055" i="1"/>
  <c r="E1055" i="1"/>
  <c r="D1055" i="1"/>
  <c r="C1055" i="1"/>
  <c r="I1054" i="1"/>
  <c r="H1054" i="1"/>
  <c r="G1054" i="1"/>
  <c r="F1054" i="1"/>
  <c r="E1054" i="1"/>
  <c r="D1054" i="1"/>
  <c r="C1054" i="1"/>
  <c r="I1053" i="1"/>
  <c r="H1053" i="1"/>
  <c r="G1053" i="1"/>
  <c r="F1053" i="1"/>
  <c r="E1053" i="1"/>
  <c r="D1053" i="1"/>
  <c r="C1053" i="1"/>
  <c r="I1052" i="1"/>
  <c r="H1052" i="1"/>
  <c r="G1052" i="1"/>
  <c r="F1052" i="1"/>
  <c r="E1052" i="1"/>
  <c r="D1052" i="1"/>
  <c r="C1052" i="1"/>
  <c r="I1051" i="1"/>
  <c r="H1051" i="1"/>
  <c r="G1051" i="1"/>
  <c r="F1051" i="1"/>
  <c r="E1051" i="1"/>
  <c r="D1051" i="1"/>
  <c r="C1051" i="1"/>
  <c r="I1050" i="1"/>
  <c r="H1050" i="1"/>
  <c r="G1050" i="1"/>
  <c r="F1050" i="1"/>
  <c r="E1050" i="1"/>
  <c r="D1050" i="1"/>
  <c r="C1050" i="1"/>
  <c r="I1049" i="1"/>
  <c r="H1049" i="1"/>
  <c r="G1049" i="1"/>
  <c r="F1049" i="1"/>
  <c r="E1049" i="1"/>
  <c r="D1049" i="1"/>
  <c r="C1049" i="1"/>
  <c r="I1048" i="1"/>
  <c r="H1048" i="1"/>
  <c r="G1048" i="1"/>
  <c r="F1048" i="1"/>
  <c r="E1048" i="1"/>
  <c r="D1048" i="1"/>
  <c r="C1048" i="1"/>
  <c r="I1047" i="1"/>
  <c r="H1047" i="1"/>
  <c r="G1047" i="1"/>
  <c r="F1047" i="1"/>
  <c r="E1047" i="1"/>
  <c r="D1047" i="1"/>
  <c r="C1047" i="1"/>
  <c r="I1046" i="1"/>
  <c r="H1046" i="1"/>
  <c r="G1046" i="1"/>
  <c r="F1046" i="1"/>
  <c r="E1046" i="1"/>
  <c r="D1046" i="1"/>
  <c r="C1046" i="1"/>
  <c r="I1045" i="1"/>
  <c r="H1045" i="1"/>
  <c r="G1045" i="1"/>
  <c r="F1045" i="1"/>
  <c r="E1045" i="1"/>
  <c r="D1045" i="1"/>
  <c r="C1045" i="1"/>
  <c r="I1044" i="1"/>
  <c r="H1044" i="1"/>
  <c r="G1044" i="1"/>
  <c r="F1044" i="1"/>
  <c r="E1044" i="1"/>
  <c r="D1044" i="1"/>
  <c r="C1044" i="1"/>
  <c r="I1043" i="1"/>
  <c r="H1043" i="1"/>
  <c r="G1043" i="1"/>
  <c r="F1043" i="1"/>
  <c r="E1043" i="1"/>
  <c r="D1043" i="1"/>
  <c r="C1043" i="1"/>
  <c r="I1042" i="1"/>
  <c r="H1042" i="1"/>
  <c r="G1042" i="1"/>
  <c r="F1042" i="1"/>
  <c r="E1042" i="1"/>
  <c r="D1042" i="1"/>
  <c r="C1042" i="1"/>
  <c r="I1041" i="1"/>
  <c r="H1041" i="1"/>
  <c r="G1041" i="1"/>
  <c r="F1041" i="1"/>
  <c r="E1041" i="1"/>
  <c r="D1041" i="1"/>
  <c r="C1041" i="1"/>
  <c r="I1040" i="1"/>
  <c r="H1040" i="1"/>
  <c r="G1040" i="1"/>
  <c r="F1040" i="1"/>
  <c r="E1040" i="1"/>
  <c r="D1040" i="1"/>
  <c r="C1040" i="1"/>
  <c r="I1039" i="1"/>
  <c r="H1039" i="1"/>
  <c r="G1039" i="1"/>
  <c r="F1039" i="1"/>
  <c r="E1039" i="1"/>
  <c r="D1039" i="1"/>
  <c r="C1039" i="1"/>
  <c r="I1038" i="1"/>
  <c r="H1038" i="1"/>
  <c r="G1038" i="1"/>
  <c r="F1038" i="1"/>
  <c r="E1038" i="1"/>
  <c r="D1038" i="1"/>
  <c r="C1038" i="1"/>
  <c r="I1037" i="1"/>
  <c r="H1037" i="1"/>
  <c r="G1037" i="1"/>
  <c r="F1037" i="1"/>
  <c r="E1037" i="1"/>
  <c r="D1037" i="1"/>
  <c r="C1037" i="1"/>
  <c r="I1036" i="1"/>
  <c r="H1036" i="1"/>
  <c r="G1036" i="1"/>
  <c r="F1036" i="1"/>
  <c r="E1036" i="1"/>
  <c r="D1036" i="1"/>
  <c r="C1036" i="1"/>
  <c r="I1035" i="1"/>
  <c r="H1035" i="1"/>
  <c r="G1035" i="1"/>
  <c r="F1035" i="1"/>
  <c r="E1035" i="1"/>
  <c r="D1035" i="1"/>
  <c r="C1035" i="1"/>
  <c r="I1034" i="1"/>
  <c r="H1034" i="1"/>
  <c r="G1034" i="1"/>
  <c r="F1034" i="1"/>
  <c r="E1034" i="1"/>
  <c r="D1034" i="1"/>
  <c r="C1034" i="1"/>
  <c r="I1033" i="1"/>
  <c r="H1033" i="1"/>
  <c r="G1033" i="1"/>
  <c r="F1033" i="1"/>
  <c r="E1033" i="1"/>
  <c r="D1033" i="1"/>
  <c r="C1033" i="1"/>
  <c r="I1032" i="1"/>
  <c r="H1032" i="1"/>
  <c r="G1032" i="1"/>
  <c r="F1032" i="1"/>
  <c r="E1032" i="1"/>
  <c r="D1032" i="1"/>
  <c r="C1032" i="1"/>
  <c r="I1031" i="1"/>
  <c r="H1031" i="1"/>
  <c r="G1031" i="1"/>
  <c r="F1031" i="1"/>
  <c r="E1031" i="1"/>
  <c r="D1031" i="1"/>
  <c r="C1031" i="1"/>
  <c r="I1030" i="1"/>
  <c r="H1030" i="1"/>
  <c r="G1030" i="1"/>
  <c r="F1030" i="1"/>
  <c r="E1030" i="1"/>
  <c r="D1030" i="1"/>
  <c r="C1030" i="1"/>
  <c r="I1029" i="1"/>
  <c r="H1029" i="1"/>
  <c r="G1029" i="1"/>
  <c r="F1029" i="1"/>
  <c r="E1029" i="1"/>
  <c r="D1029" i="1"/>
  <c r="C1029" i="1"/>
  <c r="I1028" i="1"/>
  <c r="H1028" i="1"/>
  <c r="G1028" i="1"/>
  <c r="F1028" i="1"/>
  <c r="E1028" i="1"/>
  <c r="D1028" i="1"/>
  <c r="C1028" i="1"/>
  <c r="I1027" i="1"/>
  <c r="H1027" i="1"/>
  <c r="G1027" i="1"/>
  <c r="F1027" i="1"/>
  <c r="E1027" i="1"/>
  <c r="D1027" i="1"/>
  <c r="C1027" i="1"/>
  <c r="I1026" i="1"/>
  <c r="H1026" i="1"/>
  <c r="G1026" i="1"/>
  <c r="F1026" i="1"/>
  <c r="E1026" i="1"/>
  <c r="D1026" i="1"/>
  <c r="C1026" i="1"/>
  <c r="I1025" i="1"/>
  <c r="H1025" i="1"/>
  <c r="G1025" i="1"/>
  <c r="F1025" i="1"/>
  <c r="E1025" i="1"/>
  <c r="D1025" i="1"/>
  <c r="C1025" i="1"/>
  <c r="I1024" i="1"/>
  <c r="H1024" i="1"/>
  <c r="G1024" i="1"/>
  <c r="F1024" i="1"/>
  <c r="E1024" i="1"/>
  <c r="D1024" i="1"/>
  <c r="C1024" i="1"/>
  <c r="I1023" i="1"/>
  <c r="H1023" i="1"/>
  <c r="G1023" i="1"/>
  <c r="F1023" i="1"/>
  <c r="E1023" i="1"/>
  <c r="D1023" i="1"/>
  <c r="C1023" i="1"/>
  <c r="I1022" i="1"/>
  <c r="H1022" i="1"/>
  <c r="G1022" i="1"/>
  <c r="F1022" i="1"/>
  <c r="E1022" i="1"/>
  <c r="D1022" i="1"/>
  <c r="C1022" i="1"/>
  <c r="I1021" i="1"/>
  <c r="H1021" i="1"/>
  <c r="G1021" i="1"/>
  <c r="F1021" i="1"/>
  <c r="E1021" i="1"/>
  <c r="D1021" i="1"/>
  <c r="C1021" i="1"/>
  <c r="I1020" i="1"/>
  <c r="H1020" i="1"/>
  <c r="G1020" i="1"/>
  <c r="F1020" i="1"/>
  <c r="E1020" i="1"/>
  <c r="D1020" i="1"/>
  <c r="C1020" i="1"/>
  <c r="I1019" i="1"/>
  <c r="H1019" i="1"/>
  <c r="G1019" i="1"/>
  <c r="F1019" i="1"/>
  <c r="E1019" i="1"/>
  <c r="D1019" i="1"/>
  <c r="C1019" i="1"/>
  <c r="I1018" i="1"/>
  <c r="H1018" i="1"/>
  <c r="G1018" i="1"/>
  <c r="F1018" i="1"/>
  <c r="E1018" i="1"/>
  <c r="D1018" i="1"/>
  <c r="C1018" i="1"/>
  <c r="I1017" i="1"/>
  <c r="H1017" i="1"/>
  <c r="G1017" i="1"/>
  <c r="F1017" i="1"/>
  <c r="E1017" i="1"/>
  <c r="D1017" i="1"/>
  <c r="C1017" i="1"/>
  <c r="I1016" i="1"/>
  <c r="H1016" i="1"/>
  <c r="G1016" i="1"/>
  <c r="F1016" i="1"/>
  <c r="E1016" i="1"/>
  <c r="D1016" i="1"/>
  <c r="C1016" i="1"/>
  <c r="I1015" i="1"/>
  <c r="H1015" i="1"/>
  <c r="G1015" i="1"/>
  <c r="F1015" i="1"/>
  <c r="E1015" i="1"/>
  <c r="D1015" i="1"/>
  <c r="C1015" i="1"/>
  <c r="I1014" i="1"/>
  <c r="H1014" i="1"/>
  <c r="G1014" i="1"/>
  <c r="F1014" i="1"/>
  <c r="E1014" i="1"/>
  <c r="D1014" i="1"/>
  <c r="C1014" i="1"/>
  <c r="I1013" i="1"/>
  <c r="H1013" i="1"/>
  <c r="G1013" i="1"/>
  <c r="F1013" i="1"/>
  <c r="E1013" i="1"/>
  <c r="D1013" i="1"/>
  <c r="C1013" i="1"/>
  <c r="I1012" i="1"/>
  <c r="H1012" i="1"/>
  <c r="G1012" i="1"/>
  <c r="F1012" i="1"/>
  <c r="E1012" i="1"/>
  <c r="D1012" i="1"/>
  <c r="C1012" i="1"/>
  <c r="I1011" i="1"/>
  <c r="H1011" i="1"/>
  <c r="G1011" i="1"/>
  <c r="F1011" i="1"/>
  <c r="E1011" i="1"/>
  <c r="D1011" i="1"/>
  <c r="C1011" i="1"/>
  <c r="I1010" i="1"/>
  <c r="H1010" i="1"/>
  <c r="G1010" i="1"/>
  <c r="F1010" i="1"/>
  <c r="E1010" i="1"/>
  <c r="D1010" i="1"/>
  <c r="C1010" i="1"/>
  <c r="I1009" i="1"/>
  <c r="H1009" i="1"/>
  <c r="G1009" i="1"/>
  <c r="F1009" i="1"/>
  <c r="E1009" i="1"/>
  <c r="D1009" i="1"/>
  <c r="C1009" i="1"/>
  <c r="I1008" i="1"/>
  <c r="H1008" i="1"/>
  <c r="G1008" i="1"/>
  <c r="F1008" i="1"/>
  <c r="E1008" i="1"/>
  <c r="D1008" i="1"/>
  <c r="C1008" i="1"/>
  <c r="I1007" i="1"/>
  <c r="H1007" i="1"/>
  <c r="G1007" i="1"/>
  <c r="F1007" i="1"/>
  <c r="E1007" i="1"/>
  <c r="D1007" i="1"/>
  <c r="C1007" i="1"/>
  <c r="I1006" i="1"/>
  <c r="H1006" i="1"/>
  <c r="G1006" i="1"/>
  <c r="F1006" i="1"/>
  <c r="E1006" i="1"/>
  <c r="D1006" i="1"/>
  <c r="C1006" i="1"/>
  <c r="I1005" i="1"/>
  <c r="H1005" i="1"/>
  <c r="G1005" i="1"/>
  <c r="F1005" i="1"/>
  <c r="E1005" i="1"/>
  <c r="D1005" i="1"/>
  <c r="C1005" i="1"/>
  <c r="I1004" i="1"/>
  <c r="H1004" i="1"/>
  <c r="G1004" i="1"/>
  <c r="F1004" i="1"/>
  <c r="E1004" i="1"/>
  <c r="D1004" i="1"/>
  <c r="C1004" i="1"/>
  <c r="I1003" i="1"/>
  <c r="H1003" i="1"/>
  <c r="G1003" i="1"/>
  <c r="F1003" i="1"/>
  <c r="E1003" i="1"/>
  <c r="D1003" i="1"/>
  <c r="C1003" i="1"/>
  <c r="I1002" i="1"/>
  <c r="H1002" i="1"/>
  <c r="G1002" i="1"/>
  <c r="F1002" i="1"/>
  <c r="E1002" i="1"/>
  <c r="D1002" i="1"/>
  <c r="C1002" i="1"/>
  <c r="I1001" i="1"/>
  <c r="H1001" i="1"/>
  <c r="G1001" i="1"/>
  <c r="F1001" i="1"/>
  <c r="E1001" i="1"/>
  <c r="D1001" i="1"/>
  <c r="C1001" i="1"/>
  <c r="I1000" i="1"/>
  <c r="H1000" i="1"/>
  <c r="G1000" i="1"/>
  <c r="F1000" i="1"/>
  <c r="E1000" i="1"/>
  <c r="D1000" i="1"/>
  <c r="C1000" i="1"/>
  <c r="I999" i="1"/>
  <c r="H999" i="1"/>
  <c r="G999" i="1"/>
  <c r="F999" i="1"/>
  <c r="E999" i="1"/>
  <c r="D999" i="1"/>
  <c r="C999" i="1"/>
  <c r="I998" i="1"/>
  <c r="H998" i="1"/>
  <c r="G998" i="1"/>
  <c r="F998" i="1"/>
  <c r="E998" i="1"/>
  <c r="D998" i="1"/>
  <c r="C998" i="1"/>
  <c r="I997" i="1"/>
  <c r="H997" i="1"/>
  <c r="G997" i="1"/>
  <c r="F997" i="1"/>
  <c r="E997" i="1"/>
  <c r="D997" i="1"/>
  <c r="C997" i="1"/>
  <c r="I996" i="1"/>
  <c r="H996" i="1"/>
  <c r="G996" i="1"/>
  <c r="F996" i="1"/>
  <c r="E996" i="1"/>
  <c r="D996" i="1"/>
  <c r="C996" i="1"/>
  <c r="I995" i="1"/>
  <c r="H995" i="1"/>
  <c r="G995" i="1"/>
  <c r="F995" i="1"/>
  <c r="E995" i="1"/>
  <c r="D995" i="1"/>
  <c r="C995" i="1"/>
  <c r="I994" i="1"/>
  <c r="H994" i="1"/>
  <c r="G994" i="1"/>
  <c r="F994" i="1"/>
  <c r="E994" i="1"/>
  <c r="D994" i="1"/>
  <c r="C994" i="1"/>
  <c r="I993" i="1"/>
  <c r="H993" i="1"/>
  <c r="G993" i="1"/>
  <c r="F993" i="1"/>
  <c r="E993" i="1"/>
  <c r="D993" i="1"/>
  <c r="C993" i="1"/>
  <c r="I992" i="1"/>
  <c r="H992" i="1"/>
  <c r="G992" i="1"/>
  <c r="F992" i="1"/>
  <c r="E992" i="1"/>
  <c r="D992" i="1"/>
  <c r="C992" i="1"/>
  <c r="I991" i="1"/>
  <c r="H991" i="1"/>
  <c r="G991" i="1"/>
  <c r="F991" i="1"/>
  <c r="E991" i="1"/>
  <c r="D991" i="1"/>
  <c r="C991" i="1"/>
  <c r="I990" i="1"/>
  <c r="H990" i="1"/>
  <c r="G990" i="1"/>
  <c r="F990" i="1"/>
  <c r="E990" i="1"/>
  <c r="D990" i="1"/>
  <c r="C990" i="1"/>
  <c r="I989" i="1"/>
  <c r="H989" i="1"/>
  <c r="G989" i="1"/>
  <c r="F989" i="1"/>
  <c r="E989" i="1"/>
  <c r="D989" i="1"/>
  <c r="C989" i="1"/>
  <c r="I988" i="1"/>
  <c r="H988" i="1"/>
  <c r="G988" i="1"/>
  <c r="F988" i="1"/>
  <c r="E988" i="1"/>
  <c r="D988" i="1"/>
  <c r="C988" i="1"/>
  <c r="I987" i="1"/>
  <c r="H987" i="1"/>
  <c r="G987" i="1"/>
  <c r="F987" i="1"/>
  <c r="E987" i="1"/>
  <c r="D987" i="1"/>
  <c r="C987" i="1"/>
  <c r="I986" i="1"/>
  <c r="H986" i="1"/>
  <c r="G986" i="1"/>
  <c r="F986" i="1"/>
  <c r="E986" i="1"/>
  <c r="D986" i="1"/>
  <c r="C986" i="1"/>
  <c r="I985" i="1"/>
  <c r="H985" i="1"/>
  <c r="G985" i="1"/>
  <c r="F985" i="1"/>
  <c r="E985" i="1"/>
  <c r="D985" i="1"/>
  <c r="C985" i="1"/>
  <c r="I984" i="1"/>
  <c r="H984" i="1"/>
  <c r="G984" i="1"/>
  <c r="F984" i="1"/>
  <c r="E984" i="1"/>
  <c r="D984" i="1"/>
  <c r="C984" i="1"/>
  <c r="I983" i="1"/>
  <c r="H983" i="1"/>
  <c r="G983" i="1"/>
  <c r="F983" i="1"/>
  <c r="E983" i="1"/>
  <c r="D983" i="1"/>
  <c r="C983" i="1"/>
  <c r="I982" i="1"/>
  <c r="H982" i="1"/>
  <c r="G982" i="1"/>
  <c r="F982" i="1"/>
  <c r="E982" i="1"/>
  <c r="D982" i="1"/>
  <c r="C982" i="1"/>
  <c r="I981" i="1"/>
  <c r="H981" i="1"/>
  <c r="G981" i="1"/>
  <c r="F981" i="1"/>
  <c r="E981" i="1"/>
  <c r="D981" i="1"/>
  <c r="C981" i="1"/>
  <c r="I980" i="1"/>
  <c r="H980" i="1"/>
  <c r="G980" i="1"/>
  <c r="F980" i="1"/>
  <c r="E980" i="1"/>
  <c r="D980" i="1"/>
  <c r="C980" i="1"/>
  <c r="I979" i="1"/>
  <c r="H979" i="1"/>
  <c r="G979" i="1"/>
  <c r="F979" i="1"/>
  <c r="E979" i="1"/>
  <c r="D979" i="1"/>
  <c r="C979" i="1"/>
  <c r="I978" i="1"/>
  <c r="H978" i="1"/>
  <c r="G978" i="1"/>
  <c r="F978" i="1"/>
  <c r="E978" i="1"/>
  <c r="D978" i="1"/>
  <c r="C978" i="1"/>
  <c r="I977" i="1"/>
  <c r="H977" i="1"/>
  <c r="G977" i="1"/>
  <c r="F977" i="1"/>
  <c r="E977" i="1"/>
  <c r="D977" i="1"/>
  <c r="C977" i="1"/>
  <c r="I976" i="1"/>
  <c r="H976" i="1"/>
  <c r="G976" i="1"/>
  <c r="F976" i="1"/>
  <c r="E976" i="1"/>
  <c r="D976" i="1"/>
  <c r="C976" i="1"/>
  <c r="I975" i="1"/>
  <c r="H975" i="1"/>
  <c r="G975" i="1"/>
  <c r="F975" i="1"/>
  <c r="E975" i="1"/>
  <c r="D975" i="1"/>
  <c r="C975" i="1"/>
  <c r="I974" i="1"/>
  <c r="H974" i="1"/>
  <c r="G974" i="1"/>
  <c r="F974" i="1"/>
  <c r="E974" i="1"/>
  <c r="D974" i="1"/>
  <c r="C974" i="1"/>
  <c r="I973" i="1"/>
  <c r="H973" i="1"/>
  <c r="G973" i="1"/>
  <c r="F973" i="1"/>
  <c r="E973" i="1"/>
  <c r="D973" i="1"/>
  <c r="C973" i="1"/>
  <c r="I972" i="1"/>
  <c r="H972" i="1"/>
  <c r="G972" i="1"/>
  <c r="F972" i="1"/>
  <c r="E972" i="1"/>
  <c r="D972" i="1"/>
  <c r="C972" i="1"/>
  <c r="I971" i="1"/>
  <c r="H971" i="1"/>
  <c r="G971" i="1"/>
  <c r="F971" i="1"/>
  <c r="E971" i="1"/>
  <c r="D971" i="1"/>
  <c r="C971" i="1"/>
  <c r="I970" i="1"/>
  <c r="H970" i="1"/>
  <c r="G970" i="1"/>
  <c r="F970" i="1"/>
  <c r="E970" i="1"/>
  <c r="D970" i="1"/>
  <c r="C970" i="1"/>
  <c r="I969" i="1"/>
  <c r="H969" i="1"/>
  <c r="G969" i="1"/>
  <c r="F969" i="1"/>
  <c r="E969" i="1"/>
  <c r="D969" i="1"/>
  <c r="C969" i="1"/>
  <c r="I968" i="1"/>
  <c r="H968" i="1"/>
  <c r="G968" i="1"/>
  <c r="F968" i="1"/>
  <c r="E968" i="1"/>
  <c r="D968" i="1"/>
  <c r="C968" i="1"/>
  <c r="I967" i="1"/>
  <c r="H967" i="1"/>
  <c r="G967" i="1"/>
  <c r="F967" i="1"/>
  <c r="E967" i="1"/>
  <c r="D967" i="1"/>
  <c r="C967" i="1"/>
  <c r="I966" i="1"/>
  <c r="H966" i="1"/>
  <c r="G966" i="1"/>
  <c r="F966" i="1"/>
  <c r="E966" i="1"/>
  <c r="D966" i="1"/>
  <c r="C966" i="1"/>
  <c r="I965" i="1"/>
  <c r="H965" i="1"/>
  <c r="G965" i="1"/>
  <c r="F965" i="1"/>
  <c r="E965" i="1"/>
  <c r="D965" i="1"/>
  <c r="C965" i="1"/>
  <c r="I964" i="1"/>
  <c r="H964" i="1"/>
  <c r="G964" i="1"/>
  <c r="F964" i="1"/>
  <c r="E964" i="1"/>
  <c r="D964" i="1"/>
  <c r="C964" i="1"/>
  <c r="I963" i="1"/>
  <c r="H963" i="1"/>
  <c r="G963" i="1"/>
  <c r="F963" i="1"/>
  <c r="E963" i="1"/>
  <c r="D963" i="1"/>
  <c r="C963" i="1"/>
  <c r="I962" i="1"/>
  <c r="H962" i="1"/>
  <c r="G962" i="1"/>
  <c r="F962" i="1"/>
  <c r="E962" i="1"/>
  <c r="D962" i="1"/>
  <c r="C962" i="1"/>
  <c r="I961" i="1"/>
  <c r="H961" i="1"/>
  <c r="G961" i="1"/>
  <c r="F961" i="1"/>
  <c r="E961" i="1"/>
  <c r="D961" i="1"/>
  <c r="C961" i="1"/>
  <c r="I960" i="1"/>
  <c r="H960" i="1"/>
  <c r="G960" i="1"/>
  <c r="F960" i="1"/>
  <c r="E960" i="1"/>
  <c r="D960" i="1"/>
  <c r="C960" i="1"/>
  <c r="I959" i="1"/>
  <c r="H959" i="1"/>
  <c r="G959" i="1"/>
  <c r="F959" i="1"/>
  <c r="E959" i="1"/>
  <c r="D959" i="1"/>
  <c r="C959" i="1"/>
  <c r="I958" i="1"/>
  <c r="H958" i="1"/>
  <c r="G958" i="1"/>
  <c r="F958" i="1"/>
  <c r="E958" i="1"/>
  <c r="D958" i="1"/>
  <c r="C958" i="1"/>
  <c r="I957" i="1"/>
  <c r="H957" i="1"/>
  <c r="G957" i="1"/>
  <c r="F957" i="1"/>
  <c r="E957" i="1"/>
  <c r="D957" i="1"/>
  <c r="C957" i="1"/>
  <c r="I956" i="1"/>
  <c r="H956" i="1"/>
  <c r="G956" i="1"/>
  <c r="F956" i="1"/>
  <c r="E956" i="1"/>
  <c r="D956" i="1"/>
  <c r="C956" i="1"/>
  <c r="I955" i="1"/>
  <c r="H955" i="1"/>
  <c r="G955" i="1"/>
  <c r="F955" i="1"/>
  <c r="E955" i="1"/>
  <c r="D955" i="1"/>
  <c r="C955" i="1"/>
  <c r="I954" i="1"/>
  <c r="H954" i="1"/>
  <c r="G954" i="1"/>
  <c r="F954" i="1"/>
  <c r="E954" i="1"/>
  <c r="D954" i="1"/>
  <c r="C954" i="1"/>
  <c r="I953" i="1"/>
  <c r="H953" i="1"/>
  <c r="G953" i="1"/>
  <c r="F953" i="1"/>
  <c r="E953" i="1"/>
  <c r="D953" i="1"/>
  <c r="C953" i="1"/>
  <c r="I952" i="1"/>
  <c r="H952" i="1"/>
  <c r="G952" i="1"/>
  <c r="F952" i="1"/>
  <c r="E952" i="1"/>
  <c r="D952" i="1"/>
  <c r="C952" i="1"/>
  <c r="I951" i="1"/>
  <c r="H951" i="1"/>
  <c r="G951" i="1"/>
  <c r="F951" i="1"/>
  <c r="E951" i="1"/>
  <c r="D951" i="1"/>
  <c r="C951" i="1"/>
  <c r="I950" i="1"/>
  <c r="H950" i="1"/>
  <c r="G950" i="1"/>
  <c r="F950" i="1"/>
  <c r="E950" i="1"/>
  <c r="D950" i="1"/>
  <c r="C950" i="1"/>
  <c r="I949" i="1"/>
  <c r="H949" i="1"/>
  <c r="G949" i="1"/>
  <c r="F949" i="1"/>
  <c r="E949" i="1"/>
  <c r="D949" i="1"/>
  <c r="C949" i="1"/>
  <c r="I948" i="1"/>
  <c r="H948" i="1"/>
  <c r="G948" i="1"/>
  <c r="F948" i="1"/>
  <c r="E948" i="1"/>
  <c r="D948" i="1"/>
  <c r="C948" i="1"/>
  <c r="I947" i="1"/>
  <c r="H947" i="1"/>
  <c r="G947" i="1"/>
  <c r="F947" i="1"/>
  <c r="E947" i="1"/>
  <c r="D947" i="1"/>
  <c r="C947" i="1"/>
  <c r="I946" i="1"/>
  <c r="H946" i="1"/>
  <c r="G946" i="1"/>
  <c r="F946" i="1"/>
  <c r="E946" i="1"/>
  <c r="D946" i="1"/>
  <c r="C946" i="1"/>
  <c r="I945" i="1"/>
  <c r="H945" i="1"/>
  <c r="G945" i="1"/>
  <c r="F945" i="1"/>
  <c r="E945" i="1"/>
  <c r="D945" i="1"/>
  <c r="C945" i="1"/>
  <c r="I944" i="1"/>
  <c r="H944" i="1"/>
  <c r="G944" i="1"/>
  <c r="F944" i="1"/>
  <c r="E944" i="1"/>
  <c r="D944" i="1"/>
  <c r="C944" i="1"/>
  <c r="I943" i="1"/>
  <c r="H943" i="1"/>
  <c r="G943" i="1"/>
  <c r="F943" i="1"/>
  <c r="E943" i="1"/>
  <c r="D943" i="1"/>
  <c r="C943" i="1"/>
  <c r="I942" i="1"/>
  <c r="H942" i="1"/>
  <c r="G942" i="1"/>
  <c r="F942" i="1"/>
  <c r="E942" i="1"/>
  <c r="D942" i="1"/>
  <c r="C942" i="1"/>
  <c r="I941" i="1"/>
  <c r="H941" i="1"/>
  <c r="G941" i="1"/>
  <c r="F941" i="1"/>
  <c r="E941" i="1"/>
  <c r="D941" i="1"/>
  <c r="C941" i="1"/>
  <c r="I940" i="1"/>
  <c r="H940" i="1"/>
  <c r="G940" i="1"/>
  <c r="F940" i="1"/>
  <c r="E940" i="1"/>
  <c r="D940" i="1"/>
  <c r="C940" i="1"/>
  <c r="I939" i="1"/>
  <c r="H939" i="1"/>
  <c r="G939" i="1"/>
  <c r="F939" i="1"/>
  <c r="E939" i="1"/>
  <c r="D939" i="1"/>
  <c r="C939" i="1"/>
  <c r="I938" i="1"/>
  <c r="H938" i="1"/>
  <c r="G938" i="1"/>
  <c r="F938" i="1"/>
  <c r="E938" i="1"/>
  <c r="D938" i="1"/>
  <c r="C938" i="1"/>
  <c r="I937" i="1"/>
  <c r="H937" i="1"/>
  <c r="G937" i="1"/>
  <c r="F937" i="1"/>
  <c r="E937" i="1"/>
  <c r="D937" i="1"/>
  <c r="C937" i="1"/>
  <c r="I936" i="1"/>
  <c r="H936" i="1"/>
  <c r="G936" i="1"/>
  <c r="F936" i="1"/>
  <c r="E936" i="1"/>
  <c r="D936" i="1"/>
  <c r="C936" i="1"/>
  <c r="I935" i="1"/>
  <c r="H935" i="1"/>
  <c r="G935" i="1"/>
  <c r="F935" i="1"/>
  <c r="E935" i="1"/>
  <c r="D935" i="1"/>
  <c r="C935" i="1"/>
  <c r="I934" i="1"/>
  <c r="H934" i="1"/>
  <c r="G934" i="1"/>
  <c r="F934" i="1"/>
  <c r="E934" i="1"/>
  <c r="D934" i="1"/>
  <c r="C934" i="1"/>
  <c r="I933" i="1"/>
  <c r="H933" i="1"/>
  <c r="G933" i="1"/>
  <c r="F933" i="1"/>
  <c r="E933" i="1"/>
  <c r="D933" i="1"/>
  <c r="C933" i="1"/>
  <c r="I932" i="1"/>
  <c r="H932" i="1"/>
  <c r="G932" i="1"/>
  <c r="F932" i="1"/>
  <c r="E932" i="1"/>
  <c r="D932" i="1"/>
  <c r="C932" i="1"/>
  <c r="I931" i="1"/>
  <c r="H931" i="1"/>
  <c r="G931" i="1"/>
  <c r="F931" i="1"/>
  <c r="E931" i="1"/>
  <c r="D931" i="1"/>
  <c r="C931" i="1"/>
  <c r="I930" i="1"/>
  <c r="H930" i="1"/>
  <c r="G930" i="1"/>
  <c r="F930" i="1"/>
  <c r="E930" i="1"/>
  <c r="D930" i="1"/>
  <c r="C930" i="1"/>
  <c r="I929" i="1"/>
  <c r="H929" i="1"/>
  <c r="G929" i="1"/>
  <c r="F929" i="1"/>
  <c r="E929" i="1"/>
  <c r="D929" i="1"/>
  <c r="C929" i="1"/>
  <c r="I928" i="1"/>
  <c r="H928" i="1"/>
  <c r="G928" i="1"/>
  <c r="F928" i="1"/>
  <c r="E928" i="1"/>
  <c r="D928" i="1"/>
  <c r="C928" i="1"/>
  <c r="I927" i="1"/>
  <c r="H927" i="1"/>
  <c r="G927" i="1"/>
  <c r="F927" i="1"/>
  <c r="E927" i="1"/>
  <c r="D927" i="1"/>
  <c r="C927" i="1"/>
  <c r="I926" i="1"/>
  <c r="H926" i="1"/>
  <c r="G926" i="1"/>
  <c r="F926" i="1"/>
  <c r="E926" i="1"/>
  <c r="D926" i="1"/>
  <c r="C926" i="1"/>
  <c r="I925" i="1"/>
  <c r="H925" i="1"/>
  <c r="G925" i="1"/>
  <c r="F925" i="1"/>
  <c r="E925" i="1"/>
  <c r="D925" i="1"/>
  <c r="C925" i="1"/>
  <c r="I924" i="1"/>
  <c r="H924" i="1"/>
  <c r="G924" i="1"/>
  <c r="F924" i="1"/>
  <c r="E924" i="1"/>
  <c r="D924" i="1"/>
  <c r="C924" i="1"/>
  <c r="I923" i="1"/>
  <c r="H923" i="1"/>
  <c r="G923" i="1"/>
  <c r="F923" i="1"/>
  <c r="E923" i="1"/>
  <c r="D923" i="1"/>
  <c r="C923" i="1"/>
  <c r="I922" i="1"/>
  <c r="H922" i="1"/>
  <c r="G922" i="1"/>
  <c r="F922" i="1"/>
  <c r="E922" i="1"/>
  <c r="D922" i="1"/>
  <c r="C922" i="1"/>
  <c r="I921" i="1"/>
  <c r="H921" i="1"/>
  <c r="G921" i="1"/>
  <c r="F921" i="1"/>
  <c r="E921" i="1"/>
  <c r="D921" i="1"/>
  <c r="C921" i="1"/>
  <c r="I920" i="1"/>
  <c r="H920" i="1"/>
  <c r="G920" i="1"/>
  <c r="F920" i="1"/>
  <c r="E920" i="1"/>
  <c r="D920" i="1"/>
  <c r="C920" i="1"/>
  <c r="I919" i="1"/>
  <c r="H919" i="1"/>
  <c r="G919" i="1"/>
  <c r="F919" i="1"/>
  <c r="E919" i="1"/>
  <c r="D919" i="1"/>
  <c r="C919" i="1"/>
  <c r="I918" i="1"/>
  <c r="H918" i="1"/>
  <c r="G918" i="1"/>
  <c r="F918" i="1"/>
  <c r="E918" i="1"/>
  <c r="D918" i="1"/>
  <c r="C918" i="1"/>
  <c r="I917" i="1"/>
  <c r="H917" i="1"/>
  <c r="G917" i="1"/>
  <c r="F917" i="1"/>
  <c r="E917" i="1"/>
  <c r="D917" i="1"/>
  <c r="C917" i="1"/>
  <c r="I916" i="1"/>
  <c r="H916" i="1"/>
  <c r="G916" i="1"/>
  <c r="F916" i="1"/>
  <c r="E916" i="1"/>
  <c r="D916" i="1"/>
  <c r="C916" i="1"/>
  <c r="I915" i="1"/>
  <c r="H915" i="1"/>
  <c r="G915" i="1"/>
  <c r="F915" i="1"/>
  <c r="E915" i="1"/>
  <c r="D915" i="1"/>
  <c r="C915" i="1"/>
  <c r="I914" i="1"/>
  <c r="H914" i="1"/>
  <c r="G914" i="1"/>
  <c r="F914" i="1"/>
  <c r="E914" i="1"/>
  <c r="D914" i="1"/>
  <c r="C914" i="1"/>
  <c r="I913" i="1"/>
  <c r="H913" i="1"/>
  <c r="G913" i="1"/>
  <c r="F913" i="1"/>
  <c r="E913" i="1"/>
  <c r="D913" i="1"/>
  <c r="C913" i="1"/>
  <c r="I912" i="1"/>
  <c r="H912" i="1"/>
  <c r="G912" i="1"/>
  <c r="F912" i="1"/>
  <c r="E912" i="1"/>
  <c r="D912" i="1"/>
  <c r="C912" i="1"/>
  <c r="I911" i="1"/>
  <c r="H911" i="1"/>
  <c r="G911" i="1"/>
  <c r="F911" i="1"/>
  <c r="E911" i="1"/>
  <c r="D911" i="1"/>
  <c r="C911" i="1"/>
  <c r="I910" i="1"/>
  <c r="H910" i="1"/>
  <c r="G910" i="1"/>
  <c r="F910" i="1"/>
  <c r="E910" i="1"/>
  <c r="D910" i="1"/>
  <c r="C910" i="1"/>
  <c r="I909" i="1"/>
  <c r="H909" i="1"/>
  <c r="G909" i="1"/>
  <c r="F909" i="1"/>
  <c r="E909" i="1"/>
  <c r="D909" i="1"/>
  <c r="C909" i="1"/>
  <c r="I908" i="1"/>
  <c r="H908" i="1"/>
  <c r="G908" i="1"/>
  <c r="F908" i="1"/>
  <c r="E908" i="1"/>
  <c r="D908" i="1"/>
  <c r="C908" i="1"/>
  <c r="I907" i="1"/>
  <c r="H907" i="1"/>
  <c r="G907" i="1"/>
  <c r="F907" i="1"/>
  <c r="E907" i="1"/>
  <c r="D907" i="1"/>
  <c r="C907" i="1"/>
  <c r="I906" i="1"/>
  <c r="H906" i="1"/>
  <c r="G906" i="1"/>
  <c r="F906" i="1"/>
  <c r="E906" i="1"/>
  <c r="D906" i="1"/>
  <c r="C906" i="1"/>
  <c r="I905" i="1"/>
  <c r="H905" i="1"/>
  <c r="G905" i="1"/>
  <c r="F905" i="1"/>
  <c r="E905" i="1"/>
  <c r="D905" i="1"/>
  <c r="C905" i="1"/>
  <c r="I904" i="1"/>
  <c r="H904" i="1"/>
  <c r="G904" i="1"/>
  <c r="F904" i="1"/>
  <c r="E904" i="1"/>
  <c r="D904" i="1"/>
  <c r="C904" i="1"/>
  <c r="I903" i="1"/>
  <c r="H903" i="1"/>
  <c r="G903" i="1"/>
  <c r="F903" i="1"/>
  <c r="E903" i="1"/>
  <c r="D903" i="1"/>
  <c r="C903" i="1"/>
  <c r="I902" i="1"/>
  <c r="H902" i="1"/>
  <c r="G902" i="1"/>
  <c r="F902" i="1"/>
  <c r="E902" i="1"/>
  <c r="D902" i="1"/>
  <c r="C902" i="1"/>
  <c r="I901" i="1"/>
  <c r="H901" i="1"/>
  <c r="G901" i="1"/>
  <c r="F901" i="1"/>
  <c r="E901" i="1"/>
  <c r="D901" i="1"/>
  <c r="C901" i="1"/>
  <c r="I900" i="1"/>
  <c r="H900" i="1"/>
  <c r="G900" i="1"/>
  <c r="F900" i="1"/>
  <c r="E900" i="1"/>
  <c r="D900" i="1"/>
  <c r="C900" i="1"/>
  <c r="I899" i="1"/>
  <c r="H899" i="1"/>
  <c r="G899" i="1"/>
  <c r="F899" i="1"/>
  <c r="E899" i="1"/>
  <c r="D899" i="1"/>
  <c r="C899" i="1"/>
  <c r="I898" i="1"/>
  <c r="H898" i="1"/>
  <c r="G898" i="1"/>
  <c r="F898" i="1"/>
  <c r="E898" i="1"/>
  <c r="D898" i="1"/>
  <c r="C898" i="1"/>
  <c r="I897" i="1"/>
  <c r="H897" i="1"/>
  <c r="G897" i="1"/>
  <c r="F897" i="1"/>
  <c r="E897" i="1"/>
  <c r="D897" i="1"/>
  <c r="C897" i="1"/>
  <c r="I896" i="1"/>
  <c r="H896" i="1"/>
  <c r="G896" i="1"/>
  <c r="F896" i="1"/>
  <c r="E896" i="1"/>
  <c r="D896" i="1"/>
  <c r="C896" i="1"/>
  <c r="I895" i="1"/>
  <c r="H895" i="1"/>
  <c r="G895" i="1"/>
  <c r="F895" i="1"/>
  <c r="E895" i="1"/>
  <c r="D895" i="1"/>
  <c r="C895" i="1"/>
  <c r="I894" i="1"/>
  <c r="H894" i="1"/>
  <c r="G894" i="1"/>
  <c r="F894" i="1"/>
  <c r="E894" i="1"/>
  <c r="D894" i="1"/>
  <c r="C894" i="1"/>
  <c r="I893" i="1"/>
  <c r="H893" i="1"/>
  <c r="G893" i="1"/>
  <c r="F893" i="1"/>
  <c r="E893" i="1"/>
  <c r="D893" i="1"/>
  <c r="C893" i="1"/>
  <c r="I892" i="1"/>
  <c r="H892" i="1"/>
  <c r="G892" i="1"/>
  <c r="F892" i="1"/>
  <c r="E892" i="1"/>
  <c r="D892" i="1"/>
  <c r="C892" i="1"/>
  <c r="I891" i="1"/>
  <c r="H891" i="1"/>
  <c r="G891" i="1"/>
  <c r="F891" i="1"/>
  <c r="E891" i="1"/>
  <c r="D891" i="1"/>
  <c r="C891" i="1"/>
  <c r="I890" i="1"/>
  <c r="H890" i="1"/>
  <c r="G890" i="1"/>
  <c r="F890" i="1"/>
  <c r="E890" i="1"/>
  <c r="D890" i="1"/>
  <c r="C890" i="1"/>
  <c r="I889" i="1"/>
  <c r="H889" i="1"/>
  <c r="G889" i="1"/>
  <c r="F889" i="1"/>
  <c r="E889" i="1"/>
  <c r="D889" i="1"/>
  <c r="C889" i="1"/>
  <c r="I888" i="1"/>
  <c r="H888" i="1"/>
  <c r="G888" i="1"/>
  <c r="F888" i="1"/>
  <c r="E888" i="1"/>
  <c r="D888" i="1"/>
  <c r="C888" i="1"/>
  <c r="I887" i="1"/>
  <c r="H887" i="1"/>
  <c r="G887" i="1"/>
  <c r="F887" i="1"/>
  <c r="E887" i="1"/>
  <c r="D887" i="1"/>
  <c r="C887" i="1"/>
  <c r="I886" i="1"/>
  <c r="H886" i="1"/>
  <c r="G886" i="1"/>
  <c r="F886" i="1"/>
  <c r="E886" i="1"/>
  <c r="D886" i="1"/>
  <c r="C886" i="1"/>
  <c r="I885" i="1"/>
  <c r="H885" i="1"/>
  <c r="G885" i="1"/>
  <c r="F885" i="1"/>
  <c r="E885" i="1"/>
  <c r="D885" i="1"/>
  <c r="C885" i="1"/>
  <c r="I884" i="1"/>
  <c r="H884" i="1"/>
  <c r="G884" i="1"/>
  <c r="F884" i="1"/>
  <c r="E884" i="1"/>
  <c r="D884" i="1"/>
  <c r="C884" i="1"/>
  <c r="I883" i="1"/>
  <c r="H883" i="1"/>
  <c r="G883" i="1"/>
  <c r="F883" i="1"/>
  <c r="E883" i="1"/>
  <c r="D883" i="1"/>
  <c r="C883" i="1"/>
  <c r="I882" i="1"/>
  <c r="H882" i="1"/>
  <c r="G882" i="1"/>
  <c r="F882" i="1"/>
  <c r="E882" i="1"/>
  <c r="D882" i="1"/>
  <c r="C882" i="1"/>
  <c r="I881" i="1"/>
  <c r="H881" i="1"/>
  <c r="G881" i="1"/>
  <c r="F881" i="1"/>
  <c r="E881" i="1"/>
  <c r="D881" i="1"/>
  <c r="C881" i="1"/>
  <c r="I880" i="1"/>
  <c r="H880" i="1"/>
  <c r="G880" i="1"/>
  <c r="F880" i="1"/>
  <c r="E880" i="1"/>
  <c r="D880" i="1"/>
  <c r="C880" i="1"/>
  <c r="I879" i="1"/>
  <c r="H879" i="1"/>
  <c r="G879" i="1"/>
  <c r="F879" i="1"/>
  <c r="E879" i="1"/>
  <c r="D879" i="1"/>
  <c r="C879" i="1"/>
  <c r="I878" i="1"/>
  <c r="H878" i="1"/>
  <c r="G878" i="1"/>
  <c r="F878" i="1"/>
  <c r="E878" i="1"/>
  <c r="D878" i="1"/>
  <c r="C878" i="1"/>
  <c r="I877" i="1"/>
  <c r="H877" i="1"/>
  <c r="G877" i="1"/>
  <c r="F877" i="1"/>
  <c r="E877" i="1"/>
  <c r="D877" i="1"/>
  <c r="C877" i="1"/>
  <c r="I876" i="1"/>
  <c r="H876" i="1"/>
  <c r="G876" i="1"/>
  <c r="F876" i="1"/>
  <c r="E876" i="1"/>
  <c r="D876" i="1"/>
  <c r="C876" i="1"/>
  <c r="I875" i="1"/>
  <c r="H875" i="1"/>
  <c r="G875" i="1"/>
  <c r="F875" i="1"/>
  <c r="E875" i="1"/>
  <c r="D875" i="1"/>
  <c r="C875" i="1"/>
  <c r="I874" i="1"/>
  <c r="H874" i="1"/>
  <c r="G874" i="1"/>
  <c r="F874" i="1"/>
  <c r="E874" i="1"/>
  <c r="D874" i="1"/>
  <c r="C874" i="1"/>
  <c r="I873" i="1"/>
  <c r="H873" i="1"/>
  <c r="G873" i="1"/>
  <c r="F873" i="1"/>
  <c r="E873" i="1"/>
  <c r="D873" i="1"/>
  <c r="C873" i="1"/>
  <c r="I872" i="1"/>
  <c r="H872" i="1"/>
  <c r="G872" i="1"/>
  <c r="F872" i="1"/>
  <c r="E872" i="1"/>
  <c r="D872" i="1"/>
  <c r="C872" i="1"/>
  <c r="I871" i="1"/>
  <c r="H871" i="1"/>
  <c r="G871" i="1"/>
  <c r="F871" i="1"/>
  <c r="E871" i="1"/>
  <c r="D871" i="1"/>
  <c r="C871" i="1"/>
  <c r="I870" i="1"/>
  <c r="H870" i="1"/>
  <c r="G870" i="1"/>
  <c r="F870" i="1"/>
  <c r="E870" i="1"/>
  <c r="D870" i="1"/>
  <c r="C870" i="1"/>
  <c r="I869" i="1"/>
  <c r="H869" i="1"/>
  <c r="G869" i="1"/>
  <c r="F869" i="1"/>
  <c r="E869" i="1"/>
  <c r="D869" i="1"/>
  <c r="C869" i="1"/>
  <c r="I868" i="1"/>
  <c r="H868" i="1"/>
  <c r="G868" i="1"/>
  <c r="F868" i="1"/>
  <c r="E868" i="1"/>
  <c r="D868" i="1"/>
  <c r="C868" i="1"/>
  <c r="I867" i="1"/>
  <c r="H867" i="1"/>
  <c r="G867" i="1"/>
  <c r="F867" i="1"/>
  <c r="E867" i="1"/>
  <c r="D867" i="1"/>
  <c r="C867" i="1"/>
  <c r="I866" i="1"/>
  <c r="H866" i="1"/>
  <c r="G866" i="1"/>
  <c r="F866" i="1"/>
  <c r="E866" i="1"/>
  <c r="D866" i="1"/>
  <c r="C866" i="1"/>
  <c r="I865" i="1"/>
  <c r="H865" i="1"/>
  <c r="G865" i="1"/>
  <c r="F865" i="1"/>
  <c r="E865" i="1"/>
  <c r="D865" i="1"/>
  <c r="C865" i="1"/>
  <c r="I864" i="1"/>
  <c r="H864" i="1"/>
  <c r="G864" i="1"/>
  <c r="F864" i="1"/>
  <c r="E864" i="1"/>
  <c r="D864" i="1"/>
  <c r="C864" i="1"/>
  <c r="I863" i="1"/>
  <c r="H863" i="1"/>
  <c r="G863" i="1"/>
  <c r="F863" i="1"/>
  <c r="E863" i="1"/>
  <c r="D863" i="1"/>
  <c r="C863" i="1"/>
  <c r="I862" i="1"/>
  <c r="H862" i="1"/>
  <c r="G862" i="1"/>
  <c r="F862" i="1"/>
  <c r="E862" i="1"/>
  <c r="D862" i="1"/>
  <c r="C862" i="1"/>
  <c r="I861" i="1"/>
  <c r="H861" i="1"/>
  <c r="G861" i="1"/>
  <c r="F861" i="1"/>
  <c r="E861" i="1"/>
  <c r="D861" i="1"/>
  <c r="C861" i="1"/>
  <c r="I860" i="1"/>
  <c r="H860" i="1"/>
  <c r="G860" i="1"/>
  <c r="F860" i="1"/>
  <c r="E860" i="1"/>
  <c r="D860" i="1"/>
  <c r="C860" i="1"/>
  <c r="I859" i="1"/>
  <c r="H859" i="1"/>
  <c r="G859" i="1"/>
  <c r="F859" i="1"/>
  <c r="E859" i="1"/>
  <c r="D859" i="1"/>
  <c r="C859" i="1"/>
  <c r="I858" i="1"/>
  <c r="H858" i="1"/>
  <c r="G858" i="1"/>
  <c r="F858" i="1"/>
  <c r="E858" i="1"/>
  <c r="D858" i="1"/>
  <c r="C858" i="1"/>
  <c r="I857" i="1"/>
  <c r="H857" i="1"/>
  <c r="G857" i="1"/>
  <c r="F857" i="1"/>
  <c r="E857" i="1"/>
  <c r="D857" i="1"/>
  <c r="C857" i="1"/>
  <c r="I856" i="1"/>
  <c r="H856" i="1"/>
  <c r="G856" i="1"/>
  <c r="F856" i="1"/>
  <c r="E856" i="1"/>
  <c r="D856" i="1"/>
  <c r="C856" i="1"/>
  <c r="I855" i="1"/>
  <c r="H855" i="1"/>
  <c r="G855" i="1"/>
  <c r="F855" i="1"/>
  <c r="E855" i="1"/>
  <c r="D855" i="1"/>
  <c r="C855" i="1"/>
  <c r="I854" i="1"/>
  <c r="H854" i="1"/>
  <c r="G854" i="1"/>
  <c r="F854" i="1"/>
  <c r="E854" i="1"/>
  <c r="D854" i="1"/>
  <c r="C854" i="1"/>
  <c r="I853" i="1"/>
  <c r="H853" i="1"/>
  <c r="G853" i="1"/>
  <c r="F853" i="1"/>
  <c r="E853" i="1"/>
  <c r="D853" i="1"/>
  <c r="C853" i="1"/>
  <c r="I852" i="1"/>
  <c r="H852" i="1"/>
  <c r="G852" i="1"/>
  <c r="F852" i="1"/>
  <c r="E852" i="1"/>
  <c r="D852" i="1"/>
  <c r="C852" i="1"/>
  <c r="I851" i="1"/>
  <c r="H851" i="1"/>
  <c r="G851" i="1"/>
  <c r="F851" i="1"/>
  <c r="E851" i="1"/>
  <c r="D851" i="1"/>
  <c r="C851" i="1"/>
  <c r="I850" i="1"/>
  <c r="H850" i="1"/>
  <c r="G850" i="1"/>
  <c r="F850" i="1"/>
  <c r="E850" i="1"/>
  <c r="D850" i="1"/>
  <c r="C850" i="1"/>
  <c r="I849" i="1"/>
  <c r="H849" i="1"/>
  <c r="G849" i="1"/>
  <c r="F849" i="1"/>
  <c r="E849" i="1"/>
  <c r="D849" i="1"/>
  <c r="C849" i="1"/>
  <c r="I848" i="1"/>
  <c r="H848" i="1"/>
  <c r="G848" i="1"/>
  <c r="F848" i="1"/>
  <c r="E848" i="1"/>
  <c r="D848" i="1"/>
  <c r="C848" i="1"/>
  <c r="I847" i="1"/>
  <c r="H847" i="1"/>
  <c r="G847" i="1"/>
  <c r="F847" i="1"/>
  <c r="E847" i="1"/>
  <c r="D847" i="1"/>
  <c r="C847" i="1"/>
  <c r="I846" i="1"/>
  <c r="H846" i="1"/>
  <c r="G846" i="1"/>
  <c r="F846" i="1"/>
  <c r="E846" i="1"/>
  <c r="D846" i="1"/>
  <c r="C846" i="1"/>
  <c r="I845" i="1"/>
  <c r="H845" i="1"/>
  <c r="G845" i="1"/>
  <c r="F845" i="1"/>
  <c r="E845" i="1"/>
  <c r="D845" i="1"/>
  <c r="C845" i="1"/>
  <c r="I844" i="1"/>
  <c r="H844" i="1"/>
  <c r="G844" i="1"/>
  <c r="F844" i="1"/>
  <c r="E844" i="1"/>
  <c r="D844" i="1"/>
  <c r="C844" i="1"/>
  <c r="I843" i="1"/>
  <c r="H843" i="1"/>
  <c r="G843" i="1"/>
  <c r="F843" i="1"/>
  <c r="E843" i="1"/>
  <c r="D843" i="1"/>
  <c r="C843" i="1"/>
  <c r="I842" i="1"/>
  <c r="H842" i="1"/>
  <c r="G842" i="1"/>
  <c r="F842" i="1"/>
  <c r="E842" i="1"/>
  <c r="D842" i="1"/>
  <c r="C842" i="1"/>
  <c r="I841" i="1"/>
  <c r="H841" i="1"/>
  <c r="G841" i="1"/>
  <c r="F841" i="1"/>
  <c r="E841" i="1"/>
  <c r="D841" i="1"/>
  <c r="C841" i="1"/>
  <c r="I840" i="1"/>
  <c r="H840" i="1"/>
  <c r="G840" i="1"/>
  <c r="F840" i="1"/>
  <c r="E840" i="1"/>
  <c r="D840" i="1"/>
  <c r="C840" i="1"/>
  <c r="I839" i="1"/>
  <c r="H839" i="1"/>
  <c r="G839" i="1"/>
  <c r="F839" i="1"/>
  <c r="E839" i="1"/>
  <c r="D839" i="1"/>
  <c r="C839" i="1"/>
  <c r="I838" i="1"/>
  <c r="H838" i="1"/>
  <c r="G838" i="1"/>
  <c r="F838" i="1"/>
  <c r="E838" i="1"/>
  <c r="D838" i="1"/>
  <c r="C838" i="1"/>
  <c r="I837" i="1"/>
  <c r="H837" i="1"/>
  <c r="G837" i="1"/>
  <c r="F837" i="1"/>
  <c r="E837" i="1"/>
  <c r="D837" i="1"/>
  <c r="C837" i="1"/>
  <c r="I836" i="1"/>
  <c r="H836" i="1"/>
  <c r="G836" i="1"/>
  <c r="F836" i="1"/>
  <c r="E836" i="1"/>
  <c r="D836" i="1"/>
  <c r="C836" i="1"/>
  <c r="I835" i="1"/>
  <c r="H835" i="1"/>
  <c r="G835" i="1"/>
  <c r="F835" i="1"/>
  <c r="E835" i="1"/>
  <c r="D835" i="1"/>
  <c r="C835" i="1"/>
  <c r="I834" i="1"/>
  <c r="H834" i="1"/>
  <c r="G834" i="1"/>
  <c r="F834" i="1"/>
  <c r="E834" i="1"/>
  <c r="D834" i="1"/>
  <c r="C834" i="1"/>
  <c r="I833" i="1"/>
  <c r="H833" i="1"/>
  <c r="G833" i="1"/>
  <c r="F833" i="1"/>
  <c r="E833" i="1"/>
  <c r="D833" i="1"/>
  <c r="C833" i="1"/>
  <c r="I832" i="1"/>
  <c r="H832" i="1"/>
  <c r="G832" i="1"/>
  <c r="F832" i="1"/>
  <c r="E832" i="1"/>
  <c r="D832" i="1"/>
  <c r="C832" i="1"/>
  <c r="I831" i="1"/>
  <c r="H831" i="1"/>
  <c r="G831" i="1"/>
  <c r="F831" i="1"/>
  <c r="E831" i="1"/>
  <c r="D831" i="1"/>
  <c r="C831" i="1"/>
  <c r="I830" i="1"/>
  <c r="H830" i="1"/>
  <c r="G830" i="1"/>
  <c r="F830" i="1"/>
  <c r="E830" i="1"/>
  <c r="D830" i="1"/>
  <c r="C830" i="1"/>
  <c r="I829" i="1"/>
  <c r="H829" i="1"/>
  <c r="G829" i="1"/>
  <c r="F829" i="1"/>
  <c r="E829" i="1"/>
  <c r="D829" i="1"/>
  <c r="C829" i="1"/>
  <c r="I828" i="1"/>
  <c r="H828" i="1"/>
  <c r="G828" i="1"/>
  <c r="F828" i="1"/>
  <c r="E828" i="1"/>
  <c r="D828" i="1"/>
  <c r="C828" i="1"/>
  <c r="I827" i="1"/>
  <c r="H827" i="1"/>
  <c r="G827" i="1"/>
  <c r="F827" i="1"/>
  <c r="E827" i="1"/>
  <c r="D827" i="1"/>
  <c r="C827" i="1"/>
  <c r="I826" i="1"/>
  <c r="H826" i="1"/>
  <c r="G826" i="1"/>
  <c r="F826" i="1"/>
  <c r="E826" i="1"/>
  <c r="D826" i="1"/>
  <c r="C826" i="1"/>
  <c r="I825" i="1"/>
  <c r="H825" i="1"/>
  <c r="G825" i="1"/>
  <c r="F825" i="1"/>
  <c r="E825" i="1"/>
  <c r="D825" i="1"/>
  <c r="C825" i="1"/>
  <c r="I824" i="1"/>
  <c r="H824" i="1"/>
  <c r="G824" i="1"/>
  <c r="F824" i="1"/>
  <c r="E824" i="1"/>
  <c r="D824" i="1"/>
  <c r="C824" i="1"/>
  <c r="I823" i="1"/>
  <c r="H823" i="1"/>
  <c r="G823" i="1"/>
  <c r="F823" i="1"/>
  <c r="E823" i="1"/>
  <c r="D823" i="1"/>
  <c r="C823" i="1"/>
  <c r="I822" i="1"/>
  <c r="H822" i="1"/>
  <c r="G822" i="1"/>
  <c r="F822" i="1"/>
  <c r="E822" i="1"/>
  <c r="D822" i="1"/>
  <c r="C822" i="1"/>
  <c r="I821" i="1"/>
  <c r="H821" i="1"/>
  <c r="G821" i="1"/>
  <c r="F821" i="1"/>
  <c r="E821" i="1"/>
  <c r="D821" i="1"/>
  <c r="C821" i="1"/>
  <c r="I820" i="1"/>
  <c r="H820" i="1"/>
  <c r="G820" i="1"/>
  <c r="F820" i="1"/>
  <c r="E820" i="1"/>
  <c r="D820" i="1"/>
  <c r="C820" i="1"/>
  <c r="I819" i="1"/>
  <c r="H819" i="1"/>
  <c r="G819" i="1"/>
  <c r="F819" i="1"/>
  <c r="E819" i="1"/>
  <c r="D819" i="1"/>
  <c r="C819" i="1"/>
  <c r="I818" i="1"/>
  <c r="H818" i="1"/>
  <c r="G818" i="1"/>
  <c r="F818" i="1"/>
  <c r="E818" i="1"/>
  <c r="D818" i="1"/>
  <c r="C818" i="1"/>
  <c r="I817" i="1"/>
  <c r="H817" i="1"/>
  <c r="G817" i="1"/>
  <c r="F817" i="1"/>
  <c r="E817" i="1"/>
  <c r="D817" i="1"/>
  <c r="C817" i="1"/>
  <c r="I816" i="1"/>
  <c r="H816" i="1"/>
  <c r="G816" i="1"/>
  <c r="F816" i="1"/>
  <c r="E816" i="1"/>
  <c r="D816" i="1"/>
  <c r="C816" i="1"/>
  <c r="I815" i="1"/>
  <c r="H815" i="1"/>
  <c r="G815" i="1"/>
  <c r="F815" i="1"/>
  <c r="E815" i="1"/>
  <c r="D815" i="1"/>
  <c r="C815" i="1"/>
  <c r="I814" i="1"/>
  <c r="H814" i="1"/>
  <c r="G814" i="1"/>
  <c r="F814" i="1"/>
  <c r="E814" i="1"/>
  <c r="D814" i="1"/>
  <c r="C814" i="1"/>
  <c r="I813" i="1"/>
  <c r="H813" i="1"/>
  <c r="G813" i="1"/>
  <c r="F813" i="1"/>
  <c r="E813" i="1"/>
  <c r="D813" i="1"/>
  <c r="C813" i="1"/>
  <c r="I812" i="1"/>
  <c r="H812" i="1"/>
  <c r="G812" i="1"/>
  <c r="F812" i="1"/>
  <c r="E812" i="1"/>
  <c r="D812" i="1"/>
  <c r="C812" i="1"/>
  <c r="I811" i="1"/>
  <c r="H811" i="1"/>
  <c r="G811" i="1"/>
  <c r="F811" i="1"/>
  <c r="E811" i="1"/>
  <c r="D811" i="1"/>
  <c r="C811" i="1"/>
  <c r="I810" i="1"/>
  <c r="H810" i="1"/>
  <c r="G810" i="1"/>
  <c r="F810" i="1"/>
  <c r="E810" i="1"/>
  <c r="D810" i="1"/>
  <c r="C810" i="1"/>
  <c r="I809" i="1"/>
  <c r="H809" i="1"/>
  <c r="G809" i="1"/>
  <c r="F809" i="1"/>
  <c r="E809" i="1"/>
  <c r="D809" i="1"/>
  <c r="C809" i="1"/>
  <c r="I808" i="1"/>
  <c r="H808" i="1"/>
  <c r="G808" i="1"/>
  <c r="F808" i="1"/>
  <c r="E808" i="1"/>
  <c r="D808" i="1"/>
  <c r="C808" i="1"/>
  <c r="I807" i="1"/>
  <c r="H807" i="1"/>
  <c r="G807" i="1"/>
  <c r="F807" i="1"/>
  <c r="E807" i="1"/>
  <c r="D807" i="1"/>
  <c r="C807" i="1"/>
  <c r="I806" i="1"/>
  <c r="H806" i="1"/>
  <c r="G806" i="1"/>
  <c r="F806" i="1"/>
  <c r="E806" i="1"/>
  <c r="D806" i="1"/>
  <c r="C806" i="1"/>
  <c r="I805" i="1"/>
  <c r="H805" i="1"/>
  <c r="G805" i="1"/>
  <c r="F805" i="1"/>
  <c r="E805" i="1"/>
  <c r="D805" i="1"/>
  <c r="C805" i="1"/>
  <c r="I804" i="1"/>
  <c r="H804" i="1"/>
  <c r="G804" i="1"/>
  <c r="F804" i="1"/>
  <c r="E804" i="1"/>
  <c r="D804" i="1"/>
  <c r="C804" i="1"/>
  <c r="I803" i="1"/>
  <c r="H803" i="1"/>
  <c r="G803" i="1"/>
  <c r="F803" i="1"/>
  <c r="E803" i="1"/>
  <c r="D803" i="1"/>
  <c r="C803" i="1"/>
  <c r="I802" i="1"/>
  <c r="H802" i="1"/>
  <c r="G802" i="1"/>
  <c r="F802" i="1"/>
  <c r="E802" i="1"/>
  <c r="D802" i="1"/>
  <c r="C802" i="1"/>
  <c r="I801" i="1"/>
  <c r="H801" i="1"/>
  <c r="G801" i="1"/>
  <c r="F801" i="1"/>
  <c r="E801" i="1"/>
  <c r="D801" i="1"/>
  <c r="C801" i="1"/>
  <c r="I800" i="1"/>
  <c r="H800" i="1"/>
  <c r="G800" i="1"/>
  <c r="F800" i="1"/>
  <c r="E800" i="1"/>
  <c r="D800" i="1"/>
  <c r="C800" i="1"/>
  <c r="I799" i="1"/>
  <c r="H799" i="1"/>
  <c r="G799" i="1"/>
  <c r="F799" i="1"/>
  <c r="E799" i="1"/>
  <c r="D799" i="1"/>
  <c r="C799" i="1"/>
  <c r="I798" i="1"/>
  <c r="H798" i="1"/>
  <c r="G798" i="1"/>
  <c r="F798" i="1"/>
  <c r="E798" i="1"/>
  <c r="D798" i="1"/>
  <c r="C798" i="1"/>
  <c r="I797" i="1"/>
  <c r="H797" i="1"/>
  <c r="G797" i="1"/>
  <c r="F797" i="1"/>
  <c r="E797" i="1"/>
  <c r="D797" i="1"/>
  <c r="C797" i="1"/>
  <c r="I796" i="1"/>
  <c r="H796" i="1"/>
  <c r="G796" i="1"/>
  <c r="F796" i="1"/>
  <c r="E796" i="1"/>
  <c r="D796" i="1"/>
  <c r="C796" i="1"/>
  <c r="I795" i="1"/>
  <c r="H795" i="1"/>
  <c r="G795" i="1"/>
  <c r="F795" i="1"/>
  <c r="E795" i="1"/>
  <c r="D795" i="1"/>
  <c r="C795" i="1"/>
  <c r="I794" i="1"/>
  <c r="H794" i="1"/>
  <c r="G794" i="1"/>
  <c r="F794" i="1"/>
  <c r="E794" i="1"/>
  <c r="D794" i="1"/>
  <c r="C794" i="1"/>
  <c r="I793" i="1"/>
  <c r="H793" i="1"/>
  <c r="G793" i="1"/>
  <c r="F793" i="1"/>
  <c r="E793" i="1"/>
  <c r="D793" i="1"/>
  <c r="C793" i="1"/>
  <c r="I792" i="1"/>
  <c r="H792" i="1"/>
  <c r="G792" i="1"/>
  <c r="F792" i="1"/>
  <c r="E792" i="1"/>
  <c r="D792" i="1"/>
  <c r="C792" i="1"/>
  <c r="I791" i="1"/>
  <c r="H791" i="1"/>
  <c r="G791" i="1"/>
  <c r="F791" i="1"/>
  <c r="E791" i="1"/>
  <c r="D791" i="1"/>
  <c r="C791" i="1"/>
  <c r="I790" i="1"/>
  <c r="H790" i="1"/>
  <c r="G790" i="1"/>
  <c r="F790" i="1"/>
  <c r="E790" i="1"/>
  <c r="D790" i="1"/>
  <c r="C790" i="1"/>
  <c r="I789" i="1"/>
  <c r="H789" i="1"/>
  <c r="G789" i="1"/>
  <c r="F789" i="1"/>
  <c r="E789" i="1"/>
  <c r="D789" i="1"/>
  <c r="C789" i="1"/>
  <c r="I788" i="1"/>
  <c r="H788" i="1"/>
  <c r="G788" i="1"/>
  <c r="F788" i="1"/>
  <c r="E788" i="1"/>
  <c r="D788" i="1"/>
  <c r="C788" i="1"/>
  <c r="I787" i="1"/>
  <c r="H787" i="1"/>
  <c r="G787" i="1"/>
  <c r="F787" i="1"/>
  <c r="E787" i="1"/>
  <c r="D787" i="1"/>
  <c r="C787" i="1"/>
  <c r="I786" i="1"/>
  <c r="H786" i="1"/>
  <c r="G786" i="1"/>
  <c r="F786" i="1"/>
  <c r="E786" i="1"/>
  <c r="D786" i="1"/>
  <c r="C786" i="1"/>
  <c r="I785" i="1"/>
  <c r="H785" i="1"/>
  <c r="G785" i="1"/>
  <c r="F785" i="1"/>
  <c r="E785" i="1"/>
  <c r="D785" i="1"/>
  <c r="C785" i="1"/>
  <c r="I784" i="1"/>
  <c r="H784" i="1"/>
  <c r="G784" i="1"/>
  <c r="F784" i="1"/>
  <c r="E784" i="1"/>
  <c r="D784" i="1"/>
  <c r="C784" i="1"/>
  <c r="I783" i="1"/>
  <c r="H783" i="1"/>
  <c r="G783" i="1"/>
  <c r="F783" i="1"/>
  <c r="E783" i="1"/>
  <c r="D783" i="1"/>
  <c r="C783" i="1"/>
  <c r="I782" i="1"/>
  <c r="H782" i="1"/>
  <c r="G782" i="1"/>
  <c r="F782" i="1"/>
  <c r="E782" i="1"/>
  <c r="D782" i="1"/>
  <c r="C782" i="1"/>
  <c r="I781" i="1"/>
  <c r="H781" i="1"/>
  <c r="G781" i="1"/>
  <c r="F781" i="1"/>
  <c r="E781" i="1"/>
  <c r="D781" i="1"/>
  <c r="C781" i="1"/>
  <c r="I780" i="1"/>
  <c r="H780" i="1"/>
  <c r="G780" i="1"/>
  <c r="F780" i="1"/>
  <c r="E780" i="1"/>
  <c r="D780" i="1"/>
  <c r="C780" i="1"/>
  <c r="I779" i="1"/>
  <c r="H779" i="1"/>
  <c r="G779" i="1"/>
  <c r="F779" i="1"/>
  <c r="E779" i="1"/>
  <c r="D779" i="1"/>
  <c r="C779" i="1"/>
  <c r="I778" i="1"/>
  <c r="H778" i="1"/>
  <c r="G778" i="1"/>
  <c r="F778" i="1"/>
  <c r="E778" i="1"/>
  <c r="D778" i="1"/>
  <c r="C778" i="1"/>
  <c r="I777" i="1"/>
  <c r="H777" i="1"/>
  <c r="G777" i="1"/>
  <c r="F777" i="1"/>
  <c r="E777" i="1"/>
  <c r="D777" i="1"/>
  <c r="C777" i="1"/>
  <c r="I776" i="1"/>
  <c r="H776" i="1"/>
  <c r="G776" i="1"/>
  <c r="F776" i="1"/>
  <c r="E776" i="1"/>
  <c r="D776" i="1"/>
  <c r="C776" i="1"/>
  <c r="I775" i="1"/>
  <c r="H775" i="1"/>
  <c r="G775" i="1"/>
  <c r="F775" i="1"/>
  <c r="E775" i="1"/>
  <c r="D775" i="1"/>
  <c r="C775" i="1"/>
  <c r="I774" i="1"/>
  <c r="H774" i="1"/>
  <c r="G774" i="1"/>
  <c r="F774" i="1"/>
  <c r="E774" i="1"/>
  <c r="D774" i="1"/>
  <c r="C774" i="1"/>
  <c r="I773" i="1"/>
  <c r="H773" i="1"/>
  <c r="G773" i="1"/>
  <c r="F773" i="1"/>
  <c r="E773" i="1"/>
  <c r="D773" i="1"/>
  <c r="C773" i="1"/>
  <c r="I772" i="1"/>
  <c r="H772" i="1"/>
  <c r="G772" i="1"/>
  <c r="F772" i="1"/>
  <c r="E772" i="1"/>
  <c r="D772" i="1"/>
  <c r="C772" i="1"/>
  <c r="I771" i="1"/>
  <c r="H771" i="1"/>
  <c r="G771" i="1"/>
  <c r="F771" i="1"/>
  <c r="E771" i="1"/>
  <c r="D771" i="1"/>
  <c r="C771" i="1"/>
  <c r="I770" i="1"/>
  <c r="H770" i="1"/>
  <c r="G770" i="1"/>
  <c r="F770" i="1"/>
  <c r="E770" i="1"/>
  <c r="D770" i="1"/>
  <c r="C770" i="1"/>
  <c r="I769" i="1"/>
  <c r="H769" i="1"/>
  <c r="G769" i="1"/>
  <c r="F769" i="1"/>
  <c r="E769" i="1"/>
  <c r="D769" i="1"/>
  <c r="C769" i="1"/>
  <c r="I768" i="1"/>
  <c r="H768" i="1"/>
  <c r="G768" i="1"/>
  <c r="F768" i="1"/>
  <c r="E768" i="1"/>
  <c r="D768" i="1"/>
  <c r="C768" i="1"/>
  <c r="I767" i="1"/>
  <c r="H767" i="1"/>
  <c r="G767" i="1"/>
  <c r="F767" i="1"/>
  <c r="E767" i="1"/>
  <c r="D767" i="1"/>
  <c r="C767" i="1"/>
  <c r="I766" i="1"/>
  <c r="H766" i="1"/>
  <c r="G766" i="1"/>
  <c r="F766" i="1"/>
  <c r="E766" i="1"/>
  <c r="D766" i="1"/>
  <c r="C766" i="1"/>
  <c r="I765" i="1"/>
  <c r="H765" i="1"/>
  <c r="G765" i="1"/>
  <c r="F765" i="1"/>
  <c r="E765" i="1"/>
  <c r="D765" i="1"/>
  <c r="C765" i="1"/>
  <c r="I764" i="1"/>
  <c r="H764" i="1"/>
  <c r="G764" i="1"/>
  <c r="F764" i="1"/>
  <c r="E764" i="1"/>
  <c r="D764" i="1"/>
  <c r="C764" i="1"/>
  <c r="I763" i="1"/>
  <c r="H763" i="1"/>
  <c r="G763" i="1"/>
  <c r="F763" i="1"/>
  <c r="E763" i="1"/>
  <c r="D763" i="1"/>
  <c r="C763" i="1"/>
  <c r="I762" i="1"/>
  <c r="H762" i="1"/>
  <c r="G762" i="1"/>
  <c r="F762" i="1"/>
  <c r="E762" i="1"/>
  <c r="D762" i="1"/>
  <c r="C762" i="1"/>
  <c r="I761" i="1"/>
  <c r="H761" i="1"/>
  <c r="G761" i="1"/>
  <c r="F761" i="1"/>
  <c r="E761" i="1"/>
  <c r="D761" i="1"/>
  <c r="C761" i="1"/>
  <c r="I760" i="1"/>
  <c r="H760" i="1"/>
  <c r="G760" i="1"/>
  <c r="F760" i="1"/>
  <c r="E760" i="1"/>
  <c r="D760" i="1"/>
  <c r="C760" i="1"/>
  <c r="I759" i="1"/>
  <c r="H759" i="1"/>
  <c r="G759" i="1"/>
  <c r="F759" i="1"/>
  <c r="E759" i="1"/>
  <c r="D759" i="1"/>
  <c r="C759" i="1"/>
  <c r="I758" i="1"/>
  <c r="H758" i="1"/>
  <c r="G758" i="1"/>
  <c r="F758" i="1"/>
  <c r="E758" i="1"/>
  <c r="D758" i="1"/>
  <c r="C758" i="1"/>
  <c r="I757" i="1"/>
  <c r="H757" i="1"/>
  <c r="G757" i="1"/>
  <c r="F757" i="1"/>
  <c r="E757" i="1"/>
  <c r="D757" i="1"/>
  <c r="C757" i="1"/>
  <c r="I756" i="1"/>
  <c r="H756" i="1"/>
  <c r="G756" i="1"/>
  <c r="F756" i="1"/>
  <c r="E756" i="1"/>
  <c r="D756" i="1"/>
  <c r="C756" i="1"/>
  <c r="I755" i="1"/>
  <c r="H755" i="1"/>
  <c r="G755" i="1"/>
  <c r="F755" i="1"/>
  <c r="E755" i="1"/>
  <c r="D755" i="1"/>
  <c r="C755" i="1"/>
  <c r="I754" i="1"/>
  <c r="H754" i="1"/>
  <c r="G754" i="1"/>
  <c r="F754" i="1"/>
  <c r="E754" i="1"/>
  <c r="D754" i="1"/>
  <c r="C754" i="1"/>
  <c r="I753" i="1"/>
  <c r="H753" i="1"/>
  <c r="G753" i="1"/>
  <c r="F753" i="1"/>
  <c r="E753" i="1"/>
  <c r="D753" i="1"/>
  <c r="C753" i="1"/>
  <c r="I752" i="1"/>
  <c r="H752" i="1"/>
  <c r="G752" i="1"/>
  <c r="F752" i="1"/>
  <c r="E752" i="1"/>
  <c r="D752" i="1"/>
  <c r="C752" i="1"/>
  <c r="I751" i="1"/>
  <c r="H751" i="1"/>
  <c r="G751" i="1"/>
  <c r="F751" i="1"/>
  <c r="E751" i="1"/>
  <c r="D751" i="1"/>
  <c r="C751" i="1"/>
  <c r="I750" i="1"/>
  <c r="H750" i="1"/>
  <c r="G750" i="1"/>
  <c r="F750" i="1"/>
  <c r="E750" i="1"/>
  <c r="D750" i="1"/>
  <c r="C750" i="1"/>
  <c r="I749" i="1"/>
  <c r="H749" i="1"/>
  <c r="G749" i="1"/>
  <c r="F749" i="1"/>
  <c r="E749" i="1"/>
  <c r="D749" i="1"/>
  <c r="C749" i="1"/>
  <c r="I748" i="1"/>
  <c r="H748" i="1"/>
  <c r="G748" i="1"/>
  <c r="F748" i="1"/>
  <c r="E748" i="1"/>
  <c r="D748" i="1"/>
  <c r="C748" i="1"/>
  <c r="I747" i="1"/>
  <c r="H747" i="1"/>
  <c r="G747" i="1"/>
  <c r="F747" i="1"/>
  <c r="E747" i="1"/>
  <c r="D747" i="1"/>
  <c r="C747" i="1"/>
  <c r="I746" i="1"/>
  <c r="H746" i="1"/>
  <c r="G746" i="1"/>
  <c r="F746" i="1"/>
  <c r="E746" i="1"/>
  <c r="D746" i="1"/>
  <c r="C746" i="1"/>
  <c r="I745" i="1"/>
  <c r="H745" i="1"/>
  <c r="G745" i="1"/>
  <c r="F745" i="1"/>
  <c r="E745" i="1"/>
  <c r="D745" i="1"/>
  <c r="C745" i="1"/>
  <c r="I744" i="1"/>
  <c r="H744" i="1"/>
  <c r="G744" i="1"/>
  <c r="F744" i="1"/>
  <c r="E744" i="1"/>
  <c r="D744" i="1"/>
  <c r="C744" i="1"/>
  <c r="I743" i="1"/>
  <c r="H743" i="1"/>
  <c r="G743" i="1"/>
  <c r="F743" i="1"/>
  <c r="E743" i="1"/>
  <c r="D743" i="1"/>
  <c r="C743" i="1"/>
  <c r="I742" i="1"/>
  <c r="H742" i="1"/>
  <c r="G742" i="1"/>
  <c r="F742" i="1"/>
  <c r="E742" i="1"/>
  <c r="D742" i="1"/>
  <c r="C742" i="1"/>
  <c r="I741" i="1"/>
  <c r="H741" i="1"/>
  <c r="G741" i="1"/>
  <c r="F741" i="1"/>
  <c r="E741" i="1"/>
  <c r="D741" i="1"/>
  <c r="C741" i="1"/>
  <c r="I740" i="1"/>
  <c r="H740" i="1"/>
  <c r="G740" i="1"/>
  <c r="F740" i="1"/>
  <c r="E740" i="1"/>
  <c r="D740" i="1"/>
  <c r="C740" i="1"/>
  <c r="I739" i="1"/>
  <c r="H739" i="1"/>
  <c r="G739" i="1"/>
  <c r="F739" i="1"/>
  <c r="E739" i="1"/>
  <c r="D739" i="1"/>
  <c r="C739" i="1"/>
  <c r="I738" i="1"/>
  <c r="H738" i="1"/>
  <c r="G738" i="1"/>
  <c r="F738" i="1"/>
  <c r="E738" i="1"/>
  <c r="D738" i="1"/>
  <c r="C738" i="1"/>
  <c r="I737" i="1"/>
  <c r="H737" i="1"/>
  <c r="G737" i="1"/>
  <c r="F737" i="1"/>
  <c r="E737" i="1"/>
  <c r="D737" i="1"/>
  <c r="C737" i="1"/>
  <c r="I736" i="1"/>
  <c r="H736" i="1"/>
  <c r="G736" i="1"/>
  <c r="F736" i="1"/>
  <c r="E736" i="1"/>
  <c r="D736" i="1"/>
  <c r="C736" i="1"/>
  <c r="I735" i="1"/>
  <c r="H735" i="1"/>
  <c r="G735" i="1"/>
  <c r="F735" i="1"/>
  <c r="E735" i="1"/>
  <c r="D735" i="1"/>
  <c r="C735" i="1"/>
  <c r="I734" i="1"/>
  <c r="H734" i="1"/>
  <c r="G734" i="1"/>
  <c r="F734" i="1"/>
  <c r="E734" i="1"/>
  <c r="D734" i="1"/>
  <c r="C734" i="1"/>
  <c r="I733" i="1"/>
  <c r="H733" i="1"/>
  <c r="G733" i="1"/>
  <c r="F733" i="1"/>
  <c r="E733" i="1"/>
  <c r="D733" i="1"/>
  <c r="C733" i="1"/>
  <c r="I732" i="1"/>
  <c r="H732" i="1"/>
  <c r="G732" i="1"/>
  <c r="F732" i="1"/>
  <c r="E732" i="1"/>
  <c r="D732" i="1"/>
  <c r="C732" i="1"/>
  <c r="I731" i="1"/>
  <c r="H731" i="1"/>
  <c r="G731" i="1"/>
  <c r="F731" i="1"/>
  <c r="E731" i="1"/>
  <c r="D731" i="1"/>
  <c r="C731" i="1"/>
  <c r="I730" i="1"/>
  <c r="H730" i="1"/>
  <c r="G730" i="1"/>
  <c r="F730" i="1"/>
  <c r="E730" i="1"/>
  <c r="D730" i="1"/>
  <c r="C730" i="1"/>
  <c r="I729" i="1"/>
  <c r="H729" i="1"/>
  <c r="G729" i="1"/>
  <c r="F729" i="1"/>
  <c r="E729" i="1"/>
  <c r="D729" i="1"/>
  <c r="C729" i="1"/>
  <c r="I728" i="1"/>
  <c r="H728" i="1"/>
  <c r="G728" i="1"/>
  <c r="F728" i="1"/>
  <c r="E728" i="1"/>
  <c r="D728" i="1"/>
  <c r="C728" i="1"/>
  <c r="I727" i="1"/>
  <c r="H727" i="1"/>
  <c r="G727" i="1"/>
  <c r="F727" i="1"/>
  <c r="E727" i="1"/>
  <c r="D727" i="1"/>
  <c r="C727" i="1"/>
  <c r="I726" i="1"/>
  <c r="H726" i="1"/>
  <c r="G726" i="1"/>
  <c r="F726" i="1"/>
  <c r="E726" i="1"/>
  <c r="D726" i="1"/>
  <c r="C726" i="1"/>
  <c r="I725" i="1"/>
  <c r="H725" i="1"/>
  <c r="G725" i="1"/>
  <c r="F725" i="1"/>
  <c r="E725" i="1"/>
  <c r="D725" i="1"/>
  <c r="C725" i="1"/>
  <c r="I724" i="1"/>
  <c r="H724" i="1"/>
  <c r="G724" i="1"/>
  <c r="F724" i="1"/>
  <c r="E724" i="1"/>
  <c r="D724" i="1"/>
  <c r="C724" i="1"/>
  <c r="I723" i="1"/>
  <c r="H723" i="1"/>
  <c r="G723" i="1"/>
  <c r="F723" i="1"/>
  <c r="E723" i="1"/>
  <c r="D723" i="1"/>
  <c r="C723" i="1"/>
  <c r="I722" i="1"/>
  <c r="H722" i="1"/>
  <c r="G722" i="1"/>
  <c r="F722" i="1"/>
  <c r="E722" i="1"/>
  <c r="D722" i="1"/>
  <c r="C722" i="1"/>
  <c r="I721" i="1"/>
  <c r="H721" i="1"/>
  <c r="G721" i="1"/>
  <c r="F721" i="1"/>
  <c r="E721" i="1"/>
  <c r="D721" i="1"/>
  <c r="C721" i="1"/>
  <c r="I720" i="1"/>
  <c r="H720" i="1"/>
  <c r="G720" i="1"/>
  <c r="F720" i="1"/>
  <c r="E720" i="1"/>
  <c r="D720" i="1"/>
  <c r="C720" i="1"/>
  <c r="I719" i="1"/>
  <c r="H719" i="1"/>
  <c r="G719" i="1"/>
  <c r="F719" i="1"/>
  <c r="E719" i="1"/>
  <c r="D719" i="1"/>
  <c r="C719" i="1"/>
  <c r="I718" i="1"/>
  <c r="H718" i="1"/>
  <c r="G718" i="1"/>
  <c r="F718" i="1"/>
  <c r="E718" i="1"/>
  <c r="D718" i="1"/>
  <c r="C718" i="1"/>
  <c r="I717" i="1"/>
  <c r="H717" i="1"/>
  <c r="G717" i="1"/>
  <c r="F717" i="1"/>
  <c r="E717" i="1"/>
  <c r="D717" i="1"/>
  <c r="C717" i="1"/>
  <c r="I716" i="1"/>
  <c r="H716" i="1"/>
  <c r="G716" i="1"/>
  <c r="F716" i="1"/>
  <c r="E716" i="1"/>
  <c r="D716" i="1"/>
  <c r="C716" i="1"/>
  <c r="I715" i="1"/>
  <c r="H715" i="1"/>
  <c r="G715" i="1"/>
  <c r="F715" i="1"/>
  <c r="E715" i="1"/>
  <c r="D715" i="1"/>
  <c r="C715" i="1"/>
  <c r="I714" i="1"/>
  <c r="H714" i="1"/>
  <c r="G714" i="1"/>
  <c r="F714" i="1"/>
  <c r="E714" i="1"/>
  <c r="D714" i="1"/>
  <c r="C714" i="1"/>
  <c r="I713" i="1"/>
  <c r="H713" i="1"/>
  <c r="G713" i="1"/>
  <c r="F713" i="1"/>
  <c r="E713" i="1"/>
  <c r="D713" i="1"/>
  <c r="C713" i="1"/>
  <c r="I712" i="1"/>
  <c r="H712" i="1"/>
  <c r="G712" i="1"/>
  <c r="F712" i="1"/>
  <c r="E712" i="1"/>
  <c r="D712" i="1"/>
  <c r="C712" i="1"/>
  <c r="I711" i="1"/>
  <c r="H711" i="1"/>
  <c r="G711" i="1"/>
  <c r="F711" i="1"/>
  <c r="E711" i="1"/>
  <c r="D711" i="1"/>
  <c r="C711" i="1"/>
  <c r="I710" i="1"/>
  <c r="H710" i="1"/>
  <c r="G710" i="1"/>
  <c r="F710" i="1"/>
  <c r="E710" i="1"/>
  <c r="D710" i="1"/>
  <c r="C710" i="1"/>
  <c r="I709" i="1"/>
  <c r="H709" i="1"/>
  <c r="G709" i="1"/>
  <c r="F709" i="1"/>
  <c r="E709" i="1"/>
  <c r="D709" i="1"/>
  <c r="C709" i="1"/>
  <c r="I708" i="1"/>
  <c r="H708" i="1"/>
  <c r="G708" i="1"/>
  <c r="F708" i="1"/>
  <c r="E708" i="1"/>
  <c r="D708" i="1"/>
  <c r="C708" i="1"/>
  <c r="I707" i="1"/>
  <c r="H707" i="1"/>
  <c r="G707" i="1"/>
  <c r="F707" i="1"/>
  <c r="E707" i="1"/>
  <c r="D707" i="1"/>
  <c r="C707" i="1"/>
  <c r="I706" i="1"/>
  <c r="H706" i="1"/>
  <c r="G706" i="1"/>
  <c r="F706" i="1"/>
  <c r="E706" i="1"/>
  <c r="D706" i="1"/>
  <c r="C706" i="1"/>
  <c r="I705" i="1"/>
  <c r="H705" i="1"/>
  <c r="G705" i="1"/>
  <c r="F705" i="1"/>
  <c r="E705" i="1"/>
  <c r="D705" i="1"/>
  <c r="C705" i="1"/>
  <c r="I704" i="1"/>
  <c r="H704" i="1"/>
  <c r="G704" i="1"/>
  <c r="F704" i="1"/>
  <c r="E704" i="1"/>
  <c r="D704" i="1"/>
  <c r="C704" i="1"/>
  <c r="I703" i="1"/>
  <c r="H703" i="1"/>
  <c r="G703" i="1"/>
  <c r="F703" i="1"/>
  <c r="E703" i="1"/>
  <c r="D703" i="1"/>
  <c r="C703" i="1"/>
  <c r="I702" i="1"/>
  <c r="H702" i="1"/>
  <c r="G702" i="1"/>
  <c r="F702" i="1"/>
  <c r="E702" i="1"/>
  <c r="D702" i="1"/>
  <c r="C702" i="1"/>
  <c r="I701" i="1"/>
  <c r="H701" i="1"/>
  <c r="G701" i="1"/>
  <c r="F701" i="1"/>
  <c r="E701" i="1"/>
  <c r="D701" i="1"/>
  <c r="C701" i="1"/>
  <c r="I700" i="1"/>
  <c r="H700" i="1"/>
  <c r="G700" i="1"/>
  <c r="F700" i="1"/>
  <c r="E700" i="1"/>
  <c r="D700" i="1"/>
  <c r="C700" i="1"/>
  <c r="I699" i="1"/>
  <c r="H699" i="1"/>
  <c r="G699" i="1"/>
  <c r="F699" i="1"/>
  <c r="E699" i="1"/>
  <c r="D699" i="1"/>
  <c r="C699" i="1"/>
  <c r="I698" i="1"/>
  <c r="H698" i="1"/>
  <c r="G698" i="1"/>
  <c r="F698" i="1"/>
  <c r="E698" i="1"/>
  <c r="D698" i="1"/>
  <c r="C698" i="1"/>
  <c r="I697" i="1"/>
  <c r="H697" i="1"/>
  <c r="G697" i="1"/>
  <c r="F697" i="1"/>
  <c r="E697" i="1"/>
  <c r="D697" i="1"/>
  <c r="C697" i="1"/>
  <c r="I696" i="1"/>
  <c r="H696" i="1"/>
  <c r="G696" i="1"/>
  <c r="F696" i="1"/>
  <c r="E696" i="1"/>
  <c r="D696" i="1"/>
  <c r="C696" i="1"/>
  <c r="I695" i="1"/>
  <c r="H695" i="1"/>
  <c r="G695" i="1"/>
  <c r="F695" i="1"/>
  <c r="E695" i="1"/>
  <c r="D695" i="1"/>
  <c r="C695" i="1"/>
  <c r="I694" i="1"/>
  <c r="H694" i="1"/>
  <c r="G694" i="1"/>
  <c r="F694" i="1"/>
  <c r="E694" i="1"/>
  <c r="D694" i="1"/>
  <c r="C694" i="1"/>
  <c r="I693" i="1"/>
  <c r="H693" i="1"/>
  <c r="G693" i="1"/>
  <c r="F693" i="1"/>
  <c r="E693" i="1"/>
  <c r="D693" i="1"/>
  <c r="C693" i="1"/>
  <c r="I692" i="1"/>
  <c r="H692" i="1"/>
  <c r="G692" i="1"/>
  <c r="F692" i="1"/>
  <c r="E692" i="1"/>
  <c r="D692" i="1"/>
  <c r="C692" i="1"/>
  <c r="I691" i="1"/>
  <c r="H691" i="1"/>
  <c r="G691" i="1"/>
  <c r="F691" i="1"/>
  <c r="E691" i="1"/>
  <c r="D691" i="1"/>
  <c r="C691" i="1"/>
  <c r="I690" i="1"/>
  <c r="H690" i="1"/>
  <c r="G690" i="1"/>
  <c r="F690" i="1"/>
  <c r="E690" i="1"/>
  <c r="D690" i="1"/>
  <c r="C690" i="1"/>
  <c r="I689" i="1"/>
  <c r="H689" i="1"/>
  <c r="G689" i="1"/>
  <c r="F689" i="1"/>
  <c r="E689" i="1"/>
  <c r="D689" i="1"/>
  <c r="C689" i="1"/>
  <c r="I688" i="1"/>
  <c r="H688" i="1"/>
  <c r="G688" i="1"/>
  <c r="F688" i="1"/>
  <c r="E688" i="1"/>
  <c r="D688" i="1"/>
  <c r="C688" i="1"/>
  <c r="I687" i="1"/>
  <c r="H687" i="1"/>
  <c r="G687" i="1"/>
  <c r="F687" i="1"/>
  <c r="E687" i="1"/>
  <c r="D687" i="1"/>
  <c r="C687" i="1"/>
  <c r="I686" i="1"/>
  <c r="H686" i="1"/>
  <c r="G686" i="1"/>
  <c r="F686" i="1"/>
  <c r="E686" i="1"/>
  <c r="D686" i="1"/>
  <c r="C686" i="1"/>
  <c r="I685" i="1"/>
  <c r="H685" i="1"/>
  <c r="G685" i="1"/>
  <c r="F685" i="1"/>
  <c r="E685" i="1"/>
  <c r="D685" i="1"/>
  <c r="C685" i="1"/>
  <c r="I684" i="1"/>
  <c r="H684" i="1"/>
  <c r="G684" i="1"/>
  <c r="F684" i="1"/>
  <c r="E684" i="1"/>
  <c r="D684" i="1"/>
  <c r="C684" i="1"/>
  <c r="I683" i="1"/>
  <c r="H683" i="1"/>
  <c r="G683" i="1"/>
  <c r="F683" i="1"/>
  <c r="E683" i="1"/>
  <c r="D683" i="1"/>
  <c r="C683" i="1"/>
  <c r="I682" i="1"/>
  <c r="H682" i="1"/>
  <c r="G682" i="1"/>
  <c r="F682" i="1"/>
  <c r="E682" i="1"/>
  <c r="D682" i="1"/>
  <c r="C682" i="1"/>
  <c r="I681" i="1"/>
  <c r="H681" i="1"/>
  <c r="G681" i="1"/>
  <c r="F681" i="1"/>
  <c r="E681" i="1"/>
  <c r="D681" i="1"/>
  <c r="C681" i="1"/>
  <c r="I680" i="1"/>
  <c r="H680" i="1"/>
  <c r="G680" i="1"/>
  <c r="F680" i="1"/>
  <c r="E680" i="1"/>
  <c r="D680" i="1"/>
  <c r="C680" i="1"/>
  <c r="I679" i="1"/>
  <c r="H679" i="1"/>
  <c r="G679" i="1"/>
  <c r="F679" i="1"/>
  <c r="E679" i="1"/>
  <c r="D679" i="1"/>
  <c r="C679" i="1"/>
  <c r="I678" i="1"/>
  <c r="H678" i="1"/>
  <c r="G678" i="1"/>
  <c r="F678" i="1"/>
  <c r="E678" i="1"/>
  <c r="D678" i="1"/>
  <c r="C678" i="1"/>
  <c r="I677" i="1"/>
  <c r="H677" i="1"/>
  <c r="G677" i="1"/>
  <c r="F677" i="1"/>
  <c r="E677" i="1"/>
  <c r="D677" i="1"/>
  <c r="C677" i="1"/>
  <c r="I676" i="1"/>
  <c r="H676" i="1"/>
  <c r="G676" i="1"/>
  <c r="F676" i="1"/>
  <c r="E676" i="1"/>
  <c r="D676" i="1"/>
  <c r="C676" i="1"/>
  <c r="I675" i="1"/>
  <c r="H675" i="1"/>
  <c r="G675" i="1"/>
  <c r="F675" i="1"/>
  <c r="E675" i="1"/>
  <c r="D675" i="1"/>
  <c r="C675" i="1"/>
  <c r="I674" i="1"/>
  <c r="H674" i="1"/>
  <c r="G674" i="1"/>
  <c r="F674" i="1"/>
  <c r="E674" i="1"/>
  <c r="D674" i="1"/>
  <c r="C674" i="1"/>
  <c r="I673" i="1"/>
  <c r="H673" i="1"/>
  <c r="G673" i="1"/>
  <c r="F673" i="1"/>
  <c r="E673" i="1"/>
  <c r="D673" i="1"/>
  <c r="C673" i="1"/>
  <c r="I672" i="1"/>
  <c r="H672" i="1"/>
  <c r="G672" i="1"/>
  <c r="F672" i="1"/>
  <c r="E672" i="1"/>
  <c r="D672" i="1"/>
  <c r="C672" i="1"/>
  <c r="I671" i="1"/>
  <c r="H671" i="1"/>
  <c r="G671" i="1"/>
  <c r="F671" i="1"/>
  <c r="E671" i="1"/>
  <c r="D671" i="1"/>
  <c r="C671" i="1"/>
  <c r="I670" i="1"/>
  <c r="H670" i="1"/>
  <c r="G670" i="1"/>
  <c r="F670" i="1"/>
  <c r="E670" i="1"/>
  <c r="D670" i="1"/>
  <c r="C670" i="1"/>
  <c r="I669" i="1"/>
  <c r="H669" i="1"/>
  <c r="G669" i="1"/>
  <c r="F669" i="1"/>
  <c r="E669" i="1"/>
  <c r="D669" i="1"/>
  <c r="C669" i="1"/>
  <c r="I668" i="1"/>
  <c r="H668" i="1"/>
  <c r="G668" i="1"/>
  <c r="F668" i="1"/>
  <c r="E668" i="1"/>
  <c r="D668" i="1"/>
  <c r="C668" i="1"/>
  <c r="I667" i="1"/>
  <c r="H667" i="1"/>
  <c r="G667" i="1"/>
  <c r="F667" i="1"/>
  <c r="E667" i="1"/>
  <c r="D667" i="1"/>
  <c r="C667" i="1"/>
  <c r="I666" i="1"/>
  <c r="H666" i="1"/>
  <c r="G666" i="1"/>
  <c r="F666" i="1"/>
  <c r="E666" i="1"/>
  <c r="D666" i="1"/>
  <c r="C666" i="1"/>
  <c r="I665" i="1"/>
  <c r="H665" i="1"/>
  <c r="G665" i="1"/>
  <c r="F665" i="1"/>
  <c r="E665" i="1"/>
  <c r="D665" i="1"/>
  <c r="C665" i="1"/>
  <c r="I664" i="1"/>
  <c r="H664" i="1"/>
  <c r="G664" i="1"/>
  <c r="F664" i="1"/>
  <c r="E664" i="1"/>
  <c r="D664" i="1"/>
  <c r="C664" i="1"/>
  <c r="I663" i="1"/>
  <c r="H663" i="1"/>
  <c r="G663" i="1"/>
  <c r="F663" i="1"/>
  <c r="E663" i="1"/>
  <c r="D663" i="1"/>
  <c r="C663" i="1"/>
  <c r="I662" i="1"/>
  <c r="H662" i="1"/>
  <c r="G662" i="1"/>
  <c r="F662" i="1"/>
  <c r="E662" i="1"/>
  <c r="D662" i="1"/>
  <c r="C662" i="1"/>
  <c r="I661" i="1"/>
  <c r="H661" i="1"/>
  <c r="G661" i="1"/>
  <c r="F661" i="1"/>
  <c r="E661" i="1"/>
  <c r="D661" i="1"/>
  <c r="C661" i="1"/>
  <c r="I660" i="1"/>
  <c r="H660" i="1"/>
  <c r="G660" i="1"/>
  <c r="F660" i="1"/>
  <c r="E660" i="1"/>
  <c r="D660" i="1"/>
  <c r="C660" i="1"/>
  <c r="I659" i="1"/>
  <c r="H659" i="1"/>
  <c r="G659" i="1"/>
  <c r="F659" i="1"/>
  <c r="E659" i="1"/>
  <c r="D659" i="1"/>
  <c r="C659" i="1"/>
  <c r="I658" i="1"/>
  <c r="H658" i="1"/>
  <c r="G658" i="1"/>
  <c r="F658" i="1"/>
  <c r="E658" i="1"/>
  <c r="D658" i="1"/>
  <c r="C658" i="1"/>
  <c r="I657" i="1"/>
  <c r="H657" i="1"/>
  <c r="G657" i="1"/>
  <c r="F657" i="1"/>
  <c r="E657" i="1"/>
  <c r="D657" i="1"/>
  <c r="C657" i="1"/>
  <c r="I656" i="1"/>
  <c r="H656" i="1"/>
  <c r="G656" i="1"/>
  <c r="F656" i="1"/>
  <c r="E656" i="1"/>
  <c r="D656" i="1"/>
  <c r="C656" i="1"/>
  <c r="I655" i="1"/>
  <c r="H655" i="1"/>
  <c r="G655" i="1"/>
  <c r="F655" i="1"/>
  <c r="E655" i="1"/>
  <c r="D655" i="1"/>
  <c r="C655" i="1"/>
  <c r="I654" i="1"/>
  <c r="H654" i="1"/>
  <c r="G654" i="1"/>
  <c r="F654" i="1"/>
  <c r="E654" i="1"/>
  <c r="D654" i="1"/>
  <c r="C654" i="1"/>
  <c r="I653" i="1"/>
  <c r="H653" i="1"/>
  <c r="G653" i="1"/>
  <c r="F653" i="1"/>
  <c r="E653" i="1"/>
  <c r="D653" i="1"/>
  <c r="C653" i="1"/>
  <c r="I652" i="1"/>
  <c r="H652" i="1"/>
  <c r="G652" i="1"/>
  <c r="F652" i="1"/>
  <c r="E652" i="1"/>
  <c r="D652" i="1"/>
  <c r="C652" i="1"/>
  <c r="I651" i="1"/>
  <c r="H651" i="1"/>
  <c r="G651" i="1"/>
  <c r="F651" i="1"/>
  <c r="E651" i="1"/>
  <c r="D651" i="1"/>
  <c r="C651" i="1"/>
  <c r="I650" i="1"/>
  <c r="H650" i="1"/>
  <c r="G650" i="1"/>
  <c r="F650" i="1"/>
  <c r="E650" i="1"/>
  <c r="D650" i="1"/>
  <c r="C650" i="1"/>
  <c r="I649" i="1"/>
  <c r="H649" i="1"/>
  <c r="G649" i="1"/>
  <c r="F649" i="1"/>
  <c r="E649" i="1"/>
  <c r="D649" i="1"/>
  <c r="C649" i="1"/>
  <c r="I648" i="1"/>
  <c r="H648" i="1"/>
  <c r="G648" i="1"/>
  <c r="F648" i="1"/>
  <c r="E648" i="1"/>
  <c r="D648" i="1"/>
  <c r="C648" i="1"/>
  <c r="I647" i="1"/>
  <c r="H647" i="1"/>
  <c r="G647" i="1"/>
  <c r="F647" i="1"/>
  <c r="E647" i="1"/>
  <c r="D647" i="1"/>
  <c r="C647" i="1"/>
  <c r="I646" i="1"/>
  <c r="H646" i="1"/>
  <c r="G646" i="1"/>
  <c r="F646" i="1"/>
  <c r="E646" i="1"/>
  <c r="D646" i="1"/>
  <c r="C646" i="1"/>
  <c r="I645" i="1"/>
  <c r="H645" i="1"/>
  <c r="G645" i="1"/>
  <c r="F645" i="1"/>
  <c r="E645" i="1"/>
  <c r="D645" i="1"/>
  <c r="C645" i="1"/>
  <c r="I644" i="1"/>
  <c r="H644" i="1"/>
  <c r="G644" i="1"/>
  <c r="F644" i="1"/>
  <c r="E644" i="1"/>
  <c r="D644" i="1"/>
  <c r="C644" i="1"/>
  <c r="I643" i="1"/>
  <c r="H643" i="1"/>
  <c r="G643" i="1"/>
  <c r="F643" i="1"/>
  <c r="E643" i="1"/>
  <c r="D643" i="1"/>
  <c r="C643" i="1"/>
  <c r="I642" i="1"/>
  <c r="H642" i="1"/>
  <c r="G642" i="1"/>
  <c r="F642" i="1"/>
  <c r="E642" i="1"/>
  <c r="D642" i="1"/>
  <c r="C642" i="1"/>
  <c r="I641" i="1"/>
  <c r="H641" i="1"/>
  <c r="G641" i="1"/>
  <c r="F641" i="1"/>
  <c r="E641" i="1"/>
  <c r="D641" i="1"/>
  <c r="C641" i="1"/>
  <c r="I640" i="1"/>
  <c r="H640" i="1"/>
  <c r="G640" i="1"/>
  <c r="F640" i="1"/>
  <c r="E640" i="1"/>
  <c r="D640" i="1"/>
  <c r="C640" i="1"/>
  <c r="I639" i="1"/>
  <c r="H639" i="1"/>
  <c r="G639" i="1"/>
  <c r="F639" i="1"/>
  <c r="E639" i="1"/>
  <c r="D639" i="1"/>
  <c r="C639" i="1"/>
  <c r="I638" i="1"/>
  <c r="H638" i="1"/>
  <c r="G638" i="1"/>
  <c r="F638" i="1"/>
  <c r="E638" i="1"/>
  <c r="D638" i="1"/>
  <c r="C638" i="1"/>
  <c r="I637" i="1"/>
  <c r="H637" i="1"/>
  <c r="G637" i="1"/>
  <c r="F637" i="1"/>
  <c r="E637" i="1"/>
  <c r="D637" i="1"/>
  <c r="C637" i="1"/>
  <c r="I636" i="1"/>
  <c r="H636" i="1"/>
  <c r="G636" i="1"/>
  <c r="F636" i="1"/>
  <c r="E636" i="1"/>
  <c r="D636" i="1"/>
  <c r="C636" i="1"/>
  <c r="I635" i="1"/>
  <c r="H635" i="1"/>
  <c r="G635" i="1"/>
  <c r="F635" i="1"/>
  <c r="E635" i="1"/>
  <c r="D635" i="1"/>
  <c r="C635" i="1"/>
  <c r="I634" i="1"/>
  <c r="H634" i="1"/>
  <c r="G634" i="1"/>
  <c r="F634" i="1"/>
  <c r="E634" i="1"/>
  <c r="D634" i="1"/>
  <c r="C634" i="1"/>
  <c r="I633" i="1"/>
  <c r="H633" i="1"/>
  <c r="G633" i="1"/>
  <c r="F633" i="1"/>
  <c r="E633" i="1"/>
  <c r="D633" i="1"/>
  <c r="C633" i="1"/>
  <c r="I632" i="1"/>
  <c r="H632" i="1"/>
  <c r="G632" i="1"/>
  <c r="F632" i="1"/>
  <c r="E632" i="1"/>
  <c r="D632" i="1"/>
  <c r="C632" i="1"/>
  <c r="I631" i="1"/>
  <c r="H631" i="1"/>
  <c r="G631" i="1"/>
  <c r="F631" i="1"/>
  <c r="E631" i="1"/>
  <c r="D631" i="1"/>
  <c r="C631" i="1"/>
  <c r="I630" i="1"/>
  <c r="H630" i="1"/>
  <c r="G630" i="1"/>
  <c r="F630" i="1"/>
  <c r="E630" i="1"/>
  <c r="D630" i="1"/>
  <c r="C630" i="1"/>
  <c r="I629" i="1"/>
  <c r="H629" i="1"/>
  <c r="G629" i="1"/>
  <c r="F629" i="1"/>
  <c r="E629" i="1"/>
  <c r="D629" i="1"/>
  <c r="C629" i="1"/>
  <c r="I628" i="1"/>
  <c r="H628" i="1"/>
  <c r="G628" i="1"/>
  <c r="F628" i="1"/>
  <c r="E628" i="1"/>
  <c r="D628" i="1"/>
  <c r="C628" i="1"/>
  <c r="I627" i="1"/>
  <c r="H627" i="1"/>
  <c r="G627" i="1"/>
  <c r="F627" i="1"/>
  <c r="E627" i="1"/>
  <c r="D627" i="1"/>
  <c r="C627" i="1"/>
  <c r="I626" i="1"/>
  <c r="H626" i="1"/>
  <c r="G626" i="1"/>
  <c r="F626" i="1"/>
  <c r="E626" i="1"/>
  <c r="D626" i="1"/>
  <c r="C626" i="1"/>
  <c r="I625" i="1"/>
  <c r="H625" i="1"/>
  <c r="G625" i="1"/>
  <c r="F625" i="1"/>
  <c r="E625" i="1"/>
  <c r="D625" i="1"/>
  <c r="C625" i="1"/>
  <c r="I624" i="1"/>
  <c r="H624" i="1"/>
  <c r="G624" i="1"/>
  <c r="F624" i="1"/>
  <c r="E624" i="1"/>
  <c r="D624" i="1"/>
  <c r="C624" i="1"/>
  <c r="I623" i="1"/>
  <c r="H623" i="1"/>
  <c r="G623" i="1"/>
  <c r="F623" i="1"/>
  <c r="E623" i="1"/>
  <c r="D623" i="1"/>
  <c r="C623" i="1"/>
  <c r="I622" i="1"/>
  <c r="H622" i="1"/>
  <c r="G622" i="1"/>
  <c r="F622" i="1"/>
  <c r="E622" i="1"/>
  <c r="D622" i="1"/>
  <c r="C622" i="1"/>
  <c r="I621" i="1"/>
  <c r="H621" i="1"/>
  <c r="G621" i="1"/>
  <c r="F621" i="1"/>
  <c r="E621" i="1"/>
  <c r="D621" i="1"/>
  <c r="C621" i="1"/>
  <c r="I620" i="1"/>
  <c r="H620" i="1"/>
  <c r="G620" i="1"/>
  <c r="F620" i="1"/>
  <c r="E620" i="1"/>
  <c r="D620" i="1"/>
  <c r="C620" i="1"/>
  <c r="I619" i="1"/>
  <c r="H619" i="1"/>
  <c r="G619" i="1"/>
  <c r="F619" i="1"/>
  <c r="E619" i="1"/>
  <c r="D619" i="1"/>
  <c r="C619" i="1"/>
  <c r="I618" i="1"/>
  <c r="H618" i="1"/>
  <c r="G618" i="1"/>
  <c r="F618" i="1"/>
  <c r="E618" i="1"/>
  <c r="D618" i="1"/>
  <c r="C618" i="1"/>
  <c r="I617" i="1"/>
  <c r="H617" i="1"/>
  <c r="G617" i="1"/>
  <c r="F617" i="1"/>
  <c r="E617" i="1"/>
  <c r="D617" i="1"/>
  <c r="C617" i="1"/>
  <c r="I616" i="1"/>
  <c r="H616" i="1"/>
  <c r="G616" i="1"/>
  <c r="F616" i="1"/>
  <c r="E616" i="1"/>
  <c r="D616" i="1"/>
  <c r="C616" i="1"/>
  <c r="I615" i="1"/>
  <c r="H615" i="1"/>
  <c r="G615" i="1"/>
  <c r="F615" i="1"/>
  <c r="E615" i="1"/>
  <c r="D615" i="1"/>
  <c r="C615" i="1"/>
  <c r="I614" i="1"/>
  <c r="H614" i="1"/>
  <c r="G614" i="1"/>
  <c r="F614" i="1"/>
  <c r="E614" i="1"/>
  <c r="D614" i="1"/>
  <c r="C614" i="1"/>
  <c r="I613" i="1"/>
  <c r="H613" i="1"/>
  <c r="G613" i="1"/>
  <c r="F613" i="1"/>
  <c r="E613" i="1"/>
  <c r="D613" i="1"/>
  <c r="C613" i="1"/>
  <c r="I612" i="1"/>
  <c r="H612" i="1"/>
  <c r="G612" i="1"/>
  <c r="F612" i="1"/>
  <c r="E612" i="1"/>
  <c r="D612" i="1"/>
  <c r="C612" i="1"/>
  <c r="I611" i="1"/>
  <c r="H611" i="1"/>
  <c r="G611" i="1"/>
  <c r="F611" i="1"/>
  <c r="E611" i="1"/>
  <c r="D611" i="1"/>
  <c r="C611" i="1"/>
  <c r="I610" i="1"/>
  <c r="H610" i="1"/>
  <c r="G610" i="1"/>
  <c r="F610" i="1"/>
  <c r="E610" i="1"/>
  <c r="D610" i="1"/>
  <c r="C610" i="1"/>
  <c r="I609" i="1"/>
  <c r="H609" i="1"/>
  <c r="G609" i="1"/>
  <c r="F609" i="1"/>
  <c r="E609" i="1"/>
  <c r="D609" i="1"/>
  <c r="C609" i="1"/>
  <c r="I608" i="1"/>
  <c r="H608" i="1"/>
  <c r="G608" i="1"/>
  <c r="F608" i="1"/>
  <c r="E608" i="1"/>
  <c r="D608" i="1"/>
  <c r="C608" i="1"/>
  <c r="I607" i="1"/>
  <c r="H607" i="1"/>
  <c r="G607" i="1"/>
  <c r="F607" i="1"/>
  <c r="E607" i="1"/>
  <c r="D607" i="1"/>
  <c r="C607" i="1"/>
  <c r="I606" i="1"/>
  <c r="H606" i="1"/>
  <c r="G606" i="1"/>
  <c r="F606" i="1"/>
  <c r="E606" i="1"/>
  <c r="D606" i="1"/>
  <c r="C606" i="1"/>
  <c r="I605" i="1"/>
  <c r="H605" i="1"/>
  <c r="G605" i="1"/>
  <c r="F605" i="1"/>
  <c r="E605" i="1"/>
  <c r="D605" i="1"/>
  <c r="C605" i="1"/>
  <c r="I604" i="1"/>
  <c r="H604" i="1"/>
  <c r="G604" i="1"/>
  <c r="F604" i="1"/>
  <c r="E604" i="1"/>
  <c r="D604" i="1"/>
  <c r="C604" i="1"/>
  <c r="I603" i="1"/>
  <c r="H603" i="1"/>
  <c r="G603" i="1"/>
  <c r="F603" i="1"/>
  <c r="E603" i="1"/>
  <c r="D603" i="1"/>
  <c r="C603" i="1"/>
  <c r="I602" i="1"/>
  <c r="H602" i="1"/>
  <c r="G602" i="1"/>
  <c r="F602" i="1"/>
  <c r="E602" i="1"/>
  <c r="D602" i="1"/>
  <c r="C602" i="1"/>
  <c r="I601" i="1"/>
  <c r="H601" i="1"/>
  <c r="G601" i="1"/>
  <c r="F601" i="1"/>
  <c r="E601" i="1"/>
  <c r="D601" i="1"/>
  <c r="C601" i="1"/>
  <c r="I600" i="1"/>
  <c r="H600" i="1"/>
  <c r="G600" i="1"/>
  <c r="F600" i="1"/>
  <c r="E600" i="1"/>
  <c r="D600" i="1"/>
  <c r="C600" i="1"/>
  <c r="I599" i="1"/>
  <c r="H599" i="1"/>
  <c r="G599" i="1"/>
  <c r="F599" i="1"/>
  <c r="E599" i="1"/>
  <c r="D599" i="1"/>
  <c r="C599" i="1"/>
  <c r="I598" i="1"/>
  <c r="H598" i="1"/>
  <c r="G598" i="1"/>
  <c r="F598" i="1"/>
  <c r="E598" i="1"/>
  <c r="D598" i="1"/>
  <c r="C598" i="1"/>
  <c r="I597" i="1"/>
  <c r="H597" i="1"/>
  <c r="G597" i="1"/>
  <c r="F597" i="1"/>
  <c r="E597" i="1"/>
  <c r="D597" i="1"/>
  <c r="C597" i="1"/>
  <c r="I596" i="1"/>
  <c r="H596" i="1"/>
  <c r="G596" i="1"/>
  <c r="F596" i="1"/>
  <c r="E596" i="1"/>
  <c r="D596" i="1"/>
  <c r="C596" i="1"/>
  <c r="I595" i="1"/>
  <c r="H595" i="1"/>
  <c r="G595" i="1"/>
  <c r="F595" i="1"/>
  <c r="E595" i="1"/>
  <c r="D595" i="1"/>
  <c r="C595" i="1"/>
  <c r="I594" i="1"/>
  <c r="H594" i="1"/>
  <c r="G594" i="1"/>
  <c r="F594" i="1"/>
  <c r="E594" i="1"/>
  <c r="D594" i="1"/>
  <c r="C594" i="1"/>
  <c r="I593" i="1"/>
  <c r="H593" i="1"/>
  <c r="G593" i="1"/>
  <c r="F593" i="1"/>
  <c r="E593" i="1"/>
  <c r="D593" i="1"/>
  <c r="C593" i="1"/>
  <c r="I592" i="1"/>
  <c r="H592" i="1"/>
  <c r="G592" i="1"/>
  <c r="F592" i="1"/>
  <c r="E592" i="1"/>
  <c r="D592" i="1"/>
  <c r="C592" i="1"/>
  <c r="I591" i="1"/>
  <c r="H591" i="1"/>
  <c r="G591" i="1"/>
  <c r="F591" i="1"/>
  <c r="E591" i="1"/>
  <c r="D591" i="1"/>
  <c r="C591" i="1"/>
  <c r="I590" i="1"/>
  <c r="H590" i="1"/>
  <c r="G590" i="1"/>
  <c r="F590" i="1"/>
  <c r="E590" i="1"/>
  <c r="D590" i="1"/>
  <c r="C590" i="1"/>
  <c r="I589" i="1"/>
  <c r="H589" i="1"/>
  <c r="G589" i="1"/>
  <c r="F589" i="1"/>
  <c r="E589" i="1"/>
  <c r="D589" i="1"/>
  <c r="C589" i="1"/>
  <c r="I588" i="1"/>
  <c r="H588" i="1"/>
  <c r="G588" i="1"/>
  <c r="F588" i="1"/>
  <c r="E588" i="1"/>
  <c r="D588" i="1"/>
  <c r="C588" i="1"/>
  <c r="I587" i="1"/>
  <c r="H587" i="1"/>
  <c r="G587" i="1"/>
  <c r="F587" i="1"/>
  <c r="E587" i="1"/>
  <c r="D587" i="1"/>
  <c r="C587" i="1"/>
  <c r="I586" i="1"/>
  <c r="H586" i="1"/>
  <c r="G586" i="1"/>
  <c r="F586" i="1"/>
  <c r="E586" i="1"/>
  <c r="D586" i="1"/>
  <c r="C586" i="1"/>
  <c r="I585" i="1"/>
  <c r="H585" i="1"/>
  <c r="G585" i="1"/>
  <c r="F585" i="1"/>
  <c r="E585" i="1"/>
  <c r="D585" i="1"/>
  <c r="C585" i="1"/>
  <c r="I584" i="1"/>
  <c r="H584" i="1"/>
  <c r="G584" i="1"/>
  <c r="F584" i="1"/>
  <c r="E584" i="1"/>
  <c r="D584" i="1"/>
  <c r="C584" i="1"/>
  <c r="I583" i="1"/>
  <c r="H583" i="1"/>
  <c r="G583" i="1"/>
  <c r="F583" i="1"/>
  <c r="E583" i="1"/>
  <c r="D583" i="1"/>
  <c r="C583" i="1"/>
  <c r="I582" i="1"/>
  <c r="H582" i="1"/>
  <c r="G582" i="1"/>
  <c r="F582" i="1"/>
  <c r="E582" i="1"/>
  <c r="D582" i="1"/>
  <c r="C582" i="1"/>
  <c r="I581" i="1"/>
  <c r="H581" i="1"/>
  <c r="G581" i="1"/>
  <c r="F581" i="1"/>
  <c r="E581" i="1"/>
  <c r="D581" i="1"/>
  <c r="C581" i="1"/>
  <c r="I580" i="1"/>
  <c r="H580" i="1"/>
  <c r="G580" i="1"/>
  <c r="F580" i="1"/>
  <c r="E580" i="1"/>
  <c r="D580" i="1"/>
  <c r="C580" i="1"/>
  <c r="I579" i="1"/>
  <c r="H579" i="1"/>
  <c r="G579" i="1"/>
  <c r="F579" i="1"/>
  <c r="E579" i="1"/>
  <c r="D579" i="1"/>
  <c r="C579" i="1"/>
  <c r="I578" i="1"/>
  <c r="H578" i="1"/>
  <c r="G578" i="1"/>
  <c r="F578" i="1"/>
  <c r="E578" i="1"/>
  <c r="D578" i="1"/>
  <c r="C578" i="1"/>
  <c r="I577" i="1"/>
  <c r="H577" i="1"/>
  <c r="G577" i="1"/>
  <c r="F577" i="1"/>
  <c r="E577" i="1"/>
  <c r="D577" i="1"/>
  <c r="C577" i="1"/>
  <c r="I576" i="1"/>
  <c r="H576" i="1"/>
  <c r="G576" i="1"/>
  <c r="F576" i="1"/>
  <c r="E576" i="1"/>
  <c r="D576" i="1"/>
  <c r="C576" i="1"/>
  <c r="I575" i="1"/>
  <c r="H575" i="1"/>
  <c r="G575" i="1"/>
  <c r="F575" i="1"/>
  <c r="E575" i="1"/>
  <c r="D575" i="1"/>
  <c r="C575" i="1"/>
  <c r="I574" i="1"/>
  <c r="H574" i="1"/>
  <c r="G574" i="1"/>
  <c r="F574" i="1"/>
  <c r="E574" i="1"/>
  <c r="D574" i="1"/>
  <c r="C574" i="1"/>
  <c r="I573" i="1"/>
  <c r="H573" i="1"/>
  <c r="G573" i="1"/>
  <c r="F573" i="1"/>
  <c r="E573" i="1"/>
  <c r="D573" i="1"/>
  <c r="C573" i="1"/>
  <c r="I572" i="1"/>
  <c r="H572" i="1"/>
  <c r="G572" i="1"/>
  <c r="F572" i="1"/>
  <c r="E572" i="1"/>
  <c r="D572" i="1"/>
  <c r="C572" i="1"/>
  <c r="I571" i="1"/>
  <c r="H571" i="1"/>
  <c r="G571" i="1"/>
  <c r="F571" i="1"/>
  <c r="E571" i="1"/>
  <c r="D571" i="1"/>
  <c r="C571" i="1"/>
  <c r="I570" i="1"/>
  <c r="H570" i="1"/>
  <c r="G570" i="1"/>
  <c r="F570" i="1"/>
  <c r="E570" i="1"/>
  <c r="D570" i="1"/>
  <c r="C570" i="1"/>
  <c r="I569" i="1"/>
  <c r="H569" i="1"/>
  <c r="G569" i="1"/>
  <c r="F569" i="1"/>
  <c r="E569" i="1"/>
  <c r="D569" i="1"/>
  <c r="C569" i="1"/>
  <c r="I568" i="1"/>
  <c r="H568" i="1"/>
  <c r="G568" i="1"/>
  <c r="F568" i="1"/>
  <c r="E568" i="1"/>
  <c r="D568" i="1"/>
  <c r="C568" i="1"/>
  <c r="I567" i="1"/>
  <c r="H567" i="1"/>
  <c r="G567" i="1"/>
  <c r="F567" i="1"/>
  <c r="E567" i="1"/>
  <c r="D567" i="1"/>
  <c r="C567" i="1"/>
  <c r="I566" i="1"/>
  <c r="H566" i="1"/>
  <c r="G566" i="1"/>
  <c r="F566" i="1"/>
  <c r="E566" i="1"/>
  <c r="D566" i="1"/>
  <c r="C566" i="1"/>
  <c r="I565" i="1"/>
  <c r="H565" i="1"/>
  <c r="G565" i="1"/>
  <c r="F565" i="1"/>
  <c r="E565" i="1"/>
  <c r="D565" i="1"/>
  <c r="C565" i="1"/>
  <c r="I564" i="1"/>
  <c r="H564" i="1"/>
  <c r="G564" i="1"/>
  <c r="F564" i="1"/>
  <c r="E564" i="1"/>
  <c r="D564" i="1"/>
  <c r="C564" i="1"/>
  <c r="I563" i="1"/>
  <c r="H563" i="1"/>
  <c r="G563" i="1"/>
  <c r="F563" i="1"/>
  <c r="E563" i="1"/>
  <c r="D563" i="1"/>
  <c r="C563" i="1"/>
  <c r="I562" i="1"/>
  <c r="H562" i="1"/>
  <c r="G562" i="1"/>
  <c r="F562" i="1"/>
  <c r="E562" i="1"/>
  <c r="D562" i="1"/>
  <c r="C562" i="1"/>
  <c r="I561" i="1"/>
  <c r="H561" i="1"/>
  <c r="G561" i="1"/>
  <c r="F561" i="1"/>
  <c r="E561" i="1"/>
  <c r="D561" i="1"/>
  <c r="C561" i="1"/>
  <c r="I560" i="1"/>
  <c r="H560" i="1"/>
  <c r="G560" i="1"/>
  <c r="F560" i="1"/>
  <c r="E560" i="1"/>
  <c r="D560" i="1"/>
  <c r="C560" i="1"/>
  <c r="I559" i="1"/>
  <c r="H559" i="1"/>
  <c r="G559" i="1"/>
  <c r="F559" i="1"/>
  <c r="E559" i="1"/>
  <c r="D559" i="1"/>
  <c r="C559" i="1"/>
  <c r="I558" i="1"/>
  <c r="H558" i="1"/>
  <c r="G558" i="1"/>
  <c r="F558" i="1"/>
  <c r="E558" i="1"/>
  <c r="D558" i="1"/>
  <c r="C558" i="1"/>
  <c r="I557" i="1"/>
  <c r="H557" i="1"/>
  <c r="G557" i="1"/>
  <c r="F557" i="1"/>
  <c r="E557" i="1"/>
  <c r="D557" i="1"/>
  <c r="C557" i="1"/>
  <c r="I556" i="1"/>
  <c r="H556" i="1"/>
  <c r="G556" i="1"/>
  <c r="F556" i="1"/>
  <c r="E556" i="1"/>
  <c r="D556" i="1"/>
  <c r="C556" i="1"/>
  <c r="I555" i="1"/>
  <c r="H555" i="1"/>
  <c r="G555" i="1"/>
  <c r="F555" i="1"/>
  <c r="E555" i="1"/>
  <c r="D555" i="1"/>
  <c r="C555" i="1"/>
  <c r="I554" i="1"/>
  <c r="H554" i="1"/>
  <c r="G554" i="1"/>
  <c r="F554" i="1"/>
  <c r="E554" i="1"/>
  <c r="D554" i="1"/>
  <c r="C554" i="1"/>
  <c r="I553" i="1"/>
  <c r="H553" i="1"/>
  <c r="G553" i="1"/>
  <c r="F553" i="1"/>
  <c r="E553" i="1"/>
  <c r="D553" i="1"/>
  <c r="C553" i="1"/>
  <c r="I552" i="1"/>
  <c r="H552" i="1"/>
  <c r="G552" i="1"/>
  <c r="F552" i="1"/>
  <c r="E552" i="1"/>
  <c r="D552" i="1"/>
  <c r="C552" i="1"/>
  <c r="I551" i="1"/>
  <c r="H551" i="1"/>
  <c r="G551" i="1"/>
  <c r="F551" i="1"/>
  <c r="E551" i="1"/>
  <c r="D551" i="1"/>
  <c r="C551" i="1"/>
  <c r="I550" i="1"/>
  <c r="H550" i="1"/>
  <c r="G550" i="1"/>
  <c r="F550" i="1"/>
  <c r="E550" i="1"/>
  <c r="D550" i="1"/>
  <c r="C550" i="1"/>
  <c r="I549" i="1"/>
  <c r="H549" i="1"/>
  <c r="G549" i="1"/>
  <c r="F549" i="1"/>
  <c r="E549" i="1"/>
  <c r="D549" i="1"/>
  <c r="C549" i="1"/>
  <c r="I548" i="1"/>
  <c r="H548" i="1"/>
  <c r="G548" i="1"/>
  <c r="F548" i="1"/>
  <c r="E548" i="1"/>
  <c r="D548" i="1"/>
  <c r="C548" i="1"/>
  <c r="I547" i="1"/>
  <c r="H547" i="1"/>
  <c r="G547" i="1"/>
  <c r="F547" i="1"/>
  <c r="E547" i="1"/>
  <c r="D547" i="1"/>
  <c r="C547" i="1"/>
  <c r="I546" i="1"/>
  <c r="H546" i="1"/>
  <c r="G546" i="1"/>
  <c r="F546" i="1"/>
  <c r="E546" i="1"/>
  <c r="D546" i="1"/>
  <c r="C546" i="1"/>
  <c r="I545" i="1"/>
  <c r="H545" i="1"/>
  <c r="G545" i="1"/>
  <c r="F545" i="1"/>
  <c r="E545" i="1"/>
  <c r="D545" i="1"/>
  <c r="C545" i="1"/>
  <c r="I544" i="1"/>
  <c r="H544" i="1"/>
  <c r="G544" i="1"/>
  <c r="F544" i="1"/>
  <c r="E544" i="1"/>
  <c r="D544" i="1"/>
  <c r="C544" i="1"/>
  <c r="I543" i="1"/>
  <c r="H543" i="1"/>
  <c r="G543" i="1"/>
  <c r="F543" i="1"/>
  <c r="E543" i="1"/>
  <c r="D543" i="1"/>
  <c r="C543" i="1"/>
  <c r="I542" i="1"/>
  <c r="H542" i="1"/>
  <c r="G542" i="1"/>
  <c r="F542" i="1"/>
  <c r="E542" i="1"/>
  <c r="D542" i="1"/>
  <c r="C542" i="1"/>
  <c r="I541" i="1"/>
  <c r="H541" i="1"/>
  <c r="G541" i="1"/>
  <c r="F541" i="1"/>
  <c r="E541" i="1"/>
  <c r="D541" i="1"/>
  <c r="C541" i="1"/>
  <c r="I540" i="1"/>
  <c r="H540" i="1"/>
  <c r="G540" i="1"/>
  <c r="F540" i="1"/>
  <c r="E540" i="1"/>
  <c r="D540" i="1"/>
  <c r="C540" i="1"/>
  <c r="I539" i="1"/>
  <c r="H539" i="1"/>
  <c r="G539" i="1"/>
  <c r="F539" i="1"/>
  <c r="E539" i="1"/>
  <c r="D539" i="1"/>
  <c r="C539" i="1"/>
  <c r="I538" i="1"/>
  <c r="H538" i="1"/>
  <c r="G538" i="1"/>
  <c r="F538" i="1"/>
  <c r="E538" i="1"/>
  <c r="D538" i="1"/>
  <c r="C538" i="1"/>
  <c r="I537" i="1"/>
  <c r="H537" i="1"/>
  <c r="G537" i="1"/>
  <c r="F537" i="1"/>
  <c r="E537" i="1"/>
  <c r="D537" i="1"/>
  <c r="C537" i="1"/>
  <c r="I536" i="1"/>
  <c r="H536" i="1"/>
  <c r="G536" i="1"/>
  <c r="F536" i="1"/>
  <c r="E536" i="1"/>
  <c r="D536" i="1"/>
  <c r="C536" i="1"/>
  <c r="I535" i="1"/>
  <c r="H535" i="1"/>
  <c r="G535" i="1"/>
  <c r="F535" i="1"/>
  <c r="E535" i="1"/>
  <c r="D535" i="1"/>
  <c r="C535" i="1"/>
  <c r="I534" i="1"/>
  <c r="H534" i="1"/>
  <c r="G534" i="1"/>
  <c r="F534" i="1"/>
  <c r="E534" i="1"/>
  <c r="D534" i="1"/>
  <c r="C534" i="1"/>
  <c r="I533" i="1"/>
  <c r="H533" i="1"/>
  <c r="G533" i="1"/>
  <c r="F533" i="1"/>
  <c r="E533" i="1"/>
  <c r="D533" i="1"/>
  <c r="C533" i="1"/>
  <c r="I532" i="1"/>
  <c r="H532" i="1"/>
  <c r="G532" i="1"/>
  <c r="F532" i="1"/>
  <c r="E532" i="1"/>
  <c r="D532" i="1"/>
  <c r="C532" i="1"/>
  <c r="I531" i="1"/>
  <c r="H531" i="1"/>
  <c r="G531" i="1"/>
  <c r="F531" i="1"/>
  <c r="E531" i="1"/>
  <c r="D531" i="1"/>
  <c r="C531" i="1"/>
  <c r="I530" i="1"/>
  <c r="H530" i="1"/>
  <c r="G530" i="1"/>
  <c r="F530" i="1"/>
  <c r="E530" i="1"/>
  <c r="D530" i="1"/>
  <c r="C530" i="1"/>
  <c r="I529" i="1"/>
  <c r="H529" i="1"/>
  <c r="G529" i="1"/>
  <c r="F529" i="1"/>
  <c r="E529" i="1"/>
  <c r="D529" i="1"/>
  <c r="C529" i="1"/>
  <c r="I528" i="1"/>
  <c r="H528" i="1"/>
  <c r="G528" i="1"/>
  <c r="F528" i="1"/>
  <c r="E528" i="1"/>
  <c r="D528" i="1"/>
  <c r="C528" i="1"/>
  <c r="I527" i="1"/>
  <c r="H527" i="1"/>
  <c r="G527" i="1"/>
  <c r="F527" i="1"/>
  <c r="E527" i="1"/>
  <c r="D527" i="1"/>
  <c r="C527" i="1"/>
  <c r="I526" i="1"/>
  <c r="H526" i="1"/>
  <c r="G526" i="1"/>
  <c r="F526" i="1"/>
  <c r="E526" i="1"/>
  <c r="D526" i="1"/>
  <c r="C526" i="1"/>
  <c r="I525" i="1"/>
  <c r="H525" i="1"/>
  <c r="G525" i="1"/>
  <c r="F525" i="1"/>
  <c r="E525" i="1"/>
  <c r="D525" i="1"/>
  <c r="C525" i="1"/>
  <c r="I524" i="1"/>
  <c r="H524" i="1"/>
  <c r="G524" i="1"/>
  <c r="F524" i="1"/>
  <c r="E524" i="1"/>
  <c r="D524" i="1"/>
  <c r="C524" i="1"/>
  <c r="I523" i="1"/>
  <c r="H523" i="1"/>
  <c r="G523" i="1"/>
  <c r="F523" i="1"/>
  <c r="E523" i="1"/>
  <c r="D523" i="1"/>
  <c r="C523" i="1"/>
  <c r="I522" i="1"/>
  <c r="H522" i="1"/>
  <c r="G522" i="1"/>
  <c r="F522" i="1"/>
  <c r="E522" i="1"/>
  <c r="D522" i="1"/>
  <c r="C522" i="1"/>
  <c r="I521" i="1"/>
  <c r="H521" i="1"/>
  <c r="G521" i="1"/>
  <c r="F521" i="1"/>
  <c r="E521" i="1"/>
  <c r="D521" i="1"/>
  <c r="C521" i="1"/>
  <c r="I520" i="1"/>
  <c r="H520" i="1"/>
  <c r="G520" i="1"/>
  <c r="F520" i="1"/>
  <c r="E520" i="1"/>
  <c r="D520" i="1"/>
  <c r="C520" i="1"/>
  <c r="I519" i="1"/>
  <c r="H519" i="1"/>
  <c r="G519" i="1"/>
  <c r="F519" i="1"/>
  <c r="E519" i="1"/>
  <c r="D519" i="1"/>
  <c r="C519" i="1"/>
  <c r="I518" i="1"/>
  <c r="H518" i="1"/>
  <c r="G518" i="1"/>
  <c r="F518" i="1"/>
  <c r="E518" i="1"/>
  <c r="D518" i="1"/>
  <c r="C518" i="1"/>
  <c r="I517" i="1"/>
  <c r="H517" i="1"/>
  <c r="G517" i="1"/>
  <c r="F517" i="1"/>
  <c r="E517" i="1"/>
  <c r="D517" i="1"/>
  <c r="C517" i="1"/>
  <c r="I516" i="1"/>
  <c r="H516" i="1"/>
  <c r="G516" i="1"/>
  <c r="F516" i="1"/>
  <c r="E516" i="1"/>
  <c r="D516" i="1"/>
  <c r="C516" i="1"/>
  <c r="I515" i="1"/>
  <c r="H515" i="1"/>
  <c r="G515" i="1"/>
  <c r="F515" i="1"/>
  <c r="E515" i="1"/>
  <c r="D515" i="1"/>
  <c r="C515" i="1"/>
  <c r="I514" i="1"/>
  <c r="H514" i="1"/>
  <c r="G514" i="1"/>
  <c r="F514" i="1"/>
  <c r="E514" i="1"/>
  <c r="D514" i="1"/>
  <c r="C514" i="1"/>
  <c r="I513" i="1"/>
  <c r="H513" i="1"/>
  <c r="G513" i="1"/>
  <c r="F513" i="1"/>
  <c r="E513" i="1"/>
  <c r="D513" i="1"/>
  <c r="C513" i="1"/>
  <c r="I512" i="1"/>
  <c r="H512" i="1"/>
  <c r="G512" i="1"/>
  <c r="F512" i="1"/>
  <c r="E512" i="1"/>
  <c r="D512" i="1"/>
  <c r="C512" i="1"/>
  <c r="I511" i="1"/>
  <c r="H511" i="1"/>
  <c r="G511" i="1"/>
  <c r="F511" i="1"/>
  <c r="E511" i="1"/>
  <c r="D511" i="1"/>
  <c r="C511" i="1"/>
  <c r="I510" i="1"/>
  <c r="H510" i="1"/>
  <c r="G510" i="1"/>
  <c r="F510" i="1"/>
  <c r="E510" i="1"/>
  <c r="D510" i="1"/>
  <c r="C510" i="1"/>
  <c r="I509" i="1"/>
  <c r="H509" i="1"/>
  <c r="G509" i="1"/>
  <c r="F509" i="1"/>
  <c r="E509" i="1"/>
  <c r="D509" i="1"/>
  <c r="C509" i="1"/>
  <c r="I508" i="1"/>
  <c r="H508" i="1"/>
  <c r="G508" i="1"/>
  <c r="F508" i="1"/>
  <c r="E508" i="1"/>
  <c r="D508" i="1"/>
  <c r="C508" i="1"/>
  <c r="I507" i="1"/>
  <c r="H507" i="1"/>
  <c r="G507" i="1"/>
  <c r="F507" i="1"/>
  <c r="E507" i="1"/>
  <c r="D507" i="1"/>
  <c r="C507" i="1"/>
  <c r="I506" i="1"/>
  <c r="H506" i="1"/>
  <c r="G506" i="1"/>
  <c r="F506" i="1"/>
  <c r="E506" i="1"/>
  <c r="D506" i="1"/>
  <c r="C506" i="1"/>
  <c r="I505" i="1"/>
  <c r="H505" i="1"/>
  <c r="G505" i="1"/>
  <c r="F505" i="1"/>
  <c r="E505" i="1"/>
  <c r="D505" i="1"/>
  <c r="C505" i="1"/>
  <c r="I504" i="1"/>
  <c r="H504" i="1"/>
  <c r="G504" i="1"/>
  <c r="F504" i="1"/>
  <c r="E504" i="1"/>
  <c r="D504" i="1"/>
  <c r="C504" i="1"/>
  <c r="I503" i="1"/>
  <c r="H503" i="1"/>
  <c r="G503" i="1"/>
  <c r="F503" i="1"/>
  <c r="E503" i="1"/>
  <c r="D503" i="1"/>
  <c r="C503" i="1"/>
  <c r="I502" i="1"/>
  <c r="H502" i="1"/>
  <c r="G502" i="1"/>
  <c r="F502" i="1"/>
  <c r="E502" i="1"/>
  <c r="D502" i="1"/>
  <c r="C502" i="1"/>
  <c r="I501" i="1"/>
  <c r="H501" i="1"/>
  <c r="G501" i="1"/>
  <c r="F501" i="1"/>
  <c r="E501" i="1"/>
  <c r="D501" i="1"/>
  <c r="C501" i="1"/>
  <c r="I500" i="1"/>
  <c r="H500" i="1"/>
  <c r="G500" i="1"/>
  <c r="F500" i="1"/>
  <c r="E500" i="1"/>
  <c r="D500" i="1"/>
  <c r="C500" i="1"/>
  <c r="I499" i="1"/>
  <c r="H499" i="1"/>
  <c r="G499" i="1"/>
  <c r="F499" i="1"/>
  <c r="E499" i="1"/>
  <c r="D499" i="1"/>
  <c r="C499" i="1"/>
  <c r="I498" i="1"/>
  <c r="H498" i="1"/>
  <c r="G498" i="1"/>
  <c r="F498" i="1"/>
  <c r="E498" i="1"/>
  <c r="D498" i="1"/>
  <c r="C498" i="1"/>
  <c r="I497" i="1"/>
  <c r="H497" i="1"/>
  <c r="G497" i="1"/>
  <c r="F497" i="1"/>
  <c r="E497" i="1"/>
  <c r="D497" i="1"/>
  <c r="C497" i="1"/>
  <c r="I496" i="1"/>
  <c r="H496" i="1"/>
  <c r="G496" i="1"/>
  <c r="F496" i="1"/>
  <c r="E496" i="1"/>
  <c r="D496" i="1"/>
  <c r="C496" i="1"/>
  <c r="I495" i="1"/>
  <c r="H495" i="1"/>
  <c r="G495" i="1"/>
  <c r="F495" i="1"/>
  <c r="E495" i="1"/>
  <c r="D495" i="1"/>
  <c r="C495" i="1"/>
  <c r="I494" i="1"/>
  <c r="H494" i="1"/>
  <c r="G494" i="1"/>
  <c r="F494" i="1"/>
  <c r="E494" i="1"/>
  <c r="D494" i="1"/>
  <c r="C494" i="1"/>
  <c r="I493" i="1"/>
  <c r="H493" i="1"/>
  <c r="G493" i="1"/>
  <c r="F493" i="1"/>
  <c r="E493" i="1"/>
  <c r="D493" i="1"/>
  <c r="C493" i="1"/>
  <c r="I492" i="1"/>
  <c r="H492" i="1"/>
  <c r="G492" i="1"/>
  <c r="F492" i="1"/>
  <c r="E492" i="1"/>
  <c r="D492" i="1"/>
  <c r="C492" i="1"/>
  <c r="I491" i="1"/>
  <c r="H491" i="1"/>
  <c r="G491" i="1"/>
  <c r="F491" i="1"/>
  <c r="E491" i="1"/>
  <c r="D491" i="1"/>
  <c r="C491" i="1"/>
  <c r="I490" i="1"/>
  <c r="H490" i="1"/>
  <c r="G490" i="1"/>
  <c r="F490" i="1"/>
  <c r="E490" i="1"/>
  <c r="D490" i="1"/>
  <c r="C490" i="1"/>
  <c r="I489" i="1"/>
  <c r="H489" i="1"/>
  <c r="G489" i="1"/>
  <c r="F489" i="1"/>
  <c r="E489" i="1"/>
  <c r="D489" i="1"/>
  <c r="C489" i="1"/>
  <c r="I488" i="1"/>
  <c r="H488" i="1"/>
  <c r="G488" i="1"/>
  <c r="F488" i="1"/>
  <c r="E488" i="1"/>
  <c r="D488" i="1"/>
  <c r="C488" i="1"/>
  <c r="I487" i="1"/>
  <c r="H487" i="1"/>
  <c r="G487" i="1"/>
  <c r="F487" i="1"/>
  <c r="E487" i="1"/>
  <c r="D487" i="1"/>
  <c r="C487" i="1"/>
  <c r="I486" i="1"/>
  <c r="H486" i="1"/>
  <c r="G486" i="1"/>
  <c r="F486" i="1"/>
  <c r="E486" i="1"/>
  <c r="D486" i="1"/>
  <c r="C486" i="1"/>
  <c r="I485" i="1"/>
  <c r="H485" i="1"/>
  <c r="G485" i="1"/>
  <c r="F485" i="1"/>
  <c r="E485" i="1"/>
  <c r="D485" i="1"/>
  <c r="C485" i="1"/>
  <c r="I484" i="1"/>
  <c r="H484" i="1"/>
  <c r="G484" i="1"/>
  <c r="F484" i="1"/>
  <c r="E484" i="1"/>
  <c r="D484" i="1"/>
  <c r="C484" i="1"/>
  <c r="I483" i="1"/>
  <c r="H483" i="1"/>
  <c r="G483" i="1"/>
  <c r="F483" i="1"/>
  <c r="E483" i="1"/>
  <c r="D483" i="1"/>
  <c r="C483" i="1"/>
  <c r="I482" i="1"/>
  <c r="H482" i="1"/>
  <c r="G482" i="1"/>
  <c r="F482" i="1"/>
  <c r="E482" i="1"/>
  <c r="D482" i="1"/>
  <c r="C482" i="1"/>
  <c r="I481" i="1"/>
  <c r="H481" i="1"/>
  <c r="G481" i="1"/>
  <c r="F481" i="1"/>
  <c r="E481" i="1"/>
  <c r="D481" i="1"/>
  <c r="C481" i="1"/>
  <c r="I480" i="1"/>
  <c r="H480" i="1"/>
  <c r="G480" i="1"/>
  <c r="F480" i="1"/>
  <c r="E480" i="1"/>
  <c r="D480" i="1"/>
  <c r="C480" i="1"/>
  <c r="I479" i="1"/>
  <c r="H479" i="1"/>
  <c r="G479" i="1"/>
  <c r="F479" i="1"/>
  <c r="E479" i="1"/>
  <c r="D479" i="1"/>
  <c r="C479" i="1"/>
  <c r="I478" i="1"/>
  <c r="H478" i="1"/>
  <c r="G478" i="1"/>
  <c r="F478" i="1"/>
  <c r="E478" i="1"/>
  <c r="D478" i="1"/>
  <c r="C478" i="1"/>
  <c r="I477" i="1"/>
  <c r="H477" i="1"/>
  <c r="G477" i="1"/>
  <c r="F477" i="1"/>
  <c r="E477" i="1"/>
  <c r="D477" i="1"/>
  <c r="C477" i="1"/>
  <c r="I476" i="1"/>
  <c r="H476" i="1"/>
  <c r="G476" i="1"/>
  <c r="F476" i="1"/>
  <c r="E476" i="1"/>
  <c r="D476" i="1"/>
  <c r="C476" i="1"/>
  <c r="I475" i="1"/>
  <c r="H475" i="1"/>
  <c r="G475" i="1"/>
  <c r="F475" i="1"/>
  <c r="E475" i="1"/>
  <c r="D475" i="1"/>
  <c r="C475" i="1"/>
  <c r="I474" i="1"/>
  <c r="H474" i="1"/>
  <c r="G474" i="1"/>
  <c r="F474" i="1"/>
  <c r="E474" i="1"/>
  <c r="D474" i="1"/>
  <c r="C474" i="1"/>
  <c r="I473" i="1"/>
  <c r="H473" i="1"/>
  <c r="G473" i="1"/>
  <c r="F473" i="1"/>
  <c r="E473" i="1"/>
  <c r="D473" i="1"/>
  <c r="C473" i="1"/>
  <c r="I472" i="1"/>
  <c r="H472" i="1"/>
  <c r="G472" i="1"/>
  <c r="F472" i="1"/>
  <c r="E472" i="1"/>
  <c r="D472" i="1"/>
  <c r="C472" i="1"/>
  <c r="I471" i="1"/>
  <c r="H471" i="1"/>
  <c r="G471" i="1"/>
  <c r="F471" i="1"/>
  <c r="E471" i="1"/>
  <c r="D471" i="1"/>
  <c r="C471" i="1"/>
  <c r="I470" i="1"/>
  <c r="H470" i="1"/>
  <c r="G470" i="1"/>
  <c r="F470" i="1"/>
  <c r="E470" i="1"/>
  <c r="D470" i="1"/>
  <c r="C470" i="1"/>
  <c r="I469" i="1"/>
  <c r="H469" i="1"/>
  <c r="G469" i="1"/>
  <c r="F469" i="1"/>
  <c r="E469" i="1"/>
  <c r="D469" i="1"/>
  <c r="C469" i="1"/>
  <c r="I468" i="1"/>
  <c r="H468" i="1"/>
  <c r="G468" i="1"/>
  <c r="F468" i="1"/>
  <c r="E468" i="1"/>
  <c r="D468" i="1"/>
  <c r="C468" i="1"/>
  <c r="I467" i="1"/>
  <c r="H467" i="1"/>
  <c r="G467" i="1"/>
  <c r="F467" i="1"/>
  <c r="E467" i="1"/>
  <c r="D467" i="1"/>
  <c r="C467" i="1"/>
  <c r="I466" i="1"/>
  <c r="H466" i="1"/>
  <c r="G466" i="1"/>
  <c r="F466" i="1"/>
  <c r="E466" i="1"/>
  <c r="D466" i="1"/>
  <c r="C466" i="1"/>
  <c r="I465" i="1"/>
  <c r="H465" i="1"/>
  <c r="G465" i="1"/>
  <c r="F465" i="1"/>
  <c r="E465" i="1"/>
  <c r="D465" i="1"/>
  <c r="C465" i="1"/>
  <c r="I464" i="1"/>
  <c r="H464" i="1"/>
  <c r="G464" i="1"/>
  <c r="F464" i="1"/>
  <c r="E464" i="1"/>
  <c r="D464" i="1"/>
  <c r="C464" i="1"/>
  <c r="I463" i="1"/>
  <c r="H463" i="1"/>
  <c r="G463" i="1"/>
  <c r="F463" i="1"/>
  <c r="E463" i="1"/>
  <c r="D463" i="1"/>
  <c r="C463" i="1"/>
  <c r="I462" i="1"/>
  <c r="H462" i="1"/>
  <c r="G462" i="1"/>
  <c r="F462" i="1"/>
  <c r="E462" i="1"/>
  <c r="D462" i="1"/>
  <c r="C462" i="1"/>
  <c r="I461" i="1"/>
  <c r="H461" i="1"/>
  <c r="G461" i="1"/>
  <c r="F461" i="1"/>
  <c r="E461" i="1"/>
  <c r="D461" i="1"/>
  <c r="C461" i="1"/>
  <c r="I460" i="1"/>
  <c r="H460" i="1"/>
  <c r="G460" i="1"/>
  <c r="F460" i="1"/>
  <c r="E460" i="1"/>
  <c r="D460" i="1"/>
  <c r="C460" i="1"/>
  <c r="I459" i="1"/>
  <c r="H459" i="1"/>
  <c r="G459" i="1"/>
  <c r="F459" i="1"/>
  <c r="E459" i="1"/>
  <c r="D459" i="1"/>
  <c r="C459" i="1"/>
  <c r="I458" i="1"/>
  <c r="H458" i="1"/>
  <c r="G458" i="1"/>
  <c r="F458" i="1"/>
  <c r="E458" i="1"/>
  <c r="D458" i="1"/>
  <c r="C458" i="1"/>
  <c r="I457" i="1"/>
  <c r="H457" i="1"/>
  <c r="G457" i="1"/>
  <c r="F457" i="1"/>
  <c r="E457" i="1"/>
  <c r="D457" i="1"/>
  <c r="C457" i="1"/>
  <c r="I456" i="1"/>
  <c r="H456" i="1"/>
  <c r="G456" i="1"/>
  <c r="F456" i="1"/>
  <c r="E456" i="1"/>
  <c r="D456" i="1"/>
  <c r="C456" i="1"/>
  <c r="I455" i="1"/>
  <c r="H455" i="1"/>
  <c r="G455" i="1"/>
  <c r="F455" i="1"/>
  <c r="E455" i="1"/>
  <c r="D455" i="1"/>
  <c r="C455" i="1"/>
  <c r="I454" i="1"/>
  <c r="H454" i="1"/>
  <c r="G454" i="1"/>
  <c r="F454" i="1"/>
  <c r="E454" i="1"/>
  <c r="D454" i="1"/>
  <c r="C454" i="1"/>
  <c r="I453" i="1"/>
  <c r="H453" i="1"/>
  <c r="G453" i="1"/>
  <c r="F453" i="1"/>
  <c r="E453" i="1"/>
  <c r="D453" i="1"/>
  <c r="C453" i="1"/>
  <c r="I452" i="1"/>
  <c r="H452" i="1"/>
  <c r="G452" i="1"/>
  <c r="F452" i="1"/>
  <c r="E452" i="1"/>
  <c r="D452" i="1"/>
  <c r="C452" i="1"/>
  <c r="I451" i="1"/>
  <c r="H451" i="1"/>
  <c r="G451" i="1"/>
  <c r="F451" i="1"/>
  <c r="E451" i="1"/>
  <c r="D451" i="1"/>
  <c r="C451" i="1"/>
  <c r="I450" i="1"/>
  <c r="H450" i="1"/>
  <c r="G450" i="1"/>
  <c r="F450" i="1"/>
  <c r="E450" i="1"/>
  <c r="D450" i="1"/>
  <c r="C450" i="1"/>
  <c r="I449" i="1"/>
  <c r="H449" i="1"/>
  <c r="G449" i="1"/>
  <c r="F449" i="1"/>
  <c r="E449" i="1"/>
  <c r="D449" i="1"/>
  <c r="C449" i="1"/>
  <c r="I448" i="1"/>
  <c r="H448" i="1"/>
  <c r="G448" i="1"/>
  <c r="F448" i="1"/>
  <c r="E448" i="1"/>
  <c r="D448" i="1"/>
  <c r="C448" i="1"/>
  <c r="I447" i="1"/>
  <c r="H447" i="1"/>
  <c r="G447" i="1"/>
  <c r="F447" i="1"/>
  <c r="E447" i="1"/>
  <c r="D447" i="1"/>
  <c r="C447" i="1"/>
  <c r="I446" i="1"/>
  <c r="H446" i="1"/>
  <c r="G446" i="1"/>
  <c r="F446" i="1"/>
  <c r="E446" i="1"/>
  <c r="D446" i="1"/>
  <c r="C446" i="1"/>
  <c r="I445" i="1"/>
  <c r="H445" i="1"/>
  <c r="G445" i="1"/>
  <c r="F445" i="1"/>
  <c r="E445" i="1"/>
  <c r="D445" i="1"/>
  <c r="C445" i="1"/>
  <c r="I444" i="1"/>
  <c r="H444" i="1"/>
  <c r="G444" i="1"/>
  <c r="F444" i="1"/>
  <c r="E444" i="1"/>
  <c r="D444" i="1"/>
  <c r="C444" i="1"/>
  <c r="I443" i="1"/>
  <c r="H443" i="1"/>
  <c r="G443" i="1"/>
  <c r="F443" i="1"/>
  <c r="E443" i="1"/>
  <c r="D443" i="1"/>
  <c r="C443" i="1"/>
  <c r="I442" i="1"/>
  <c r="H442" i="1"/>
  <c r="G442" i="1"/>
  <c r="F442" i="1"/>
  <c r="E442" i="1"/>
  <c r="D442" i="1"/>
  <c r="C442" i="1"/>
  <c r="I441" i="1"/>
  <c r="H441" i="1"/>
  <c r="G441" i="1"/>
  <c r="F441" i="1"/>
  <c r="E441" i="1"/>
  <c r="D441" i="1"/>
  <c r="C441" i="1"/>
  <c r="I440" i="1"/>
  <c r="H440" i="1"/>
  <c r="G440" i="1"/>
  <c r="F440" i="1"/>
  <c r="E440" i="1"/>
  <c r="D440" i="1"/>
  <c r="C440" i="1"/>
  <c r="I439" i="1"/>
  <c r="H439" i="1"/>
  <c r="G439" i="1"/>
  <c r="F439" i="1"/>
  <c r="E439" i="1"/>
  <c r="D439" i="1"/>
  <c r="C439" i="1"/>
  <c r="I438" i="1"/>
  <c r="H438" i="1"/>
  <c r="G438" i="1"/>
  <c r="F438" i="1"/>
  <c r="E438" i="1"/>
  <c r="D438" i="1"/>
  <c r="C438" i="1"/>
  <c r="I437" i="1"/>
  <c r="H437" i="1"/>
  <c r="G437" i="1"/>
  <c r="F437" i="1"/>
  <c r="E437" i="1"/>
  <c r="D437" i="1"/>
  <c r="C437" i="1"/>
  <c r="I436" i="1"/>
  <c r="H436" i="1"/>
  <c r="G436" i="1"/>
  <c r="F436" i="1"/>
  <c r="E436" i="1"/>
  <c r="D436" i="1"/>
  <c r="C436" i="1"/>
  <c r="I435" i="1"/>
  <c r="H435" i="1"/>
  <c r="G435" i="1"/>
  <c r="F435" i="1"/>
  <c r="E435" i="1"/>
  <c r="D435" i="1"/>
  <c r="C435" i="1"/>
  <c r="I434" i="1"/>
  <c r="H434" i="1"/>
  <c r="G434" i="1"/>
  <c r="F434" i="1"/>
  <c r="E434" i="1"/>
  <c r="D434" i="1"/>
  <c r="C434" i="1"/>
  <c r="I433" i="1"/>
  <c r="H433" i="1"/>
  <c r="G433" i="1"/>
  <c r="F433" i="1"/>
  <c r="E433" i="1"/>
  <c r="D433" i="1"/>
  <c r="C433" i="1"/>
  <c r="I432" i="1"/>
  <c r="H432" i="1"/>
  <c r="G432" i="1"/>
  <c r="F432" i="1"/>
  <c r="E432" i="1"/>
  <c r="D432" i="1"/>
  <c r="C432" i="1"/>
  <c r="I431" i="1"/>
  <c r="H431" i="1"/>
  <c r="G431" i="1"/>
  <c r="F431" i="1"/>
  <c r="E431" i="1"/>
  <c r="D431" i="1"/>
  <c r="C431" i="1"/>
  <c r="I430" i="1"/>
  <c r="H430" i="1"/>
  <c r="G430" i="1"/>
  <c r="F430" i="1"/>
  <c r="E430" i="1"/>
  <c r="D430" i="1"/>
  <c r="C430" i="1"/>
  <c r="I429" i="1"/>
  <c r="H429" i="1"/>
  <c r="G429" i="1"/>
  <c r="F429" i="1"/>
  <c r="E429" i="1"/>
  <c r="D429" i="1"/>
  <c r="C429" i="1"/>
  <c r="I428" i="1"/>
  <c r="H428" i="1"/>
  <c r="G428" i="1"/>
  <c r="F428" i="1"/>
  <c r="E428" i="1"/>
  <c r="D428" i="1"/>
  <c r="C428" i="1"/>
  <c r="I427" i="1"/>
  <c r="H427" i="1"/>
  <c r="G427" i="1"/>
  <c r="F427" i="1"/>
  <c r="E427" i="1"/>
  <c r="D427" i="1"/>
  <c r="C427" i="1"/>
  <c r="I426" i="1"/>
  <c r="H426" i="1"/>
  <c r="G426" i="1"/>
  <c r="F426" i="1"/>
  <c r="E426" i="1"/>
  <c r="D426" i="1"/>
  <c r="C426" i="1"/>
  <c r="I425" i="1"/>
  <c r="H425" i="1"/>
  <c r="G425" i="1"/>
  <c r="F425" i="1"/>
  <c r="E425" i="1"/>
  <c r="D425" i="1"/>
  <c r="C425" i="1"/>
  <c r="I424" i="1"/>
  <c r="H424" i="1"/>
  <c r="G424" i="1"/>
  <c r="F424" i="1"/>
  <c r="E424" i="1"/>
  <c r="D424" i="1"/>
  <c r="C424" i="1"/>
  <c r="I423" i="1"/>
  <c r="H423" i="1"/>
  <c r="G423" i="1"/>
  <c r="F423" i="1"/>
  <c r="E423" i="1"/>
  <c r="D423" i="1"/>
  <c r="C423" i="1"/>
  <c r="I422" i="1"/>
  <c r="H422" i="1"/>
  <c r="G422" i="1"/>
  <c r="F422" i="1"/>
  <c r="E422" i="1"/>
  <c r="D422" i="1"/>
  <c r="C422" i="1"/>
  <c r="I421" i="1"/>
  <c r="H421" i="1"/>
  <c r="G421" i="1"/>
  <c r="F421" i="1"/>
  <c r="E421" i="1"/>
  <c r="D421" i="1"/>
  <c r="C421" i="1"/>
  <c r="I420" i="1"/>
  <c r="H420" i="1"/>
  <c r="G420" i="1"/>
  <c r="F420" i="1"/>
  <c r="E420" i="1"/>
  <c r="D420" i="1"/>
  <c r="C420" i="1"/>
  <c r="I419" i="1"/>
  <c r="H419" i="1"/>
  <c r="G419" i="1"/>
  <c r="F419" i="1"/>
  <c r="E419" i="1"/>
  <c r="D419" i="1"/>
  <c r="C419" i="1"/>
  <c r="I418" i="1"/>
  <c r="H418" i="1"/>
  <c r="G418" i="1"/>
  <c r="F418" i="1"/>
  <c r="E418" i="1"/>
  <c r="D418" i="1"/>
  <c r="C418" i="1"/>
  <c r="I417" i="1"/>
  <c r="H417" i="1"/>
  <c r="G417" i="1"/>
  <c r="F417" i="1"/>
  <c r="E417" i="1"/>
  <c r="D417" i="1"/>
  <c r="C417" i="1"/>
  <c r="I416" i="1"/>
  <c r="H416" i="1"/>
  <c r="G416" i="1"/>
  <c r="F416" i="1"/>
  <c r="E416" i="1"/>
  <c r="D416" i="1"/>
  <c r="C416" i="1"/>
  <c r="I415" i="1"/>
  <c r="H415" i="1"/>
  <c r="G415" i="1"/>
  <c r="F415" i="1"/>
  <c r="E415" i="1"/>
  <c r="D415" i="1"/>
  <c r="C415" i="1"/>
  <c r="I414" i="1"/>
  <c r="H414" i="1"/>
  <c r="G414" i="1"/>
  <c r="F414" i="1"/>
  <c r="E414" i="1"/>
  <c r="D414" i="1"/>
  <c r="C414" i="1"/>
  <c r="I413" i="1"/>
  <c r="H413" i="1"/>
  <c r="G413" i="1"/>
  <c r="F413" i="1"/>
  <c r="E413" i="1"/>
  <c r="D413" i="1"/>
  <c r="C413" i="1"/>
  <c r="I412" i="1"/>
  <c r="H412" i="1"/>
  <c r="G412" i="1"/>
  <c r="F412" i="1"/>
  <c r="E412" i="1"/>
  <c r="D412" i="1"/>
  <c r="C412" i="1"/>
  <c r="I411" i="1"/>
  <c r="H411" i="1"/>
  <c r="G411" i="1"/>
  <c r="F411" i="1"/>
  <c r="E411" i="1"/>
  <c r="D411" i="1"/>
  <c r="C411" i="1"/>
  <c r="I410" i="1"/>
  <c r="H410" i="1"/>
  <c r="G410" i="1"/>
  <c r="F410" i="1"/>
  <c r="E410" i="1"/>
  <c r="D410" i="1"/>
  <c r="C410" i="1"/>
  <c r="I409" i="1"/>
  <c r="H409" i="1"/>
  <c r="G409" i="1"/>
  <c r="F409" i="1"/>
  <c r="E409" i="1"/>
  <c r="D409" i="1"/>
  <c r="C409" i="1"/>
  <c r="I408" i="1"/>
  <c r="H408" i="1"/>
  <c r="G408" i="1"/>
  <c r="F408" i="1"/>
  <c r="E408" i="1"/>
  <c r="D408" i="1"/>
  <c r="C408" i="1"/>
  <c r="I407" i="1"/>
  <c r="H407" i="1"/>
  <c r="G407" i="1"/>
  <c r="F407" i="1"/>
  <c r="E407" i="1"/>
  <c r="D407" i="1"/>
  <c r="C407" i="1"/>
  <c r="I406" i="1"/>
  <c r="H406" i="1"/>
  <c r="G406" i="1"/>
  <c r="F406" i="1"/>
  <c r="E406" i="1"/>
  <c r="D406" i="1"/>
  <c r="C406" i="1"/>
  <c r="I405" i="1"/>
  <c r="H405" i="1"/>
  <c r="G405" i="1"/>
  <c r="F405" i="1"/>
  <c r="E405" i="1"/>
  <c r="D405" i="1"/>
  <c r="C405" i="1"/>
  <c r="I404" i="1"/>
  <c r="H404" i="1"/>
  <c r="G404" i="1"/>
  <c r="F404" i="1"/>
  <c r="E404" i="1"/>
  <c r="D404" i="1"/>
  <c r="C404" i="1"/>
  <c r="I403" i="1"/>
  <c r="H403" i="1"/>
  <c r="G403" i="1"/>
  <c r="F403" i="1"/>
  <c r="E403" i="1"/>
  <c r="D403" i="1"/>
  <c r="C403" i="1"/>
  <c r="I402" i="1"/>
  <c r="H402" i="1"/>
  <c r="G402" i="1"/>
  <c r="F402" i="1"/>
  <c r="E402" i="1"/>
  <c r="D402" i="1"/>
  <c r="C402" i="1"/>
  <c r="I401" i="1"/>
  <c r="H401" i="1"/>
  <c r="G401" i="1"/>
  <c r="F401" i="1"/>
  <c r="E401" i="1"/>
  <c r="D401" i="1"/>
  <c r="C401" i="1"/>
  <c r="I400" i="1"/>
  <c r="H400" i="1"/>
  <c r="G400" i="1"/>
  <c r="F400" i="1"/>
  <c r="E400" i="1"/>
  <c r="D400" i="1"/>
  <c r="C400" i="1"/>
  <c r="I399" i="1"/>
  <c r="H399" i="1"/>
  <c r="G399" i="1"/>
  <c r="F399" i="1"/>
  <c r="E399" i="1"/>
  <c r="D399" i="1"/>
  <c r="C399" i="1"/>
  <c r="I398" i="1"/>
  <c r="H398" i="1"/>
  <c r="G398" i="1"/>
  <c r="F398" i="1"/>
  <c r="E398" i="1"/>
  <c r="D398" i="1"/>
  <c r="C398" i="1"/>
  <c r="I397" i="1"/>
  <c r="H397" i="1"/>
  <c r="G397" i="1"/>
  <c r="F397" i="1"/>
  <c r="E397" i="1"/>
  <c r="D397" i="1"/>
  <c r="C397" i="1"/>
  <c r="I396" i="1"/>
  <c r="H396" i="1"/>
  <c r="G396" i="1"/>
  <c r="F396" i="1"/>
  <c r="E396" i="1"/>
  <c r="D396" i="1"/>
  <c r="C396" i="1"/>
  <c r="I395" i="1"/>
  <c r="H395" i="1"/>
  <c r="G395" i="1"/>
  <c r="F395" i="1"/>
  <c r="E395" i="1"/>
  <c r="D395" i="1"/>
  <c r="C395" i="1"/>
  <c r="I394" i="1"/>
  <c r="H394" i="1"/>
  <c r="G394" i="1"/>
  <c r="F394" i="1"/>
  <c r="E394" i="1"/>
  <c r="D394" i="1"/>
  <c r="C394" i="1"/>
  <c r="I393" i="1"/>
  <c r="H393" i="1"/>
  <c r="G393" i="1"/>
  <c r="F393" i="1"/>
  <c r="E393" i="1"/>
  <c r="D393" i="1"/>
  <c r="C393" i="1"/>
  <c r="I392" i="1"/>
  <c r="H392" i="1"/>
  <c r="G392" i="1"/>
  <c r="F392" i="1"/>
  <c r="E392" i="1"/>
  <c r="D392" i="1"/>
  <c r="C392" i="1"/>
  <c r="I391" i="1"/>
  <c r="H391" i="1"/>
  <c r="G391" i="1"/>
  <c r="F391" i="1"/>
  <c r="E391" i="1"/>
  <c r="D391" i="1"/>
  <c r="C391" i="1"/>
  <c r="I390" i="1"/>
  <c r="H390" i="1"/>
  <c r="G390" i="1"/>
  <c r="F390" i="1"/>
  <c r="E390" i="1"/>
  <c r="D390" i="1"/>
  <c r="C390" i="1"/>
  <c r="I389" i="1"/>
  <c r="H389" i="1"/>
  <c r="G389" i="1"/>
  <c r="F389" i="1"/>
  <c r="E389" i="1"/>
  <c r="D389" i="1"/>
  <c r="C389" i="1"/>
  <c r="I388" i="1"/>
  <c r="H388" i="1"/>
  <c r="G388" i="1"/>
  <c r="F388" i="1"/>
  <c r="E388" i="1"/>
  <c r="D388" i="1"/>
  <c r="C388" i="1"/>
  <c r="I387" i="1"/>
  <c r="H387" i="1"/>
  <c r="G387" i="1"/>
  <c r="F387" i="1"/>
  <c r="E387" i="1"/>
  <c r="D387" i="1"/>
  <c r="C387" i="1"/>
  <c r="I386" i="1"/>
  <c r="H386" i="1"/>
  <c r="G386" i="1"/>
  <c r="F386" i="1"/>
  <c r="E386" i="1"/>
  <c r="D386" i="1"/>
  <c r="C386" i="1"/>
  <c r="I385" i="1"/>
  <c r="H385" i="1"/>
  <c r="G385" i="1"/>
  <c r="F385" i="1"/>
  <c r="E385" i="1"/>
  <c r="D385" i="1"/>
  <c r="C385" i="1"/>
  <c r="I384" i="1"/>
  <c r="H384" i="1"/>
  <c r="G384" i="1"/>
  <c r="F384" i="1"/>
  <c r="E384" i="1"/>
  <c r="D384" i="1"/>
  <c r="C384" i="1"/>
  <c r="I383" i="1"/>
  <c r="H383" i="1"/>
  <c r="G383" i="1"/>
  <c r="F383" i="1"/>
  <c r="E383" i="1"/>
  <c r="D383" i="1"/>
  <c r="C383" i="1"/>
  <c r="I382" i="1"/>
  <c r="H382" i="1"/>
  <c r="G382" i="1"/>
  <c r="F382" i="1"/>
  <c r="E382" i="1"/>
  <c r="D382" i="1"/>
  <c r="C382" i="1"/>
  <c r="I381" i="1"/>
  <c r="H381" i="1"/>
  <c r="G381" i="1"/>
  <c r="F381" i="1"/>
  <c r="E381" i="1"/>
  <c r="D381" i="1"/>
  <c r="C381" i="1"/>
  <c r="I380" i="1"/>
  <c r="H380" i="1"/>
  <c r="G380" i="1"/>
  <c r="F380" i="1"/>
  <c r="E380" i="1"/>
  <c r="D380" i="1"/>
  <c r="C380" i="1"/>
  <c r="I379" i="1"/>
  <c r="H379" i="1"/>
  <c r="G379" i="1"/>
  <c r="F379" i="1"/>
  <c r="E379" i="1"/>
  <c r="D379" i="1"/>
  <c r="C379" i="1"/>
  <c r="I378" i="1"/>
  <c r="H378" i="1"/>
  <c r="G378" i="1"/>
  <c r="F378" i="1"/>
  <c r="E378" i="1"/>
  <c r="D378" i="1"/>
  <c r="C378" i="1"/>
  <c r="I377" i="1"/>
  <c r="H377" i="1"/>
  <c r="G377" i="1"/>
  <c r="F377" i="1"/>
  <c r="E377" i="1"/>
  <c r="D377" i="1"/>
  <c r="C377" i="1"/>
  <c r="I376" i="1"/>
  <c r="H376" i="1"/>
  <c r="G376" i="1"/>
  <c r="F376" i="1"/>
  <c r="E376" i="1"/>
  <c r="D376" i="1"/>
  <c r="C376" i="1"/>
  <c r="I375" i="1"/>
  <c r="H375" i="1"/>
  <c r="G375" i="1"/>
  <c r="F375" i="1"/>
  <c r="E375" i="1"/>
  <c r="D375" i="1"/>
  <c r="C375" i="1"/>
  <c r="I374" i="1"/>
  <c r="H374" i="1"/>
  <c r="G374" i="1"/>
  <c r="F374" i="1"/>
  <c r="E374" i="1"/>
  <c r="D374" i="1"/>
  <c r="C374" i="1"/>
  <c r="I373" i="1"/>
  <c r="H373" i="1"/>
  <c r="G373" i="1"/>
  <c r="F373" i="1"/>
  <c r="E373" i="1"/>
  <c r="D373" i="1"/>
  <c r="C373" i="1"/>
  <c r="I372" i="1"/>
  <c r="H372" i="1"/>
  <c r="G372" i="1"/>
  <c r="F372" i="1"/>
  <c r="E372" i="1"/>
  <c r="D372" i="1"/>
  <c r="C372" i="1"/>
  <c r="I371" i="1"/>
  <c r="H371" i="1"/>
  <c r="G371" i="1"/>
  <c r="F371" i="1"/>
  <c r="E371" i="1"/>
  <c r="D371" i="1"/>
  <c r="C371" i="1"/>
  <c r="I370" i="1"/>
  <c r="H370" i="1"/>
  <c r="G370" i="1"/>
  <c r="F370" i="1"/>
  <c r="E370" i="1"/>
  <c r="D370" i="1"/>
  <c r="C370" i="1"/>
  <c r="I369" i="1"/>
  <c r="H369" i="1"/>
  <c r="G369" i="1"/>
  <c r="F369" i="1"/>
  <c r="E369" i="1"/>
  <c r="D369" i="1"/>
  <c r="C369" i="1"/>
  <c r="I368" i="1"/>
  <c r="H368" i="1"/>
  <c r="G368" i="1"/>
  <c r="F368" i="1"/>
  <c r="E368" i="1"/>
  <c r="D368" i="1"/>
  <c r="C368" i="1"/>
  <c r="I367" i="1"/>
  <c r="H367" i="1"/>
  <c r="G367" i="1"/>
  <c r="F367" i="1"/>
  <c r="E367" i="1"/>
  <c r="D367" i="1"/>
  <c r="C367" i="1"/>
  <c r="I366" i="1"/>
  <c r="H366" i="1"/>
  <c r="G366" i="1"/>
  <c r="F366" i="1"/>
  <c r="E366" i="1"/>
  <c r="D366" i="1"/>
  <c r="C366" i="1"/>
  <c r="I365" i="1"/>
  <c r="H365" i="1"/>
  <c r="G365" i="1"/>
  <c r="F365" i="1"/>
  <c r="E365" i="1"/>
  <c r="D365" i="1"/>
  <c r="C365" i="1"/>
  <c r="I364" i="1"/>
  <c r="H364" i="1"/>
  <c r="G364" i="1"/>
  <c r="F364" i="1"/>
  <c r="E364" i="1"/>
  <c r="D364" i="1"/>
  <c r="C364" i="1"/>
  <c r="I363" i="1"/>
  <c r="H363" i="1"/>
  <c r="G363" i="1"/>
  <c r="F363" i="1"/>
  <c r="E363" i="1"/>
  <c r="D363" i="1"/>
  <c r="C363" i="1"/>
  <c r="I362" i="1"/>
  <c r="H362" i="1"/>
  <c r="G362" i="1"/>
  <c r="F362" i="1"/>
  <c r="E362" i="1"/>
  <c r="D362" i="1"/>
  <c r="C362" i="1"/>
  <c r="I361" i="1"/>
  <c r="H361" i="1"/>
  <c r="G361" i="1"/>
  <c r="F361" i="1"/>
  <c r="E361" i="1"/>
  <c r="D361" i="1"/>
  <c r="C361" i="1"/>
  <c r="I360" i="1"/>
  <c r="H360" i="1"/>
  <c r="G360" i="1"/>
  <c r="F360" i="1"/>
  <c r="E360" i="1"/>
  <c r="D360" i="1"/>
  <c r="C360" i="1"/>
  <c r="I359" i="1"/>
  <c r="H359" i="1"/>
  <c r="G359" i="1"/>
  <c r="F359" i="1"/>
  <c r="E359" i="1"/>
  <c r="D359" i="1"/>
  <c r="C359" i="1"/>
  <c r="I358" i="1"/>
  <c r="H358" i="1"/>
  <c r="G358" i="1"/>
  <c r="F358" i="1"/>
  <c r="E358" i="1"/>
  <c r="D358" i="1"/>
  <c r="C358" i="1"/>
  <c r="I357" i="1"/>
  <c r="H357" i="1"/>
  <c r="G357" i="1"/>
  <c r="F357" i="1"/>
  <c r="E357" i="1"/>
  <c r="D357" i="1"/>
  <c r="C357" i="1"/>
  <c r="I356" i="1"/>
  <c r="H356" i="1"/>
  <c r="G356" i="1"/>
  <c r="F356" i="1"/>
  <c r="E356" i="1"/>
  <c r="D356" i="1"/>
  <c r="C356" i="1"/>
  <c r="I355" i="1"/>
  <c r="H355" i="1"/>
  <c r="G355" i="1"/>
  <c r="F355" i="1"/>
  <c r="E355" i="1"/>
  <c r="D355" i="1"/>
  <c r="C355" i="1"/>
  <c r="I354" i="1"/>
  <c r="H354" i="1"/>
  <c r="G354" i="1"/>
  <c r="F354" i="1"/>
  <c r="E354" i="1"/>
  <c r="D354" i="1"/>
  <c r="C354" i="1"/>
  <c r="I353" i="1"/>
  <c r="H353" i="1"/>
  <c r="G353" i="1"/>
  <c r="F353" i="1"/>
  <c r="E353" i="1"/>
  <c r="D353" i="1"/>
  <c r="C353" i="1"/>
  <c r="I352" i="1"/>
  <c r="H352" i="1"/>
  <c r="G352" i="1"/>
  <c r="F352" i="1"/>
  <c r="E352" i="1"/>
  <c r="D352" i="1"/>
  <c r="C352" i="1"/>
  <c r="I351" i="1"/>
  <c r="H351" i="1"/>
  <c r="G351" i="1"/>
  <c r="F351" i="1"/>
  <c r="E351" i="1"/>
  <c r="D351" i="1"/>
  <c r="C351" i="1"/>
  <c r="I350" i="1"/>
  <c r="H350" i="1"/>
  <c r="G350" i="1"/>
  <c r="F350" i="1"/>
  <c r="E350" i="1"/>
  <c r="D350" i="1"/>
  <c r="C350" i="1"/>
  <c r="I349" i="1"/>
  <c r="H349" i="1"/>
  <c r="G349" i="1"/>
  <c r="F349" i="1"/>
  <c r="E349" i="1"/>
  <c r="D349" i="1"/>
  <c r="C349" i="1"/>
  <c r="I348" i="1"/>
  <c r="H348" i="1"/>
  <c r="G348" i="1"/>
  <c r="F348" i="1"/>
  <c r="E348" i="1"/>
  <c r="D348" i="1"/>
  <c r="C348" i="1"/>
  <c r="I347" i="1"/>
  <c r="H347" i="1"/>
  <c r="G347" i="1"/>
  <c r="F347" i="1"/>
  <c r="E347" i="1"/>
  <c r="D347" i="1"/>
  <c r="C347" i="1"/>
  <c r="I346" i="1"/>
  <c r="H346" i="1"/>
  <c r="G346" i="1"/>
  <c r="F346" i="1"/>
  <c r="E346" i="1"/>
  <c r="D346" i="1"/>
  <c r="C346" i="1"/>
  <c r="I345" i="1"/>
  <c r="H345" i="1"/>
  <c r="G345" i="1"/>
  <c r="F345" i="1"/>
  <c r="E345" i="1"/>
  <c r="D345" i="1"/>
  <c r="C345" i="1"/>
  <c r="I344" i="1"/>
  <c r="H344" i="1"/>
  <c r="G344" i="1"/>
  <c r="F344" i="1"/>
  <c r="E344" i="1"/>
  <c r="D344" i="1"/>
  <c r="C344" i="1"/>
  <c r="I343" i="1"/>
  <c r="H343" i="1"/>
  <c r="G343" i="1"/>
  <c r="F343" i="1"/>
  <c r="E343" i="1"/>
  <c r="D343" i="1"/>
  <c r="C343" i="1"/>
  <c r="I342" i="1"/>
  <c r="H342" i="1"/>
  <c r="G342" i="1"/>
  <c r="F342" i="1"/>
  <c r="E342" i="1"/>
  <c r="D342" i="1"/>
  <c r="C342" i="1"/>
  <c r="I341" i="1"/>
  <c r="H341" i="1"/>
  <c r="G341" i="1"/>
  <c r="F341" i="1"/>
  <c r="E341" i="1"/>
  <c r="D341" i="1"/>
  <c r="C341" i="1"/>
  <c r="I340" i="1"/>
  <c r="H340" i="1"/>
  <c r="G340" i="1"/>
  <c r="F340" i="1"/>
  <c r="E340" i="1"/>
  <c r="D340" i="1"/>
  <c r="C340" i="1"/>
  <c r="I339" i="1"/>
  <c r="H339" i="1"/>
  <c r="G339" i="1"/>
  <c r="F339" i="1"/>
  <c r="E339" i="1"/>
  <c r="D339" i="1"/>
  <c r="C339" i="1"/>
  <c r="I338" i="1"/>
  <c r="H338" i="1"/>
  <c r="G338" i="1"/>
  <c r="F338" i="1"/>
  <c r="E338" i="1"/>
  <c r="D338" i="1"/>
  <c r="C338" i="1"/>
  <c r="I337" i="1"/>
  <c r="H337" i="1"/>
  <c r="G337" i="1"/>
  <c r="F337" i="1"/>
  <c r="E337" i="1"/>
  <c r="D337" i="1"/>
  <c r="C337" i="1"/>
  <c r="I336" i="1"/>
  <c r="H336" i="1"/>
  <c r="G336" i="1"/>
  <c r="F336" i="1"/>
  <c r="E336" i="1"/>
  <c r="D336" i="1"/>
  <c r="C336" i="1"/>
  <c r="I335" i="1"/>
  <c r="H335" i="1"/>
  <c r="G335" i="1"/>
  <c r="F335" i="1"/>
  <c r="E335" i="1"/>
  <c r="D335" i="1"/>
  <c r="C335" i="1"/>
  <c r="I334" i="1"/>
  <c r="H334" i="1"/>
  <c r="G334" i="1"/>
  <c r="F334" i="1"/>
  <c r="E334" i="1"/>
  <c r="D334" i="1"/>
  <c r="C334" i="1"/>
  <c r="I333" i="1"/>
  <c r="H333" i="1"/>
  <c r="G333" i="1"/>
  <c r="F333" i="1"/>
  <c r="E333" i="1"/>
  <c r="D333" i="1"/>
  <c r="C333" i="1"/>
  <c r="I332" i="1"/>
  <c r="H332" i="1"/>
  <c r="G332" i="1"/>
  <c r="F332" i="1"/>
  <c r="E332" i="1"/>
  <c r="D332" i="1"/>
  <c r="C332" i="1"/>
  <c r="I331" i="1"/>
  <c r="H331" i="1"/>
  <c r="G331" i="1"/>
  <c r="F331" i="1"/>
  <c r="E331" i="1"/>
  <c r="D331" i="1"/>
  <c r="C331" i="1"/>
  <c r="I330" i="1"/>
  <c r="H330" i="1"/>
  <c r="G330" i="1"/>
  <c r="F330" i="1"/>
  <c r="E330" i="1"/>
  <c r="D330" i="1"/>
  <c r="C330" i="1"/>
  <c r="I329" i="1"/>
  <c r="H329" i="1"/>
  <c r="G329" i="1"/>
  <c r="F329" i="1"/>
  <c r="E329" i="1"/>
  <c r="D329" i="1"/>
  <c r="C329" i="1"/>
  <c r="I328" i="1"/>
  <c r="H328" i="1"/>
  <c r="G328" i="1"/>
  <c r="F328" i="1"/>
  <c r="E328" i="1"/>
  <c r="D328" i="1"/>
  <c r="C328" i="1"/>
  <c r="I327" i="1"/>
  <c r="H327" i="1"/>
  <c r="G327" i="1"/>
  <c r="F327" i="1"/>
  <c r="E327" i="1"/>
  <c r="D327" i="1"/>
  <c r="C327" i="1"/>
  <c r="I326" i="1"/>
  <c r="H326" i="1"/>
  <c r="G326" i="1"/>
  <c r="F326" i="1"/>
  <c r="E326" i="1"/>
  <c r="D326" i="1"/>
  <c r="C326" i="1"/>
  <c r="I325" i="1"/>
  <c r="H325" i="1"/>
  <c r="G325" i="1"/>
  <c r="F325" i="1"/>
  <c r="E325" i="1"/>
  <c r="D325" i="1"/>
  <c r="C325" i="1"/>
  <c r="I324" i="1"/>
  <c r="H324" i="1"/>
  <c r="G324" i="1"/>
  <c r="F324" i="1"/>
  <c r="E324" i="1"/>
  <c r="D324" i="1"/>
  <c r="C324" i="1"/>
  <c r="I323" i="1"/>
  <c r="H323" i="1"/>
  <c r="G323" i="1"/>
  <c r="F323" i="1"/>
  <c r="E323" i="1"/>
  <c r="D323" i="1"/>
  <c r="C323" i="1"/>
  <c r="I322" i="1"/>
  <c r="H322" i="1"/>
  <c r="G322" i="1"/>
  <c r="F322" i="1"/>
  <c r="E322" i="1"/>
  <c r="D322" i="1"/>
  <c r="C322" i="1"/>
  <c r="I321" i="1"/>
  <c r="H321" i="1"/>
  <c r="G321" i="1"/>
  <c r="F321" i="1"/>
  <c r="E321" i="1"/>
  <c r="D321" i="1"/>
  <c r="C321" i="1"/>
  <c r="I320" i="1"/>
  <c r="H320" i="1"/>
  <c r="G320" i="1"/>
  <c r="F320" i="1"/>
  <c r="E320" i="1"/>
  <c r="D320" i="1"/>
  <c r="C320" i="1"/>
  <c r="I319" i="1"/>
  <c r="H319" i="1"/>
  <c r="G319" i="1"/>
  <c r="F319" i="1"/>
  <c r="E319" i="1"/>
  <c r="D319" i="1"/>
  <c r="C319" i="1"/>
  <c r="I318" i="1"/>
  <c r="H318" i="1"/>
  <c r="G318" i="1"/>
  <c r="F318" i="1"/>
  <c r="E318" i="1"/>
  <c r="D318" i="1"/>
  <c r="C318" i="1"/>
  <c r="I317" i="1"/>
  <c r="H317" i="1"/>
  <c r="G317" i="1"/>
  <c r="F317" i="1"/>
  <c r="E317" i="1"/>
  <c r="D317" i="1"/>
  <c r="C317" i="1"/>
  <c r="I316" i="1"/>
  <c r="H316" i="1"/>
  <c r="G316" i="1"/>
  <c r="F316" i="1"/>
  <c r="E316" i="1"/>
  <c r="D316" i="1"/>
  <c r="C316" i="1"/>
  <c r="I315" i="1"/>
  <c r="H315" i="1"/>
  <c r="G315" i="1"/>
  <c r="F315" i="1"/>
  <c r="E315" i="1"/>
  <c r="D315" i="1"/>
  <c r="C315" i="1"/>
  <c r="I314" i="1"/>
  <c r="H314" i="1"/>
  <c r="G314" i="1"/>
  <c r="F314" i="1"/>
  <c r="E314" i="1"/>
  <c r="D314" i="1"/>
  <c r="C314" i="1"/>
  <c r="I313" i="1"/>
  <c r="H313" i="1"/>
  <c r="G313" i="1"/>
  <c r="F313" i="1"/>
  <c r="E313" i="1"/>
  <c r="D313" i="1"/>
  <c r="C313" i="1"/>
  <c r="I312" i="1"/>
  <c r="H312" i="1"/>
  <c r="G312" i="1"/>
  <c r="F312" i="1"/>
  <c r="E312" i="1"/>
  <c r="D312" i="1"/>
  <c r="C312" i="1"/>
  <c r="I311" i="1"/>
  <c r="H311" i="1"/>
  <c r="G311" i="1"/>
  <c r="F311" i="1"/>
  <c r="E311" i="1"/>
  <c r="D311" i="1"/>
  <c r="C311" i="1"/>
  <c r="I310" i="1"/>
  <c r="H310" i="1"/>
  <c r="G310" i="1"/>
  <c r="F310" i="1"/>
  <c r="E310" i="1"/>
  <c r="D310" i="1"/>
  <c r="C310" i="1"/>
  <c r="I309" i="1"/>
  <c r="H309" i="1"/>
  <c r="G309" i="1"/>
  <c r="F309" i="1"/>
  <c r="E309" i="1"/>
  <c r="D309" i="1"/>
  <c r="C309" i="1"/>
  <c r="I308" i="1"/>
  <c r="H308" i="1"/>
  <c r="G308" i="1"/>
  <c r="F308" i="1"/>
  <c r="E308" i="1"/>
  <c r="D308" i="1"/>
  <c r="C308" i="1"/>
  <c r="I307" i="1"/>
  <c r="H307" i="1"/>
  <c r="G307" i="1"/>
  <c r="F307" i="1"/>
  <c r="E307" i="1"/>
  <c r="D307" i="1"/>
  <c r="C307" i="1"/>
  <c r="I306" i="1"/>
  <c r="H306" i="1"/>
  <c r="G306" i="1"/>
  <c r="F306" i="1"/>
  <c r="E306" i="1"/>
  <c r="D306" i="1"/>
  <c r="C306" i="1"/>
  <c r="I305" i="1"/>
  <c r="H305" i="1"/>
  <c r="G305" i="1"/>
  <c r="F305" i="1"/>
  <c r="E305" i="1"/>
  <c r="D305" i="1"/>
  <c r="C305" i="1"/>
  <c r="I304" i="1"/>
  <c r="H304" i="1"/>
  <c r="G304" i="1"/>
  <c r="F304" i="1"/>
  <c r="E304" i="1"/>
  <c r="D304" i="1"/>
  <c r="C304" i="1"/>
  <c r="I303" i="1"/>
  <c r="H303" i="1"/>
  <c r="G303" i="1"/>
  <c r="F303" i="1"/>
  <c r="E303" i="1"/>
  <c r="D303" i="1"/>
  <c r="C303" i="1"/>
  <c r="I302" i="1"/>
  <c r="H302" i="1"/>
  <c r="G302" i="1"/>
  <c r="F302" i="1"/>
  <c r="E302" i="1"/>
  <c r="D302" i="1"/>
  <c r="C302" i="1"/>
  <c r="I301" i="1"/>
  <c r="H301" i="1"/>
  <c r="G301" i="1"/>
  <c r="F301" i="1"/>
  <c r="E301" i="1"/>
  <c r="D301" i="1"/>
  <c r="C301" i="1"/>
  <c r="I300" i="1"/>
  <c r="H300" i="1"/>
  <c r="G300" i="1"/>
  <c r="F300" i="1"/>
  <c r="E300" i="1"/>
  <c r="D300" i="1"/>
  <c r="C300" i="1"/>
  <c r="I299" i="1"/>
  <c r="H299" i="1"/>
  <c r="G299" i="1"/>
  <c r="F299" i="1"/>
  <c r="E299" i="1"/>
  <c r="D299" i="1"/>
  <c r="C299" i="1"/>
  <c r="I298" i="1"/>
  <c r="H298" i="1"/>
  <c r="G298" i="1"/>
  <c r="F298" i="1"/>
  <c r="E298" i="1"/>
  <c r="D298" i="1"/>
  <c r="C298" i="1"/>
  <c r="I297" i="1"/>
  <c r="H297" i="1"/>
  <c r="G297" i="1"/>
  <c r="F297" i="1"/>
  <c r="E297" i="1"/>
  <c r="D297" i="1"/>
  <c r="C297" i="1"/>
  <c r="I296" i="1"/>
  <c r="H296" i="1"/>
  <c r="G296" i="1"/>
  <c r="F296" i="1"/>
  <c r="E296" i="1"/>
  <c r="D296" i="1"/>
  <c r="C296" i="1"/>
  <c r="I295" i="1"/>
  <c r="H295" i="1"/>
  <c r="G295" i="1"/>
  <c r="F295" i="1"/>
  <c r="E295" i="1"/>
  <c r="D295" i="1"/>
  <c r="C295" i="1"/>
  <c r="I294" i="1"/>
  <c r="H294" i="1"/>
  <c r="G294" i="1"/>
  <c r="F294" i="1"/>
  <c r="E294" i="1"/>
  <c r="D294" i="1"/>
  <c r="C294" i="1"/>
  <c r="I293" i="1"/>
  <c r="H293" i="1"/>
  <c r="G293" i="1"/>
  <c r="F293" i="1"/>
  <c r="E293" i="1"/>
  <c r="D293" i="1"/>
  <c r="C293" i="1"/>
  <c r="I292" i="1"/>
  <c r="H292" i="1"/>
  <c r="G292" i="1"/>
  <c r="F292" i="1"/>
  <c r="E292" i="1"/>
  <c r="D292" i="1"/>
  <c r="C292" i="1"/>
  <c r="I291" i="1"/>
  <c r="H291" i="1"/>
  <c r="G291" i="1"/>
  <c r="F291" i="1"/>
  <c r="E291" i="1"/>
  <c r="D291" i="1"/>
  <c r="C291" i="1"/>
  <c r="I290" i="1"/>
  <c r="H290" i="1"/>
  <c r="G290" i="1"/>
  <c r="F290" i="1"/>
  <c r="E290" i="1"/>
  <c r="D290" i="1"/>
  <c r="C290" i="1"/>
  <c r="I289" i="1"/>
  <c r="H289" i="1"/>
  <c r="G289" i="1"/>
  <c r="F289" i="1"/>
  <c r="E289" i="1"/>
  <c r="D289" i="1"/>
  <c r="C289" i="1"/>
  <c r="I288" i="1"/>
  <c r="H288" i="1"/>
  <c r="G288" i="1"/>
  <c r="F288" i="1"/>
  <c r="E288" i="1"/>
  <c r="D288" i="1"/>
  <c r="C288" i="1"/>
  <c r="I287" i="1"/>
  <c r="H287" i="1"/>
  <c r="G287" i="1"/>
  <c r="F287" i="1"/>
  <c r="E287" i="1"/>
  <c r="D287" i="1"/>
  <c r="C287" i="1"/>
  <c r="I286" i="1"/>
  <c r="H286" i="1"/>
  <c r="G286" i="1"/>
  <c r="F286" i="1"/>
  <c r="E286" i="1"/>
  <c r="D286" i="1"/>
  <c r="C286" i="1"/>
  <c r="I285" i="1"/>
  <c r="H285" i="1"/>
  <c r="G285" i="1"/>
  <c r="F285" i="1"/>
  <c r="E285" i="1"/>
  <c r="D285" i="1"/>
  <c r="C285" i="1"/>
  <c r="I284" i="1"/>
  <c r="H284" i="1"/>
  <c r="G284" i="1"/>
  <c r="F284" i="1"/>
  <c r="E284" i="1"/>
  <c r="D284" i="1"/>
  <c r="C284" i="1"/>
  <c r="I283" i="1"/>
  <c r="H283" i="1"/>
  <c r="G283" i="1"/>
  <c r="F283" i="1"/>
  <c r="E283" i="1"/>
  <c r="D283" i="1"/>
  <c r="C283" i="1"/>
  <c r="I282" i="1"/>
  <c r="H282" i="1"/>
  <c r="G282" i="1"/>
  <c r="F282" i="1"/>
  <c r="E282" i="1"/>
  <c r="D282" i="1"/>
  <c r="C282" i="1"/>
  <c r="I281" i="1"/>
  <c r="H281" i="1"/>
  <c r="G281" i="1"/>
  <c r="F281" i="1"/>
  <c r="E281" i="1"/>
  <c r="D281" i="1"/>
  <c r="C281" i="1"/>
  <c r="I280" i="1"/>
  <c r="H280" i="1"/>
  <c r="G280" i="1"/>
  <c r="F280" i="1"/>
  <c r="E280" i="1"/>
  <c r="D280" i="1"/>
  <c r="C280" i="1"/>
  <c r="I279" i="1"/>
  <c r="H279" i="1"/>
  <c r="G279" i="1"/>
  <c r="F279" i="1"/>
  <c r="E279" i="1"/>
  <c r="D279" i="1"/>
  <c r="C279" i="1"/>
  <c r="I278" i="1"/>
  <c r="H278" i="1"/>
  <c r="G278" i="1"/>
  <c r="F278" i="1"/>
  <c r="E278" i="1"/>
  <c r="D278" i="1"/>
  <c r="C278" i="1"/>
  <c r="I277" i="1"/>
  <c r="H277" i="1"/>
  <c r="G277" i="1"/>
  <c r="F277" i="1"/>
  <c r="E277" i="1"/>
  <c r="D277" i="1"/>
  <c r="C277" i="1"/>
  <c r="I276" i="1"/>
  <c r="H276" i="1"/>
  <c r="G276" i="1"/>
  <c r="F276" i="1"/>
  <c r="E276" i="1"/>
  <c r="D276" i="1"/>
  <c r="C276" i="1"/>
  <c r="I275" i="1"/>
  <c r="H275" i="1"/>
  <c r="G275" i="1"/>
  <c r="F275" i="1"/>
  <c r="E275" i="1"/>
  <c r="D275" i="1"/>
  <c r="C275" i="1"/>
  <c r="I274" i="1"/>
  <c r="H274" i="1"/>
  <c r="G274" i="1"/>
  <c r="F274" i="1"/>
  <c r="E274" i="1"/>
  <c r="D274" i="1"/>
  <c r="C274" i="1"/>
  <c r="I273" i="1"/>
  <c r="H273" i="1"/>
  <c r="G273" i="1"/>
  <c r="F273" i="1"/>
  <c r="E273" i="1"/>
  <c r="D273" i="1"/>
  <c r="C273" i="1"/>
  <c r="I272" i="1"/>
  <c r="H272" i="1"/>
  <c r="G272" i="1"/>
  <c r="F272" i="1"/>
  <c r="E272" i="1"/>
  <c r="D272" i="1"/>
  <c r="C272" i="1"/>
  <c r="I271" i="1"/>
  <c r="H271" i="1"/>
  <c r="G271" i="1"/>
  <c r="F271" i="1"/>
  <c r="E271" i="1"/>
  <c r="D271" i="1"/>
  <c r="C271" i="1"/>
  <c r="I270" i="1"/>
  <c r="H270" i="1"/>
  <c r="G270" i="1"/>
  <c r="F270" i="1"/>
  <c r="E270" i="1"/>
  <c r="D270" i="1"/>
  <c r="C270" i="1"/>
  <c r="I269" i="1"/>
  <c r="H269" i="1"/>
  <c r="G269" i="1"/>
  <c r="F269" i="1"/>
  <c r="E269" i="1"/>
  <c r="D269" i="1"/>
  <c r="C269" i="1"/>
  <c r="I268" i="1"/>
  <c r="H268" i="1"/>
  <c r="G268" i="1"/>
  <c r="F268" i="1"/>
  <c r="E268" i="1"/>
  <c r="D268" i="1"/>
  <c r="C268" i="1"/>
  <c r="I267" i="1"/>
  <c r="H267" i="1"/>
  <c r="G267" i="1"/>
  <c r="F267" i="1"/>
  <c r="E267" i="1"/>
  <c r="D267" i="1"/>
  <c r="C267" i="1"/>
  <c r="I266" i="1"/>
  <c r="H266" i="1"/>
  <c r="G266" i="1"/>
  <c r="F266" i="1"/>
  <c r="E266" i="1"/>
  <c r="D266" i="1"/>
  <c r="C266" i="1"/>
  <c r="I265" i="1"/>
  <c r="H265" i="1"/>
  <c r="G265" i="1"/>
  <c r="F265" i="1"/>
  <c r="E265" i="1"/>
  <c r="D265" i="1"/>
  <c r="C265" i="1"/>
  <c r="I264" i="1"/>
  <c r="H264" i="1"/>
  <c r="G264" i="1"/>
  <c r="F264" i="1"/>
  <c r="E264" i="1"/>
  <c r="D264" i="1"/>
  <c r="C264" i="1"/>
  <c r="I263" i="1"/>
  <c r="H263" i="1"/>
  <c r="G263" i="1"/>
  <c r="F263" i="1"/>
  <c r="E263" i="1"/>
  <c r="D263" i="1"/>
  <c r="C263" i="1"/>
  <c r="I262" i="1"/>
  <c r="H262" i="1"/>
  <c r="G262" i="1"/>
  <c r="F262" i="1"/>
  <c r="E262" i="1"/>
  <c r="D262" i="1"/>
  <c r="C262" i="1"/>
  <c r="I261" i="1"/>
  <c r="H261" i="1"/>
  <c r="G261" i="1"/>
  <c r="F261" i="1"/>
  <c r="E261" i="1"/>
  <c r="D261" i="1"/>
  <c r="C261" i="1"/>
  <c r="I260" i="1"/>
  <c r="H260" i="1"/>
  <c r="G260" i="1"/>
  <c r="F260" i="1"/>
  <c r="E260" i="1"/>
  <c r="D260" i="1"/>
  <c r="C260" i="1"/>
  <c r="I259" i="1"/>
  <c r="H259" i="1"/>
  <c r="G259" i="1"/>
  <c r="F259" i="1"/>
  <c r="E259" i="1"/>
  <c r="D259" i="1"/>
  <c r="C259" i="1"/>
  <c r="I258" i="1"/>
  <c r="H258" i="1"/>
  <c r="G258" i="1"/>
  <c r="F258" i="1"/>
  <c r="E258" i="1"/>
  <c r="D258" i="1"/>
  <c r="C258" i="1"/>
  <c r="I257" i="1"/>
  <c r="H257" i="1"/>
  <c r="G257" i="1"/>
  <c r="F257" i="1"/>
  <c r="E257" i="1"/>
  <c r="D257" i="1"/>
  <c r="C257" i="1"/>
  <c r="I256" i="1"/>
  <c r="H256" i="1"/>
  <c r="G256" i="1"/>
  <c r="F256" i="1"/>
  <c r="E256" i="1"/>
  <c r="D256" i="1"/>
  <c r="C256" i="1"/>
  <c r="I255" i="1"/>
  <c r="H255" i="1"/>
  <c r="G255" i="1"/>
  <c r="F255" i="1"/>
  <c r="E255" i="1"/>
  <c r="D255" i="1"/>
  <c r="C255" i="1"/>
  <c r="I254" i="1"/>
  <c r="H254" i="1"/>
  <c r="G254" i="1"/>
  <c r="F254" i="1"/>
  <c r="E254" i="1"/>
  <c r="D254" i="1"/>
  <c r="C254" i="1"/>
  <c r="I253" i="1"/>
  <c r="H253" i="1"/>
  <c r="G253" i="1"/>
  <c r="F253" i="1"/>
  <c r="E253" i="1"/>
  <c r="D253" i="1"/>
  <c r="C253" i="1"/>
  <c r="I252" i="1"/>
  <c r="H252" i="1"/>
  <c r="G252" i="1"/>
  <c r="F252" i="1"/>
  <c r="E252" i="1"/>
  <c r="D252" i="1"/>
  <c r="C252" i="1"/>
  <c r="I251" i="1"/>
  <c r="H251" i="1"/>
  <c r="G251" i="1"/>
  <c r="F251" i="1"/>
  <c r="E251" i="1"/>
  <c r="D251" i="1"/>
  <c r="C251" i="1"/>
  <c r="I250" i="1"/>
  <c r="H250" i="1"/>
  <c r="G250" i="1"/>
  <c r="F250" i="1"/>
  <c r="E250" i="1"/>
  <c r="D250" i="1"/>
  <c r="C250" i="1"/>
  <c r="I249" i="1"/>
  <c r="H249" i="1"/>
  <c r="G249" i="1"/>
  <c r="F249" i="1"/>
  <c r="E249" i="1"/>
  <c r="D249" i="1"/>
  <c r="C249" i="1"/>
  <c r="I248" i="1"/>
  <c r="H248" i="1"/>
  <c r="G248" i="1"/>
  <c r="F248" i="1"/>
  <c r="E248" i="1"/>
  <c r="D248" i="1"/>
  <c r="C248" i="1"/>
  <c r="I247" i="1"/>
  <c r="H247" i="1"/>
  <c r="G247" i="1"/>
  <c r="F247" i="1"/>
  <c r="E247" i="1"/>
  <c r="D247" i="1"/>
  <c r="C247" i="1"/>
  <c r="I246" i="1"/>
  <c r="H246" i="1"/>
  <c r="G246" i="1"/>
  <c r="F246" i="1"/>
  <c r="E246" i="1"/>
  <c r="D246" i="1"/>
  <c r="C246" i="1"/>
  <c r="I245" i="1"/>
  <c r="H245" i="1"/>
  <c r="G245" i="1"/>
  <c r="F245" i="1"/>
  <c r="E245" i="1"/>
  <c r="D245" i="1"/>
  <c r="C245" i="1"/>
  <c r="I244" i="1"/>
  <c r="H244" i="1"/>
  <c r="G244" i="1"/>
  <c r="F244" i="1"/>
  <c r="E244" i="1"/>
  <c r="D244" i="1"/>
  <c r="C244" i="1"/>
  <c r="I243" i="1"/>
  <c r="H243" i="1"/>
  <c r="G243" i="1"/>
  <c r="F243" i="1"/>
  <c r="E243" i="1"/>
  <c r="D243" i="1"/>
  <c r="C243" i="1"/>
  <c r="I242" i="1"/>
  <c r="H242" i="1"/>
  <c r="G242" i="1"/>
  <c r="F242" i="1"/>
  <c r="E242" i="1"/>
  <c r="D242" i="1"/>
  <c r="C242" i="1"/>
  <c r="I241" i="1"/>
  <c r="H241" i="1"/>
  <c r="G241" i="1"/>
  <c r="F241" i="1"/>
  <c r="E241" i="1"/>
  <c r="D241" i="1"/>
  <c r="C241" i="1"/>
  <c r="I240" i="1"/>
  <c r="H240" i="1"/>
  <c r="G240" i="1"/>
  <c r="F240" i="1"/>
  <c r="E240" i="1"/>
  <c r="D240" i="1"/>
  <c r="C240" i="1"/>
  <c r="I239" i="1"/>
  <c r="H239" i="1"/>
  <c r="G239" i="1"/>
  <c r="F239" i="1"/>
  <c r="E239" i="1"/>
  <c r="D239" i="1"/>
  <c r="C239" i="1"/>
  <c r="I238" i="1"/>
  <c r="H238" i="1"/>
  <c r="G238" i="1"/>
  <c r="F238" i="1"/>
  <c r="E238" i="1"/>
  <c r="D238" i="1"/>
  <c r="C238" i="1"/>
  <c r="I237" i="1"/>
  <c r="H237" i="1"/>
  <c r="G237" i="1"/>
  <c r="F237" i="1"/>
  <c r="E237" i="1"/>
  <c r="D237" i="1"/>
  <c r="C237" i="1"/>
  <c r="I236" i="1"/>
  <c r="H236" i="1"/>
  <c r="G236" i="1"/>
  <c r="F236" i="1"/>
  <c r="E236" i="1"/>
  <c r="D236" i="1"/>
  <c r="C236" i="1"/>
  <c r="I235" i="1"/>
  <c r="H235" i="1"/>
  <c r="G235" i="1"/>
  <c r="F235" i="1"/>
  <c r="E235" i="1"/>
  <c r="D235" i="1"/>
  <c r="C235" i="1"/>
  <c r="I234" i="1"/>
  <c r="H234" i="1"/>
  <c r="G234" i="1"/>
  <c r="F234" i="1"/>
  <c r="E234" i="1"/>
  <c r="D234" i="1"/>
  <c r="C234" i="1"/>
  <c r="I233" i="1"/>
  <c r="H233" i="1"/>
  <c r="G233" i="1"/>
  <c r="F233" i="1"/>
  <c r="E233" i="1"/>
  <c r="D233" i="1"/>
  <c r="C233" i="1"/>
  <c r="I232" i="1"/>
  <c r="H232" i="1"/>
  <c r="G232" i="1"/>
  <c r="F232" i="1"/>
  <c r="E232" i="1"/>
  <c r="D232" i="1"/>
  <c r="C232" i="1"/>
  <c r="I231" i="1"/>
  <c r="H231" i="1"/>
  <c r="G231" i="1"/>
  <c r="F231" i="1"/>
  <c r="E231" i="1"/>
  <c r="D231" i="1"/>
  <c r="C231" i="1"/>
  <c r="I230" i="1"/>
  <c r="H230" i="1"/>
  <c r="G230" i="1"/>
  <c r="F230" i="1"/>
  <c r="E230" i="1"/>
  <c r="D230" i="1"/>
  <c r="C230" i="1"/>
  <c r="I229" i="1"/>
  <c r="H229" i="1"/>
  <c r="G229" i="1"/>
  <c r="F229" i="1"/>
  <c r="E229" i="1"/>
  <c r="D229" i="1"/>
  <c r="C229" i="1"/>
  <c r="I228" i="1"/>
  <c r="H228" i="1"/>
  <c r="G228" i="1"/>
  <c r="F228" i="1"/>
  <c r="E228" i="1"/>
  <c r="D228" i="1"/>
  <c r="C228" i="1"/>
  <c r="I227" i="1"/>
  <c r="H227" i="1"/>
  <c r="G227" i="1"/>
  <c r="F227" i="1"/>
  <c r="E227" i="1"/>
  <c r="D227" i="1"/>
  <c r="C227" i="1"/>
  <c r="I226" i="1"/>
  <c r="H226" i="1"/>
  <c r="G226" i="1"/>
  <c r="F226" i="1"/>
  <c r="E226" i="1"/>
  <c r="D226" i="1"/>
  <c r="C226" i="1"/>
  <c r="I225" i="1"/>
  <c r="H225" i="1"/>
  <c r="G225" i="1"/>
  <c r="F225" i="1"/>
  <c r="E225" i="1"/>
  <c r="D225" i="1"/>
  <c r="C225" i="1"/>
  <c r="I224" i="1"/>
  <c r="H224" i="1"/>
  <c r="G224" i="1"/>
  <c r="F224" i="1"/>
  <c r="E224" i="1"/>
  <c r="D224" i="1"/>
  <c r="C224" i="1"/>
  <c r="I223" i="1"/>
  <c r="H223" i="1"/>
  <c r="G223" i="1"/>
  <c r="F223" i="1"/>
  <c r="E223" i="1"/>
  <c r="D223" i="1"/>
  <c r="C223" i="1"/>
  <c r="I222" i="1"/>
  <c r="H222" i="1"/>
  <c r="G222" i="1"/>
  <c r="F222" i="1"/>
  <c r="E222" i="1"/>
  <c r="D222" i="1"/>
  <c r="C222" i="1"/>
  <c r="I221" i="1"/>
  <c r="H221" i="1"/>
  <c r="G221" i="1"/>
  <c r="F221" i="1"/>
  <c r="E221" i="1"/>
  <c r="D221" i="1"/>
  <c r="C221" i="1"/>
  <c r="I220" i="1"/>
  <c r="H220" i="1"/>
  <c r="G220" i="1"/>
  <c r="F220" i="1"/>
  <c r="E220" i="1"/>
  <c r="D220" i="1"/>
  <c r="C220" i="1"/>
  <c r="I219" i="1"/>
  <c r="H219" i="1"/>
  <c r="G219" i="1"/>
  <c r="F219" i="1"/>
  <c r="E219" i="1"/>
  <c r="D219" i="1"/>
  <c r="C219" i="1"/>
  <c r="I218" i="1"/>
  <c r="H218" i="1"/>
  <c r="G218" i="1"/>
  <c r="F218" i="1"/>
  <c r="E218" i="1"/>
  <c r="D218" i="1"/>
  <c r="C218" i="1"/>
  <c r="I217" i="1"/>
  <c r="H217" i="1"/>
  <c r="G217" i="1"/>
  <c r="F217" i="1"/>
  <c r="E217" i="1"/>
  <c r="D217" i="1"/>
  <c r="C217" i="1"/>
  <c r="I216" i="1"/>
  <c r="H216" i="1"/>
  <c r="G216" i="1"/>
  <c r="F216" i="1"/>
  <c r="E216" i="1"/>
  <c r="D216" i="1"/>
  <c r="C216" i="1"/>
  <c r="I215" i="1"/>
  <c r="H215" i="1"/>
  <c r="G215" i="1"/>
  <c r="F215" i="1"/>
  <c r="E215" i="1"/>
  <c r="D215" i="1"/>
  <c r="C215" i="1"/>
  <c r="I214" i="1"/>
  <c r="H214" i="1"/>
  <c r="G214" i="1"/>
  <c r="F214" i="1"/>
  <c r="E214" i="1"/>
  <c r="D214" i="1"/>
  <c r="C214" i="1"/>
  <c r="I213" i="1"/>
  <c r="H213" i="1"/>
  <c r="G213" i="1"/>
  <c r="F213" i="1"/>
  <c r="E213" i="1"/>
  <c r="D213" i="1"/>
  <c r="C213" i="1"/>
  <c r="I212" i="1"/>
  <c r="H212" i="1"/>
  <c r="G212" i="1"/>
  <c r="F212" i="1"/>
  <c r="E212" i="1"/>
  <c r="D212" i="1"/>
  <c r="C212" i="1"/>
  <c r="I211" i="1"/>
  <c r="H211" i="1"/>
  <c r="G211" i="1"/>
  <c r="F211" i="1"/>
  <c r="E211" i="1"/>
  <c r="D211" i="1"/>
  <c r="C211" i="1"/>
  <c r="I210" i="1"/>
  <c r="H210" i="1"/>
  <c r="G210" i="1"/>
  <c r="F210" i="1"/>
  <c r="E210" i="1"/>
  <c r="D210" i="1"/>
  <c r="C210" i="1"/>
  <c r="I209" i="1"/>
  <c r="H209" i="1"/>
  <c r="G209" i="1"/>
  <c r="F209" i="1"/>
  <c r="E209" i="1"/>
  <c r="D209" i="1"/>
  <c r="C209" i="1"/>
  <c r="I208" i="1"/>
  <c r="H208" i="1"/>
  <c r="G208" i="1"/>
  <c r="F208" i="1"/>
  <c r="E208" i="1"/>
  <c r="D208" i="1"/>
  <c r="C208" i="1"/>
  <c r="I207" i="1"/>
  <c r="H207" i="1"/>
  <c r="G207" i="1"/>
  <c r="F207" i="1"/>
  <c r="E207" i="1"/>
  <c r="D207" i="1"/>
  <c r="C207" i="1"/>
  <c r="I206" i="1"/>
  <c r="H206" i="1"/>
  <c r="G206" i="1"/>
  <c r="F206" i="1"/>
  <c r="E206" i="1"/>
  <c r="D206" i="1"/>
  <c r="C206" i="1"/>
  <c r="I205" i="1"/>
  <c r="H205" i="1"/>
  <c r="G205" i="1"/>
  <c r="F205" i="1"/>
  <c r="E205" i="1"/>
  <c r="D205" i="1"/>
  <c r="C205" i="1"/>
  <c r="I204" i="1"/>
  <c r="H204" i="1"/>
  <c r="G204" i="1"/>
  <c r="F204" i="1"/>
  <c r="E204" i="1"/>
  <c r="D204" i="1"/>
  <c r="C204" i="1"/>
  <c r="I203" i="1"/>
  <c r="H203" i="1"/>
  <c r="G203" i="1"/>
  <c r="F203" i="1"/>
  <c r="E203" i="1"/>
  <c r="D203" i="1"/>
  <c r="C203" i="1"/>
  <c r="I202" i="1"/>
  <c r="H202" i="1"/>
  <c r="G202" i="1"/>
  <c r="F202" i="1"/>
  <c r="E202" i="1"/>
  <c r="D202" i="1"/>
  <c r="C202" i="1"/>
  <c r="I201" i="1"/>
  <c r="H201" i="1"/>
  <c r="G201" i="1"/>
  <c r="F201" i="1"/>
  <c r="E201" i="1"/>
  <c r="D201" i="1"/>
  <c r="C201" i="1"/>
  <c r="I200" i="1"/>
  <c r="H200" i="1"/>
  <c r="G200" i="1"/>
  <c r="F200" i="1"/>
  <c r="E200" i="1"/>
  <c r="D200" i="1"/>
  <c r="C200" i="1"/>
  <c r="I199" i="1"/>
  <c r="H199" i="1"/>
  <c r="G199" i="1"/>
  <c r="F199" i="1"/>
  <c r="E199" i="1"/>
  <c r="D199" i="1"/>
  <c r="C199" i="1"/>
  <c r="I198" i="1"/>
  <c r="H198" i="1"/>
  <c r="G198" i="1"/>
  <c r="F198" i="1"/>
  <c r="E198" i="1"/>
  <c r="D198" i="1"/>
  <c r="C198" i="1"/>
  <c r="I197" i="1"/>
  <c r="H197" i="1"/>
  <c r="G197" i="1"/>
  <c r="F197" i="1"/>
  <c r="E197" i="1"/>
  <c r="D197" i="1"/>
  <c r="C197" i="1"/>
  <c r="I196" i="1"/>
  <c r="H196" i="1"/>
  <c r="G196" i="1"/>
  <c r="F196" i="1"/>
  <c r="E196" i="1"/>
  <c r="D196" i="1"/>
  <c r="C196" i="1"/>
  <c r="I195" i="1"/>
  <c r="H195" i="1"/>
  <c r="G195" i="1"/>
  <c r="F195" i="1"/>
  <c r="E195" i="1"/>
  <c r="D195" i="1"/>
  <c r="C195" i="1"/>
  <c r="I194" i="1"/>
  <c r="H194" i="1"/>
  <c r="G194" i="1"/>
  <c r="F194" i="1"/>
  <c r="E194" i="1"/>
  <c r="D194" i="1"/>
  <c r="C194" i="1"/>
  <c r="I193" i="1"/>
  <c r="H193" i="1"/>
  <c r="G193" i="1"/>
  <c r="F193" i="1"/>
  <c r="E193" i="1"/>
  <c r="D193" i="1"/>
  <c r="C193" i="1"/>
  <c r="I192" i="1"/>
  <c r="H192" i="1"/>
  <c r="G192" i="1"/>
  <c r="F192" i="1"/>
  <c r="E192" i="1"/>
  <c r="D192" i="1"/>
  <c r="C192" i="1"/>
  <c r="I191" i="1"/>
  <c r="H191" i="1"/>
  <c r="G191" i="1"/>
  <c r="F191" i="1"/>
  <c r="E191" i="1"/>
  <c r="D191" i="1"/>
  <c r="C191" i="1"/>
  <c r="I190" i="1"/>
  <c r="H190" i="1"/>
  <c r="G190" i="1"/>
  <c r="F190" i="1"/>
  <c r="E190" i="1"/>
  <c r="D190" i="1"/>
  <c r="C190" i="1"/>
  <c r="I189" i="1"/>
  <c r="H189" i="1"/>
  <c r="G189" i="1"/>
  <c r="F189" i="1"/>
  <c r="E189" i="1"/>
  <c r="D189" i="1"/>
  <c r="C189" i="1"/>
  <c r="I188" i="1"/>
  <c r="H188" i="1"/>
  <c r="G188" i="1"/>
  <c r="F188" i="1"/>
  <c r="E188" i="1"/>
  <c r="D188" i="1"/>
  <c r="C188" i="1"/>
  <c r="I187" i="1"/>
  <c r="H187" i="1"/>
  <c r="G187" i="1"/>
  <c r="F187" i="1"/>
  <c r="E187" i="1"/>
  <c r="D187" i="1"/>
  <c r="C187" i="1"/>
  <c r="I186" i="1"/>
  <c r="H186" i="1"/>
  <c r="G186" i="1"/>
  <c r="F186" i="1"/>
  <c r="E186" i="1"/>
  <c r="D186" i="1"/>
  <c r="C186" i="1"/>
  <c r="I185" i="1"/>
  <c r="H185" i="1"/>
  <c r="G185" i="1"/>
  <c r="F185" i="1"/>
  <c r="E185" i="1"/>
  <c r="D185" i="1"/>
  <c r="C185" i="1"/>
  <c r="I184" i="1"/>
  <c r="H184" i="1"/>
  <c r="G184" i="1"/>
  <c r="F184" i="1"/>
  <c r="E184" i="1"/>
  <c r="D184" i="1"/>
  <c r="C184" i="1"/>
  <c r="I183" i="1"/>
  <c r="H183" i="1"/>
  <c r="G183" i="1"/>
  <c r="F183" i="1"/>
  <c r="E183" i="1"/>
  <c r="D183" i="1"/>
  <c r="C183" i="1"/>
  <c r="I182" i="1"/>
  <c r="H182" i="1"/>
  <c r="G182" i="1"/>
  <c r="F182" i="1"/>
  <c r="E182" i="1"/>
  <c r="D182" i="1"/>
  <c r="C182" i="1"/>
  <c r="I181" i="1"/>
  <c r="H181" i="1"/>
  <c r="G181" i="1"/>
  <c r="F181" i="1"/>
  <c r="E181" i="1"/>
  <c r="D181" i="1"/>
  <c r="C181" i="1"/>
  <c r="I180" i="1"/>
  <c r="H180" i="1"/>
  <c r="G180" i="1"/>
  <c r="F180" i="1"/>
  <c r="E180" i="1"/>
  <c r="D180" i="1"/>
  <c r="C180" i="1"/>
  <c r="I179" i="1"/>
  <c r="H179" i="1"/>
  <c r="G179" i="1"/>
  <c r="F179" i="1"/>
  <c r="E179" i="1"/>
  <c r="D179" i="1"/>
  <c r="C179" i="1"/>
  <c r="I178" i="1"/>
  <c r="H178" i="1"/>
  <c r="G178" i="1"/>
  <c r="F178" i="1"/>
  <c r="E178" i="1"/>
  <c r="D178" i="1"/>
  <c r="C178" i="1"/>
  <c r="I177" i="1"/>
  <c r="H177" i="1"/>
  <c r="G177" i="1"/>
  <c r="F177" i="1"/>
  <c r="E177" i="1"/>
  <c r="D177" i="1"/>
  <c r="C177" i="1"/>
  <c r="I176" i="1"/>
  <c r="H176" i="1"/>
  <c r="G176" i="1"/>
  <c r="F176" i="1"/>
  <c r="E176" i="1"/>
  <c r="D176" i="1"/>
  <c r="C176" i="1"/>
  <c r="I175" i="1"/>
  <c r="H175" i="1"/>
  <c r="G175" i="1"/>
  <c r="F175" i="1"/>
  <c r="E175" i="1"/>
  <c r="D175" i="1"/>
  <c r="C175" i="1"/>
  <c r="I174" i="1"/>
  <c r="H174" i="1"/>
  <c r="G174" i="1"/>
  <c r="F174" i="1"/>
  <c r="E174" i="1"/>
  <c r="D174" i="1"/>
  <c r="C174" i="1"/>
  <c r="I173" i="1"/>
  <c r="H173" i="1"/>
  <c r="G173" i="1"/>
  <c r="F173" i="1"/>
  <c r="E173" i="1"/>
  <c r="D173" i="1"/>
  <c r="C173" i="1"/>
  <c r="I172" i="1"/>
  <c r="H172" i="1"/>
  <c r="G172" i="1"/>
  <c r="F172" i="1"/>
  <c r="E172" i="1"/>
  <c r="D172" i="1"/>
  <c r="C172" i="1"/>
  <c r="I171" i="1"/>
  <c r="H171" i="1"/>
  <c r="G171" i="1"/>
  <c r="F171" i="1"/>
  <c r="E171" i="1"/>
  <c r="D171" i="1"/>
  <c r="C171" i="1"/>
  <c r="I170" i="1"/>
  <c r="H170" i="1"/>
  <c r="G170" i="1"/>
  <c r="F170" i="1"/>
  <c r="E170" i="1"/>
  <c r="D170" i="1"/>
  <c r="C170" i="1"/>
  <c r="I169" i="1"/>
  <c r="H169" i="1"/>
  <c r="G169" i="1"/>
  <c r="F169" i="1"/>
  <c r="E169" i="1"/>
  <c r="D169" i="1"/>
  <c r="C169" i="1"/>
  <c r="I168" i="1"/>
  <c r="H168" i="1"/>
  <c r="G168" i="1"/>
  <c r="F168" i="1"/>
  <c r="E168" i="1"/>
  <c r="D168" i="1"/>
  <c r="C168" i="1"/>
  <c r="I167" i="1"/>
  <c r="H167" i="1"/>
  <c r="G167" i="1"/>
  <c r="F167" i="1"/>
  <c r="E167" i="1"/>
  <c r="D167" i="1"/>
  <c r="C167" i="1"/>
  <c r="I166" i="1"/>
  <c r="H166" i="1"/>
  <c r="G166" i="1"/>
  <c r="F166" i="1"/>
  <c r="E166" i="1"/>
  <c r="D166" i="1"/>
  <c r="C166" i="1"/>
  <c r="I165" i="1"/>
  <c r="H165" i="1"/>
  <c r="G165" i="1"/>
  <c r="F165" i="1"/>
  <c r="E165" i="1"/>
  <c r="D165" i="1"/>
  <c r="C165" i="1"/>
  <c r="I164" i="1"/>
  <c r="H164" i="1"/>
  <c r="G164" i="1"/>
  <c r="F164" i="1"/>
  <c r="E164" i="1"/>
  <c r="D164" i="1"/>
  <c r="C164" i="1"/>
  <c r="I163" i="1"/>
  <c r="H163" i="1"/>
  <c r="G163" i="1"/>
  <c r="F163" i="1"/>
  <c r="E163" i="1"/>
  <c r="D163" i="1"/>
  <c r="C163" i="1"/>
  <c r="I162" i="1"/>
  <c r="H162" i="1"/>
  <c r="G162" i="1"/>
  <c r="F162" i="1"/>
  <c r="E162" i="1"/>
  <c r="D162" i="1"/>
  <c r="C162" i="1"/>
  <c r="I161" i="1"/>
  <c r="H161" i="1"/>
  <c r="G161" i="1"/>
  <c r="F161" i="1"/>
  <c r="E161" i="1"/>
  <c r="D161" i="1"/>
  <c r="C161" i="1"/>
  <c r="I160" i="1"/>
  <c r="H160" i="1"/>
  <c r="G160" i="1"/>
  <c r="F160" i="1"/>
  <c r="E160" i="1"/>
  <c r="D160" i="1"/>
  <c r="C160" i="1"/>
  <c r="I159" i="1"/>
  <c r="H159" i="1"/>
  <c r="G159" i="1"/>
  <c r="F159" i="1"/>
  <c r="E159" i="1"/>
  <c r="D159" i="1"/>
  <c r="C159" i="1"/>
  <c r="I158" i="1"/>
  <c r="H158" i="1"/>
  <c r="G158" i="1"/>
  <c r="F158" i="1"/>
  <c r="E158" i="1"/>
  <c r="D158" i="1"/>
  <c r="C158" i="1"/>
  <c r="I157" i="1"/>
  <c r="H157" i="1"/>
  <c r="G157" i="1"/>
  <c r="F157" i="1"/>
  <c r="E157" i="1"/>
  <c r="D157" i="1"/>
  <c r="C157" i="1"/>
  <c r="I156" i="1"/>
  <c r="H156" i="1"/>
  <c r="G156" i="1"/>
  <c r="F156" i="1"/>
  <c r="E156" i="1"/>
  <c r="D156" i="1"/>
  <c r="C156" i="1"/>
  <c r="I155" i="1"/>
  <c r="H155" i="1"/>
  <c r="G155" i="1"/>
  <c r="F155" i="1"/>
  <c r="E155" i="1"/>
  <c r="D155" i="1"/>
  <c r="C155" i="1"/>
  <c r="I154" i="1"/>
  <c r="H154" i="1"/>
  <c r="G154" i="1"/>
  <c r="F154" i="1"/>
  <c r="E154" i="1"/>
  <c r="D154" i="1"/>
  <c r="C154" i="1"/>
  <c r="I153" i="1"/>
  <c r="H153" i="1"/>
  <c r="G153" i="1"/>
  <c r="F153" i="1"/>
  <c r="E153" i="1"/>
  <c r="D153" i="1"/>
  <c r="C153" i="1"/>
  <c r="I152" i="1"/>
  <c r="H152" i="1"/>
  <c r="G152" i="1"/>
  <c r="F152" i="1"/>
  <c r="E152" i="1"/>
  <c r="D152" i="1"/>
  <c r="C152" i="1"/>
  <c r="I151" i="1"/>
  <c r="H151" i="1"/>
  <c r="G151" i="1"/>
  <c r="F151" i="1"/>
  <c r="E151" i="1"/>
  <c r="D151" i="1"/>
  <c r="C151" i="1"/>
  <c r="I150" i="1"/>
  <c r="H150" i="1"/>
  <c r="G150" i="1"/>
  <c r="F150" i="1"/>
  <c r="E150" i="1"/>
  <c r="D150" i="1"/>
  <c r="C150" i="1"/>
  <c r="I149" i="1"/>
  <c r="H149" i="1"/>
  <c r="G149" i="1"/>
  <c r="F149" i="1"/>
  <c r="E149" i="1"/>
  <c r="D149" i="1"/>
  <c r="C149" i="1"/>
  <c r="I148" i="1"/>
  <c r="H148" i="1"/>
  <c r="G148" i="1"/>
  <c r="F148" i="1"/>
  <c r="E148" i="1"/>
  <c r="D148" i="1"/>
  <c r="C148" i="1"/>
  <c r="I147" i="1"/>
  <c r="H147" i="1"/>
  <c r="G147" i="1"/>
  <c r="F147" i="1"/>
  <c r="E147" i="1"/>
  <c r="D147" i="1"/>
  <c r="C147" i="1"/>
  <c r="I146" i="1"/>
  <c r="H146" i="1"/>
  <c r="G146" i="1"/>
  <c r="F146" i="1"/>
  <c r="E146" i="1"/>
  <c r="D146" i="1"/>
  <c r="C146" i="1"/>
  <c r="I145" i="1"/>
  <c r="H145" i="1"/>
  <c r="G145" i="1"/>
  <c r="F145" i="1"/>
  <c r="E145" i="1"/>
  <c r="D145" i="1"/>
  <c r="C145" i="1"/>
  <c r="I144" i="1"/>
  <c r="H144" i="1"/>
  <c r="G144" i="1"/>
  <c r="F144" i="1"/>
  <c r="E144" i="1"/>
  <c r="D144" i="1"/>
  <c r="C144" i="1"/>
  <c r="I143" i="1"/>
  <c r="H143" i="1"/>
  <c r="G143" i="1"/>
  <c r="F143" i="1"/>
  <c r="E143" i="1"/>
  <c r="D143" i="1"/>
  <c r="C143" i="1"/>
  <c r="I142" i="1"/>
  <c r="H142" i="1"/>
  <c r="G142" i="1"/>
  <c r="F142" i="1"/>
  <c r="E142" i="1"/>
  <c r="D142" i="1"/>
  <c r="C142" i="1"/>
  <c r="I141" i="1"/>
  <c r="H141" i="1"/>
  <c r="G141" i="1"/>
  <c r="F141" i="1"/>
  <c r="E141" i="1"/>
  <c r="D141" i="1"/>
  <c r="C141" i="1"/>
  <c r="I140" i="1"/>
  <c r="H140" i="1"/>
  <c r="G140" i="1"/>
  <c r="F140" i="1"/>
  <c r="E140" i="1"/>
  <c r="D140" i="1"/>
  <c r="C140" i="1"/>
  <c r="I139" i="1"/>
  <c r="H139" i="1"/>
  <c r="G139" i="1"/>
  <c r="F139" i="1"/>
  <c r="E139" i="1"/>
  <c r="D139" i="1"/>
  <c r="C139" i="1"/>
  <c r="I138" i="1"/>
  <c r="H138" i="1"/>
  <c r="G138" i="1"/>
  <c r="F138" i="1"/>
  <c r="E138" i="1"/>
  <c r="D138" i="1"/>
  <c r="C138" i="1"/>
  <c r="I137" i="1"/>
  <c r="H137" i="1"/>
  <c r="G137" i="1"/>
  <c r="F137" i="1"/>
  <c r="E137" i="1"/>
  <c r="D137" i="1"/>
  <c r="C137" i="1"/>
  <c r="I136" i="1"/>
  <c r="H136" i="1"/>
  <c r="G136" i="1"/>
  <c r="F136" i="1"/>
  <c r="E136" i="1"/>
  <c r="D136" i="1"/>
  <c r="C136" i="1"/>
  <c r="I135" i="1"/>
  <c r="H135" i="1"/>
  <c r="G135" i="1"/>
  <c r="F135" i="1"/>
  <c r="E135" i="1"/>
  <c r="D135" i="1"/>
  <c r="C135" i="1"/>
  <c r="I134" i="1"/>
  <c r="H134" i="1"/>
  <c r="G134" i="1"/>
  <c r="F134" i="1"/>
  <c r="E134" i="1"/>
  <c r="D134" i="1"/>
  <c r="C134" i="1"/>
  <c r="I133" i="1"/>
  <c r="H133" i="1"/>
  <c r="G133" i="1"/>
  <c r="F133" i="1"/>
  <c r="E133" i="1"/>
  <c r="D133" i="1"/>
  <c r="C133" i="1"/>
  <c r="I132" i="1"/>
  <c r="H132" i="1"/>
  <c r="G132" i="1"/>
  <c r="F132" i="1"/>
  <c r="E132" i="1"/>
  <c r="D132" i="1"/>
  <c r="C132" i="1"/>
  <c r="I131" i="1"/>
  <c r="H131" i="1"/>
  <c r="G131" i="1"/>
  <c r="F131" i="1"/>
  <c r="E131" i="1"/>
  <c r="D131" i="1"/>
  <c r="C131" i="1"/>
  <c r="I130" i="1"/>
  <c r="H130" i="1"/>
  <c r="G130" i="1"/>
  <c r="F130" i="1"/>
  <c r="E130" i="1"/>
  <c r="D130" i="1"/>
  <c r="C130" i="1"/>
  <c r="I129" i="1"/>
  <c r="H129" i="1"/>
  <c r="G129" i="1"/>
  <c r="F129" i="1"/>
  <c r="E129" i="1"/>
  <c r="D129" i="1"/>
  <c r="C129" i="1"/>
  <c r="I128" i="1"/>
  <c r="H128" i="1"/>
  <c r="G128" i="1"/>
  <c r="F128" i="1"/>
  <c r="E128" i="1"/>
  <c r="D128" i="1"/>
  <c r="C128" i="1"/>
  <c r="I127" i="1"/>
  <c r="H127" i="1"/>
  <c r="G127" i="1"/>
  <c r="F127" i="1"/>
  <c r="E127" i="1"/>
  <c r="D127" i="1"/>
  <c r="C127" i="1"/>
  <c r="I126" i="1"/>
  <c r="H126" i="1"/>
  <c r="G126" i="1"/>
  <c r="F126" i="1"/>
  <c r="E126" i="1"/>
  <c r="D126" i="1"/>
  <c r="C126" i="1"/>
  <c r="I125" i="1"/>
  <c r="H125" i="1"/>
  <c r="G125" i="1"/>
  <c r="F125" i="1"/>
  <c r="E125" i="1"/>
  <c r="D125" i="1"/>
  <c r="C125" i="1"/>
  <c r="I124" i="1"/>
  <c r="H124" i="1"/>
  <c r="G124" i="1"/>
  <c r="F124" i="1"/>
  <c r="E124" i="1"/>
  <c r="D124" i="1"/>
  <c r="C124" i="1"/>
  <c r="I123" i="1"/>
  <c r="H123" i="1"/>
  <c r="G123" i="1"/>
  <c r="F123" i="1"/>
  <c r="E123" i="1"/>
  <c r="D123" i="1"/>
  <c r="C123" i="1"/>
  <c r="I122" i="1"/>
  <c r="H122" i="1"/>
  <c r="G122" i="1"/>
  <c r="F122" i="1"/>
  <c r="E122" i="1"/>
  <c r="D122" i="1"/>
  <c r="C122" i="1"/>
  <c r="I121" i="1"/>
  <c r="H121" i="1"/>
  <c r="G121" i="1"/>
  <c r="F121" i="1"/>
  <c r="E121" i="1"/>
  <c r="D121" i="1"/>
  <c r="C121" i="1"/>
  <c r="I120" i="1"/>
  <c r="H120" i="1"/>
  <c r="G120" i="1"/>
  <c r="F120" i="1"/>
  <c r="E120" i="1"/>
  <c r="D120" i="1"/>
  <c r="C120" i="1"/>
  <c r="I119" i="1"/>
  <c r="H119" i="1"/>
  <c r="G119" i="1"/>
  <c r="F119" i="1"/>
  <c r="E119" i="1"/>
  <c r="D119" i="1"/>
  <c r="C119" i="1"/>
  <c r="I118" i="1"/>
  <c r="H118" i="1"/>
  <c r="G118" i="1"/>
  <c r="F118" i="1"/>
  <c r="E118" i="1"/>
  <c r="D118" i="1"/>
  <c r="C118" i="1"/>
  <c r="I117" i="1"/>
  <c r="H117" i="1"/>
  <c r="G117" i="1"/>
  <c r="F117" i="1"/>
  <c r="E117" i="1"/>
  <c r="D117" i="1"/>
  <c r="C117" i="1"/>
  <c r="I116" i="1"/>
  <c r="H116" i="1"/>
  <c r="G116" i="1"/>
  <c r="F116" i="1"/>
  <c r="E116" i="1"/>
  <c r="D116" i="1"/>
  <c r="C116" i="1"/>
  <c r="I115" i="1"/>
  <c r="H115" i="1"/>
  <c r="G115" i="1"/>
  <c r="F115" i="1"/>
  <c r="E115" i="1"/>
  <c r="D115" i="1"/>
  <c r="C115" i="1"/>
  <c r="I114" i="1"/>
  <c r="H114" i="1"/>
  <c r="G114" i="1"/>
  <c r="F114" i="1"/>
  <c r="E114" i="1"/>
  <c r="D114" i="1"/>
  <c r="C114" i="1"/>
  <c r="I113" i="1"/>
  <c r="H113" i="1"/>
  <c r="G113" i="1"/>
  <c r="F113" i="1"/>
  <c r="E113" i="1"/>
  <c r="D113" i="1"/>
  <c r="C113" i="1"/>
  <c r="I112" i="1"/>
  <c r="H112" i="1"/>
  <c r="G112" i="1"/>
  <c r="F112" i="1"/>
  <c r="E112" i="1"/>
  <c r="D112" i="1"/>
  <c r="C112" i="1"/>
  <c r="I111" i="1"/>
  <c r="H111" i="1"/>
  <c r="G111" i="1"/>
  <c r="F111" i="1"/>
  <c r="E111" i="1"/>
  <c r="D111" i="1"/>
  <c r="C111" i="1"/>
  <c r="I110" i="1"/>
  <c r="H110" i="1"/>
  <c r="G110" i="1"/>
  <c r="F110" i="1"/>
  <c r="E110" i="1"/>
  <c r="D110" i="1"/>
  <c r="C110" i="1"/>
  <c r="I109" i="1"/>
  <c r="H109" i="1"/>
  <c r="G109" i="1"/>
  <c r="F109" i="1"/>
  <c r="E109" i="1"/>
  <c r="D109" i="1"/>
  <c r="C109" i="1"/>
  <c r="I108" i="1"/>
  <c r="H108" i="1"/>
  <c r="G108" i="1"/>
  <c r="F108" i="1"/>
  <c r="E108" i="1"/>
  <c r="D108" i="1"/>
  <c r="C108" i="1"/>
  <c r="I107" i="1"/>
  <c r="H107" i="1"/>
  <c r="G107" i="1"/>
  <c r="F107" i="1"/>
  <c r="E107" i="1"/>
  <c r="D107" i="1"/>
  <c r="C107" i="1"/>
  <c r="I106" i="1"/>
  <c r="H106" i="1"/>
  <c r="G106" i="1"/>
  <c r="F106" i="1"/>
  <c r="E106" i="1"/>
  <c r="D106" i="1"/>
  <c r="C106" i="1"/>
  <c r="I105" i="1"/>
  <c r="H105" i="1"/>
  <c r="G105" i="1"/>
  <c r="F105" i="1"/>
  <c r="E105" i="1"/>
  <c r="D105" i="1"/>
  <c r="C105" i="1"/>
  <c r="I104" i="1"/>
  <c r="H104" i="1"/>
  <c r="G104" i="1"/>
  <c r="F104" i="1"/>
  <c r="E104" i="1"/>
  <c r="D104" i="1"/>
  <c r="C104" i="1"/>
  <c r="I103" i="1"/>
  <c r="H103" i="1"/>
  <c r="G103" i="1"/>
  <c r="F103" i="1"/>
  <c r="E103" i="1"/>
  <c r="D103" i="1"/>
  <c r="C103" i="1"/>
  <c r="I102" i="1"/>
  <c r="H102" i="1"/>
  <c r="G102" i="1"/>
  <c r="F102" i="1"/>
  <c r="E102" i="1"/>
  <c r="D102" i="1"/>
  <c r="C102" i="1"/>
  <c r="I101" i="1"/>
  <c r="H101" i="1"/>
  <c r="G101" i="1"/>
  <c r="F101" i="1"/>
  <c r="E101" i="1"/>
  <c r="D101" i="1"/>
  <c r="C101" i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<sst xmlns="http://schemas.openxmlformats.org/spreadsheetml/2006/main" count="8324" uniqueCount="363">
  <si>
    <t>阿勒泰地区</t>
  </si>
  <si>
    <t>塔城地区</t>
  </si>
  <si>
    <t>伊犁哈萨克自治州</t>
  </si>
  <si>
    <t>和田地区</t>
  </si>
  <si>
    <t>喀什地区</t>
  </si>
  <si>
    <t>克孜勒苏柯尔克孜自治州</t>
  </si>
  <si>
    <t>阿克苏地区</t>
  </si>
  <si>
    <t>巴音郭楞蒙古自治州</t>
  </si>
  <si>
    <t>博尔塔拉蒙古自治州</t>
  </si>
  <si>
    <t>昌吉回族自治州</t>
  </si>
  <si>
    <t>哈密地区</t>
  </si>
  <si>
    <t>吐鲁番地区</t>
  </si>
  <si>
    <t>克拉玛依市</t>
  </si>
  <si>
    <t>乌鲁木齐市</t>
  </si>
  <si>
    <t>中卫市</t>
  </si>
  <si>
    <t>固原市</t>
  </si>
  <si>
    <t>吴忠市</t>
  </si>
  <si>
    <t>石嘴山市</t>
  </si>
  <si>
    <t>银川市</t>
  </si>
  <si>
    <t>海西蒙古族藏族自治州</t>
  </si>
  <si>
    <t>玉树藏族自治州</t>
  </si>
  <si>
    <t>果洛藏族自治州</t>
  </si>
  <si>
    <t>海南藏族自治州</t>
  </si>
  <si>
    <t>黄南藏族自治州</t>
  </si>
  <si>
    <t>海北藏族自治州</t>
  </si>
  <si>
    <t>海东地区</t>
  </si>
  <si>
    <t>海东市</t>
  </si>
  <si>
    <t>西宁市</t>
  </si>
  <si>
    <t>青海省</t>
  </si>
  <si>
    <t>省直辖县</t>
  </si>
  <si>
    <t>甘南藏族自治州</t>
  </si>
  <si>
    <t>临夏回族自治州</t>
  </si>
  <si>
    <t>陇南市</t>
  </si>
  <si>
    <t>定西市</t>
  </si>
  <si>
    <t>庆阳市</t>
  </si>
  <si>
    <t>酒泉市</t>
  </si>
  <si>
    <t>平凉市</t>
  </si>
  <si>
    <t>张掖市</t>
  </si>
  <si>
    <t>武威市</t>
  </si>
  <si>
    <t>天水市</t>
  </si>
  <si>
    <t>白银市</t>
  </si>
  <si>
    <t>金昌市</t>
  </si>
  <si>
    <t>嘉峪关市</t>
  </si>
  <si>
    <t>兰州市</t>
  </si>
  <si>
    <t>商洛市</t>
  </si>
  <si>
    <t>安康市</t>
  </si>
  <si>
    <t>榆林市</t>
  </si>
  <si>
    <t>汉中市</t>
  </si>
  <si>
    <t>延安市</t>
  </si>
  <si>
    <t>渭南市</t>
  </si>
  <si>
    <t>咸阳市</t>
  </si>
  <si>
    <t>宝鸡市</t>
  </si>
  <si>
    <t>铜川市</t>
  </si>
  <si>
    <t>西安市</t>
  </si>
  <si>
    <t>林芝地区</t>
  </si>
  <si>
    <t>阿里地区</t>
  </si>
  <si>
    <t>那曲地区</t>
  </si>
  <si>
    <t>日喀则地区</t>
  </si>
  <si>
    <t>山南地区</t>
  </si>
  <si>
    <t>昌都地区</t>
  </si>
  <si>
    <t>林芝市</t>
  </si>
  <si>
    <t>昌都市</t>
  </si>
  <si>
    <t>日喀则市</t>
  </si>
  <si>
    <t>拉萨市</t>
  </si>
  <si>
    <t>迪庆藏族自治州</t>
  </si>
  <si>
    <t>怒江傈僳族自治州</t>
  </si>
  <si>
    <t>德宏傣族景颇族自治州</t>
  </si>
  <si>
    <t>大理白族自治州</t>
  </si>
  <si>
    <t>西双版纳傣族自治州</t>
  </si>
  <si>
    <t>文山壮族苗族自治州</t>
  </si>
  <si>
    <t>红河哈尼族彝族自治州</t>
  </si>
  <si>
    <t>楚雄彝族自治州</t>
  </si>
  <si>
    <t>临沧市</t>
  </si>
  <si>
    <t>普洱市</t>
  </si>
  <si>
    <t>思茅市</t>
  </si>
  <si>
    <t>丽江市</t>
  </si>
  <si>
    <t>昭通市</t>
  </si>
  <si>
    <t>保山市</t>
  </si>
  <si>
    <t>玉溪市</t>
  </si>
  <si>
    <t>曲靖市</t>
  </si>
  <si>
    <t>昆明市</t>
  </si>
  <si>
    <t>黔南布依族苗族自治州</t>
  </si>
  <si>
    <t>黔东南苗族侗族自治州</t>
  </si>
  <si>
    <t>毕节市</t>
  </si>
  <si>
    <t>毕节地区</t>
  </si>
  <si>
    <t>黔西南布依族苗族自治州</t>
  </si>
  <si>
    <t>铜仁地区</t>
  </si>
  <si>
    <t>铜仁市</t>
  </si>
  <si>
    <t>安顺市</t>
  </si>
  <si>
    <t>遵义市</t>
  </si>
  <si>
    <t>六盘水市</t>
  </si>
  <si>
    <t>贵阳市</t>
  </si>
  <si>
    <t>凉山彝族自治州</t>
  </si>
  <si>
    <t>甘孜藏族自治州</t>
  </si>
  <si>
    <t>阿坝藏族羌族自治州</t>
  </si>
  <si>
    <t>资阳市</t>
  </si>
  <si>
    <t>巴中市</t>
  </si>
  <si>
    <t>雅安市</t>
  </si>
  <si>
    <t>达州市</t>
  </si>
  <si>
    <t>广安市</t>
  </si>
  <si>
    <t>宜宾市</t>
  </si>
  <si>
    <t>眉山市</t>
  </si>
  <si>
    <t>南充市</t>
  </si>
  <si>
    <t>乐山市</t>
  </si>
  <si>
    <t>内江市</t>
  </si>
  <si>
    <t>遂宁市</t>
  </si>
  <si>
    <t>广元市</t>
  </si>
  <si>
    <t>绵阳市</t>
  </si>
  <si>
    <t>德阳市</t>
  </si>
  <si>
    <t>泸州市</t>
  </si>
  <si>
    <t>攀枝花市</t>
  </si>
  <si>
    <t>自贡市</t>
  </si>
  <si>
    <t>成都市</t>
  </si>
  <si>
    <t>重庆市</t>
  </si>
  <si>
    <t>三沙市</t>
  </si>
  <si>
    <t>三亚市</t>
  </si>
  <si>
    <t>海口市</t>
  </si>
  <si>
    <t>海南省</t>
  </si>
  <si>
    <t>崇左市</t>
  </si>
  <si>
    <t>来宾市</t>
  </si>
  <si>
    <t>河池市</t>
  </si>
  <si>
    <t>贺州市</t>
  </si>
  <si>
    <t>百色市</t>
  </si>
  <si>
    <t>玉林市</t>
  </si>
  <si>
    <t>贵港市</t>
  </si>
  <si>
    <t>钦州市</t>
  </si>
  <si>
    <t>防城港市</t>
  </si>
  <si>
    <t>北海市</t>
  </si>
  <si>
    <t>梧州市</t>
  </si>
  <si>
    <t>桂林市</t>
  </si>
  <si>
    <t>柳州市</t>
  </si>
  <si>
    <t>南宁市</t>
  </si>
  <si>
    <t>云浮市</t>
  </si>
  <si>
    <t>揭阳市</t>
  </si>
  <si>
    <t>潮州市</t>
  </si>
  <si>
    <t>中山市</t>
  </si>
  <si>
    <t>东莞市</t>
  </si>
  <si>
    <t>清远市</t>
  </si>
  <si>
    <t>阳江市</t>
  </si>
  <si>
    <t>河源市</t>
  </si>
  <si>
    <t>汕尾市</t>
  </si>
  <si>
    <t>梅州市</t>
  </si>
  <si>
    <t>惠州市</t>
  </si>
  <si>
    <t>肇庆市</t>
  </si>
  <si>
    <t>茂名市</t>
  </si>
  <si>
    <t>湛江市</t>
  </si>
  <si>
    <t>江门市</t>
  </si>
  <si>
    <t>佛山市</t>
  </si>
  <si>
    <t>汕头市</t>
  </si>
  <si>
    <t>珠海市</t>
  </si>
  <si>
    <t>深圳市</t>
  </si>
  <si>
    <t>韶关市</t>
  </si>
  <si>
    <t>广州市</t>
  </si>
  <si>
    <t>湘西土家族苗族自治州</t>
  </si>
  <si>
    <t>娄底市</t>
  </si>
  <si>
    <t>怀化市</t>
  </si>
  <si>
    <t>永州市</t>
  </si>
  <si>
    <t>郴州市</t>
  </si>
  <si>
    <t>益阳市</t>
  </si>
  <si>
    <t>张家界市</t>
  </si>
  <si>
    <t>常德市</t>
  </si>
  <si>
    <t>岳阳市</t>
  </si>
  <si>
    <t>邵阳市</t>
  </si>
  <si>
    <t>衡阳市</t>
  </si>
  <si>
    <t>湘潭市</t>
  </si>
  <si>
    <t>株洲市</t>
  </si>
  <si>
    <t>长沙市</t>
  </si>
  <si>
    <t>恩施土家族苗族自治州</t>
  </si>
  <si>
    <t>随州市</t>
  </si>
  <si>
    <t>咸宁市</t>
  </si>
  <si>
    <t>黄冈市</t>
  </si>
  <si>
    <t>荆州市</t>
  </si>
  <si>
    <t>孝感市</t>
  </si>
  <si>
    <t>荆门市</t>
  </si>
  <si>
    <t>鄂州市</t>
  </si>
  <si>
    <t>襄樊市</t>
  </si>
  <si>
    <t>宜昌市</t>
  </si>
  <si>
    <t>十堰市</t>
  </si>
  <si>
    <t>黄石市</t>
  </si>
  <si>
    <t>武汉市</t>
  </si>
  <si>
    <t>济源市</t>
  </si>
  <si>
    <t>驻马店市</t>
  </si>
  <si>
    <t>周口市</t>
  </si>
  <si>
    <t>信阳市</t>
  </si>
  <si>
    <t>商丘市</t>
  </si>
  <si>
    <t>南阳市</t>
  </si>
  <si>
    <t>三门峡市</t>
  </si>
  <si>
    <t>漯河市</t>
  </si>
  <si>
    <t>许昌市</t>
  </si>
  <si>
    <t>濮阳市</t>
  </si>
  <si>
    <t>焦作市</t>
  </si>
  <si>
    <t>新乡市</t>
  </si>
  <si>
    <t>鹤壁市</t>
  </si>
  <si>
    <t>安阳市</t>
  </si>
  <si>
    <t>平顶山市</t>
  </si>
  <si>
    <t>洛阳市</t>
  </si>
  <si>
    <t>开封市</t>
  </si>
  <si>
    <t>郑州市</t>
  </si>
  <si>
    <t>河南省</t>
  </si>
  <si>
    <t>菏泽市</t>
  </si>
  <si>
    <t>滨州市</t>
  </si>
  <si>
    <t>聊城市</t>
  </si>
  <si>
    <t>德州市</t>
  </si>
  <si>
    <t>临沂市</t>
  </si>
  <si>
    <t>莱芜市</t>
  </si>
  <si>
    <t>日照市</t>
  </si>
  <si>
    <t>威海市</t>
  </si>
  <si>
    <t>泰安市</t>
  </si>
  <si>
    <t>济宁市</t>
  </si>
  <si>
    <t>潍坊市</t>
  </si>
  <si>
    <t>烟台市</t>
  </si>
  <si>
    <t>东营市</t>
  </si>
  <si>
    <t>枣庄市</t>
  </si>
  <si>
    <t>淄博市</t>
  </si>
  <si>
    <t>青岛市</t>
  </si>
  <si>
    <t>济南市</t>
  </si>
  <si>
    <t>上饶市</t>
  </si>
  <si>
    <t>抚州市</t>
  </si>
  <si>
    <t>宜春市</t>
  </si>
  <si>
    <t>吉安市</t>
  </si>
  <si>
    <t>赣州市</t>
  </si>
  <si>
    <t>鹰潭市</t>
  </si>
  <si>
    <t>新余市</t>
  </si>
  <si>
    <t>九江市</t>
  </si>
  <si>
    <t>萍乡市</t>
  </si>
  <si>
    <t>景德镇市</t>
  </si>
  <si>
    <t>南昌市</t>
  </si>
  <si>
    <t>江西省</t>
  </si>
  <si>
    <t>宁德市</t>
  </si>
  <si>
    <t>龙岩市</t>
  </si>
  <si>
    <t>南平市</t>
  </si>
  <si>
    <t>漳州市</t>
  </si>
  <si>
    <t>泉州市</t>
  </si>
  <si>
    <t>三明市</t>
  </si>
  <si>
    <t>莆田市</t>
  </si>
  <si>
    <t>厦门市</t>
  </si>
  <si>
    <t>福州市</t>
  </si>
  <si>
    <t>宣城市</t>
  </si>
  <si>
    <t>池州市</t>
  </si>
  <si>
    <t>亳州市</t>
  </si>
  <si>
    <t>六安市</t>
  </si>
  <si>
    <t>宿州市</t>
  </si>
  <si>
    <t>阜阳市</t>
  </si>
  <si>
    <t>滁州市</t>
  </si>
  <si>
    <t>黄山市</t>
  </si>
  <si>
    <t>安庆市</t>
  </si>
  <si>
    <t>铜陵市</t>
  </si>
  <si>
    <t>淮北市</t>
  </si>
  <si>
    <t>马鞍山市</t>
  </si>
  <si>
    <t>淮南市</t>
  </si>
  <si>
    <t>蚌埠市</t>
  </si>
  <si>
    <t>芜湖市</t>
  </si>
  <si>
    <t>合肥市</t>
  </si>
  <si>
    <t>丽水市</t>
  </si>
  <si>
    <t>台州市</t>
  </si>
  <si>
    <t>舟山市</t>
  </si>
  <si>
    <t>衢州市</t>
  </si>
  <si>
    <t>金华市</t>
  </si>
  <si>
    <t>绍兴市</t>
  </si>
  <si>
    <t>湖州市</t>
  </si>
  <si>
    <t>嘉兴市</t>
  </si>
  <si>
    <t>温州市</t>
  </si>
  <si>
    <t>宁波市</t>
  </si>
  <si>
    <t>杭州市</t>
  </si>
  <si>
    <t>宿迁市</t>
  </si>
  <si>
    <t>泰州市</t>
  </si>
  <si>
    <t>镇江市</t>
  </si>
  <si>
    <t>扬州市</t>
  </si>
  <si>
    <t>盐城市</t>
  </si>
  <si>
    <t>淮安市</t>
  </si>
  <si>
    <t>连云港市</t>
  </si>
  <si>
    <t>南通市</t>
  </si>
  <si>
    <t>苏州市</t>
  </si>
  <si>
    <t>常州市</t>
  </si>
  <si>
    <t>徐州市</t>
  </si>
  <si>
    <t>无锡市</t>
  </si>
  <si>
    <t>南京市</t>
  </si>
  <si>
    <t>上海市</t>
  </si>
  <si>
    <t>大兴安岭地区</t>
  </si>
  <si>
    <t>绥化市</t>
  </si>
  <si>
    <t>黑河市</t>
  </si>
  <si>
    <t>牡丹江市</t>
  </si>
  <si>
    <t>七台河市</t>
  </si>
  <si>
    <t>佳木斯市</t>
  </si>
  <si>
    <t>伊春市</t>
  </si>
  <si>
    <t>大庆市</t>
  </si>
  <si>
    <t>双鸭山市</t>
  </si>
  <si>
    <t>鹤岗市</t>
  </si>
  <si>
    <t>鸡西市</t>
  </si>
  <si>
    <t>齐齐哈尔市</t>
  </si>
  <si>
    <t>哈尔滨市</t>
  </si>
  <si>
    <t>延边朝鲜族自治州</t>
  </si>
  <si>
    <t>白城市</t>
  </si>
  <si>
    <t>松原市</t>
  </si>
  <si>
    <t>白山市</t>
  </si>
  <si>
    <t>通化市</t>
  </si>
  <si>
    <t>辽源市</t>
  </si>
  <si>
    <t>四平市</t>
  </si>
  <si>
    <t>吉林市</t>
  </si>
  <si>
    <t>长春市</t>
  </si>
  <si>
    <t>吉林省</t>
  </si>
  <si>
    <t>葫芦岛市</t>
  </si>
  <si>
    <t>朝阳市</t>
  </si>
  <si>
    <t>铁岭市</t>
  </si>
  <si>
    <t>盘锦市</t>
  </si>
  <si>
    <t>辽阳市</t>
  </si>
  <si>
    <t>阜新市</t>
  </si>
  <si>
    <t>营口市</t>
  </si>
  <si>
    <t>锦州市</t>
  </si>
  <si>
    <t>丹东市</t>
  </si>
  <si>
    <t>本溪市</t>
  </si>
  <si>
    <t>抚顺市</t>
  </si>
  <si>
    <t>鞍山市</t>
  </si>
  <si>
    <t>大连市</t>
  </si>
  <si>
    <t>沈阳市</t>
  </si>
  <si>
    <t>辽宁省</t>
  </si>
  <si>
    <t>阿拉善盟</t>
  </si>
  <si>
    <t>锡林郭勒盟</t>
  </si>
  <si>
    <t>兴安盟</t>
  </si>
  <si>
    <t>乌兰察布市</t>
  </si>
  <si>
    <t>巴彦淖尔市</t>
  </si>
  <si>
    <t>呼伦贝尔市</t>
  </si>
  <si>
    <t>鄂尔多斯市</t>
  </si>
  <si>
    <t>通辽市</t>
  </si>
  <si>
    <t>赤峰市</t>
  </si>
  <si>
    <t>乌海市</t>
  </si>
  <si>
    <t>包头市</t>
  </si>
  <si>
    <t>呼和浩特市</t>
  </si>
  <si>
    <t>吕梁市</t>
  </si>
  <si>
    <t>临汾市</t>
  </si>
  <si>
    <t>忻州市</t>
  </si>
  <si>
    <t>运城市</t>
  </si>
  <si>
    <t>晋中市</t>
  </si>
  <si>
    <t>朔州市</t>
  </si>
  <si>
    <t>晋城市</t>
  </si>
  <si>
    <t>长治市</t>
  </si>
  <si>
    <t>阳泉市</t>
  </si>
  <si>
    <t>大同市</t>
  </si>
  <si>
    <t>太原市</t>
  </si>
  <si>
    <t>山西省</t>
  </si>
  <si>
    <t>衡水市</t>
  </si>
  <si>
    <t>廊坊市</t>
  </si>
  <si>
    <t>沧州市</t>
  </si>
  <si>
    <t>承德市</t>
  </si>
  <si>
    <t>张家口市</t>
  </si>
  <si>
    <t>保定市</t>
  </si>
  <si>
    <t>邢台市</t>
  </si>
  <si>
    <t>邯郸市</t>
  </si>
  <si>
    <t>秦皇岛市</t>
  </si>
  <si>
    <t>唐山市</t>
  </si>
  <si>
    <t>石家庄市</t>
  </si>
  <si>
    <t>天津市</t>
  </si>
  <si>
    <t>北京市</t>
  </si>
  <si>
    <t>水域及水利设施用地</t>
  </si>
  <si>
    <t>交通运输用地</t>
  </si>
  <si>
    <t>城镇村</t>
    <phoneticPr fontId="2" type="noConversion"/>
  </si>
  <si>
    <t>草地</t>
  </si>
  <si>
    <t>林地</t>
  </si>
  <si>
    <t>园地</t>
  </si>
  <si>
    <t>耕地</t>
  </si>
  <si>
    <t>年份</t>
  </si>
  <si>
    <t>行政
单位</t>
  </si>
  <si>
    <t>单位：平方公里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</si>
</sst>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 tint="0.249977111117893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b/>
      <sz val="10"/>
      <color theme="1" tint="0.24997711111789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1" fillId="0" borderId="0" xfId="0" applyFont="1"/>
    <xf numFmtId="49" fontId="3" fillId="0" borderId="2" xfId="1" applyNumberFormat="1" applyFont="1" applyFill="1" applyBorder="1" applyAlignment="1" applyProtection="1">
      <alignment horizontal="center" vertical="center" wrapText="1"/>
    </xf>
    <xf numFmtId="49" fontId="3" fillId="0" borderId="2" xfId="1" applyNumberFormat="1" applyFont="1" applyFill="1" applyBorder="1" applyAlignment="1" applyProtection="1">
      <alignment vertical="center" wrapText="1"/>
    </xf>
    <xf numFmtId="49" fontId="3" fillId="0" borderId="3" xfId="1" applyNumberFormat="1" applyFont="1" applyFill="1" applyBorder="1" applyAlignment="1" applyProtection="1">
      <alignment vertical="center" wrapText="1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0" fillId="0" borderId="0" xfId="0" applyNumberFormat="1"/>
    <xf numFmtId="0" fontId="0" fillId="0" borderId="0" xfId="0" applyNumberFormat="1"/>
    <xf numFmtId="0" fontId="0" fillId="0" borderId="0" xfId="0" applyBorder="1"/>
    <xf numFmtId="176" fontId="0" fillId="0" borderId="0" xfId="0" applyNumberFormat="1" applyBorder="1"/>
  </cellXfs>
  <cellStyles count="3">
    <cellStyle name="40% - 着色 5" xfId="1" builtinId="47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ldata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zldat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zldata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809A-151C-43B9-8FE4-64555AE707B1}">
  <dimension ref="A1:K3053"/>
  <sheetViews>
    <sheetView tabSelected="1" zoomScale="115" zoomScaleNormal="115" workbookViewId="0">
      <selection activeCell="Q9" sqref="Q9"/>
    </sheetView>
  </sheetViews>
  <sheetFormatPr defaultRowHeight="14.25" x14ac:dyDescent="0.2"/>
  <cols>
    <col min="1" max="1" width="20.5" style="1" bestFit="1" customWidth="1"/>
    <col min="2" max="2" width="11.75" style="1" customWidth="1"/>
    <col min="3" max="3" width="8.5" customWidth="1"/>
    <col min="4" max="6" width="9.375" customWidth="1"/>
    <col min="8" max="8" width="8.375" customWidth="1"/>
    <col min="9" max="9" width="9.375" bestFit="1" customWidth="1"/>
  </cols>
  <sheetData>
    <row r="1" spans="1:11" x14ac:dyDescent="0.2">
      <c r="A1"/>
      <c r="B1"/>
    </row>
    <row r="2" spans="1:11" x14ac:dyDescent="0.2">
      <c r="A2" t="s">
        <v>362</v>
      </c>
      <c r="B2"/>
    </row>
    <row r="3" spans="1:11" x14ac:dyDescent="0.2">
      <c r="A3" t="s">
        <v>361</v>
      </c>
      <c r="B3" t="s">
        <v>360</v>
      </c>
      <c r="C3" t="s">
        <v>359</v>
      </c>
      <c r="D3" t="s">
        <v>358</v>
      </c>
      <c r="E3" t="s">
        <v>357</v>
      </c>
      <c r="F3" t="s">
        <v>356</v>
      </c>
      <c r="G3" t="s">
        <v>355</v>
      </c>
      <c r="H3" t="s">
        <v>354</v>
      </c>
      <c r="I3" t="s">
        <v>353</v>
      </c>
    </row>
    <row r="4" spans="1:11" ht="16.5" x14ac:dyDescent="0.2">
      <c r="A4" s="4" t="s">
        <v>352</v>
      </c>
      <c r="B4">
        <v>2009</v>
      </c>
      <c r="C4" s="14">
        <v>2272</v>
      </c>
      <c r="D4" s="14">
        <v>1416</v>
      </c>
      <c r="E4" s="14">
        <v>7436.6666666666661</v>
      </c>
      <c r="F4" s="14">
        <v>848.66666666666663</v>
      </c>
      <c r="G4" s="14">
        <v>2727.9999999999995</v>
      </c>
      <c r="H4" s="14">
        <v>444.66666666666663</v>
      </c>
      <c r="I4" s="14">
        <v>802.66666666666663</v>
      </c>
      <c r="K4" s="15"/>
    </row>
    <row r="5" spans="1:11" ht="16.5" x14ac:dyDescent="0.2">
      <c r="A5" s="4" t="s">
        <v>352</v>
      </c>
      <c r="B5">
        <v>2010</v>
      </c>
      <c r="C5" s="14">
        <v>2237.9999999999995</v>
      </c>
      <c r="D5" s="14">
        <v>1392.6666666666665</v>
      </c>
      <c r="E5" s="14">
        <v>7419.9999999999991</v>
      </c>
      <c r="F5" s="14">
        <v>857.99999999999989</v>
      </c>
      <c r="G5" s="14">
        <v>2785.9999999999995</v>
      </c>
      <c r="H5" s="14">
        <v>453.33333333333331</v>
      </c>
      <c r="I5" s="14">
        <v>798</v>
      </c>
    </row>
    <row r="6" spans="1:11" ht="16.5" x14ac:dyDescent="0.2">
      <c r="A6" s="4" t="s">
        <v>352</v>
      </c>
      <c r="B6">
        <v>2011</v>
      </c>
      <c r="C6" s="14">
        <v>2219.333333333333</v>
      </c>
      <c r="D6" s="14">
        <v>1380.6666666666665</v>
      </c>
      <c r="E6" s="14">
        <v>7407.3333333333321</v>
      </c>
      <c r="F6" s="14">
        <v>856.66666666666663</v>
      </c>
      <c r="G6" s="14">
        <v>2829.9999999999995</v>
      </c>
      <c r="H6" s="14">
        <v>454.66666666666663</v>
      </c>
      <c r="I6" s="14">
        <v>793.99999999999989</v>
      </c>
      <c r="K6" s="15"/>
    </row>
    <row r="7" spans="1:11" ht="16.5" x14ac:dyDescent="0.2">
      <c r="A7" s="4" t="s">
        <v>352</v>
      </c>
      <c r="B7">
        <v>2012</v>
      </c>
      <c r="C7" s="14">
        <v>2208.6666666666665</v>
      </c>
      <c r="D7" s="14">
        <v>1371.333333333333</v>
      </c>
      <c r="E7" s="14">
        <v>7396</v>
      </c>
      <c r="F7" s="14">
        <v>854.66666666666652</v>
      </c>
      <c r="G7" s="14">
        <v>2856.6666666666661</v>
      </c>
      <c r="H7" s="14">
        <v>463.33333333333331</v>
      </c>
      <c r="I7" s="14">
        <v>790.66666666666652</v>
      </c>
    </row>
    <row r="8" spans="1:11" ht="16.5" x14ac:dyDescent="0.2">
      <c r="A8" s="5" t="s">
        <v>352</v>
      </c>
      <c r="B8">
        <v>2013</v>
      </c>
      <c r="C8" s="14">
        <v>2211.333333333333</v>
      </c>
      <c r="D8" s="14">
        <v>1356</v>
      </c>
      <c r="E8" s="14">
        <v>7380.6666666666652</v>
      </c>
      <c r="F8" s="14">
        <v>853.33333333333326</v>
      </c>
      <c r="G8" s="14">
        <v>2887.333333333333</v>
      </c>
      <c r="H8" s="14">
        <v>466</v>
      </c>
      <c r="I8" s="14">
        <v>787.33333333333326</v>
      </c>
      <c r="K8" s="15"/>
    </row>
    <row r="9" spans="1:11" ht="16.5" x14ac:dyDescent="0.2">
      <c r="A9" s="5" t="s">
        <v>352</v>
      </c>
      <c r="B9">
        <v>2014</v>
      </c>
      <c r="C9" s="14">
        <v>2199.333333333333</v>
      </c>
      <c r="D9" s="14">
        <v>1351.333333333333</v>
      </c>
      <c r="E9" s="14">
        <v>7375.3333333333321</v>
      </c>
      <c r="F9" s="14">
        <v>851.33333333333326</v>
      </c>
      <c r="G9" s="14">
        <v>2907.333333333333</v>
      </c>
      <c r="H9" s="14">
        <v>469.99999999999994</v>
      </c>
      <c r="I9" s="14">
        <v>783.99999999999989</v>
      </c>
    </row>
    <row r="10" spans="1:11" ht="16.5" x14ac:dyDescent="0.2">
      <c r="A10" s="5" t="s">
        <v>352</v>
      </c>
      <c r="B10">
        <v>2015</v>
      </c>
      <c r="C10" s="14">
        <v>2193.333333333333</v>
      </c>
      <c r="D10" s="14">
        <v>1348.6666666666665</v>
      </c>
      <c r="E10" s="14">
        <v>7370.6666666666652</v>
      </c>
      <c r="F10" s="14">
        <v>850.66666666666652</v>
      </c>
      <c r="G10" s="14">
        <v>2921.333333333333</v>
      </c>
      <c r="H10" s="14">
        <v>470.66666666666657</v>
      </c>
      <c r="I10" s="14">
        <v>783.33333333333326</v>
      </c>
      <c r="K10" s="15"/>
    </row>
    <row r="11" spans="1:11" ht="16.5" x14ac:dyDescent="0.2">
      <c r="A11" s="5" t="s">
        <v>352</v>
      </c>
      <c r="B11">
        <v>2016</v>
      </c>
      <c r="C11" s="14">
        <v>2163.333333333333</v>
      </c>
      <c r="D11" s="14">
        <v>1334.6666666666665</v>
      </c>
      <c r="E11" s="14">
        <v>7397.3333333333321</v>
      </c>
      <c r="F11" s="14">
        <v>847.33333333333326</v>
      </c>
      <c r="G11" s="14">
        <v>2944</v>
      </c>
      <c r="H11" s="14">
        <v>474.66666666666663</v>
      </c>
      <c r="I11" s="14">
        <v>779.99999999999989</v>
      </c>
    </row>
    <row r="12" spans="1:11" ht="16.5" x14ac:dyDescent="0.2">
      <c r="A12" s="4" t="s">
        <v>351</v>
      </c>
      <c r="B12">
        <v>2009</v>
      </c>
      <c r="C12" s="14">
        <v>4471.333333333333</v>
      </c>
      <c r="D12" s="14">
        <v>316.66666666666663</v>
      </c>
      <c r="E12" s="14">
        <v>565.33333333333326</v>
      </c>
      <c r="F12" s="14">
        <v>141.33333333333331</v>
      </c>
      <c r="G12" s="14">
        <v>2999.3333333333335</v>
      </c>
      <c r="H12" s="14">
        <v>402.66666666666663</v>
      </c>
      <c r="I12" s="14">
        <v>2847.333333333333</v>
      </c>
      <c r="K12" s="15"/>
    </row>
    <row r="13" spans="1:11" ht="16.5" x14ac:dyDescent="0.2">
      <c r="A13" s="4" t="s">
        <v>351</v>
      </c>
      <c r="B13">
        <v>2010</v>
      </c>
      <c r="C13" s="14">
        <v>4437.333333333333</v>
      </c>
      <c r="D13" s="14">
        <v>311.99999999999994</v>
      </c>
      <c r="E13" s="14">
        <v>561.99999999999989</v>
      </c>
      <c r="F13" s="14">
        <v>137.99999999999997</v>
      </c>
      <c r="G13" s="14">
        <v>3052.6666666666661</v>
      </c>
      <c r="H13" s="14">
        <v>419.99999999999994</v>
      </c>
      <c r="I13" s="14">
        <v>2821.333333333333</v>
      </c>
    </row>
    <row r="14" spans="1:11" ht="16.5" x14ac:dyDescent="0.2">
      <c r="A14" s="4" t="s">
        <v>351</v>
      </c>
      <c r="B14">
        <v>2011</v>
      </c>
      <c r="C14" s="14">
        <v>4410.6666666666661</v>
      </c>
      <c r="D14" s="14">
        <v>309.33333333333331</v>
      </c>
      <c r="E14" s="14">
        <v>558.66666666666663</v>
      </c>
      <c r="F14" s="14">
        <v>132.66666666666666</v>
      </c>
      <c r="G14" s="14">
        <v>3096.6666666666665</v>
      </c>
      <c r="H14" s="14">
        <v>431.99999999999994</v>
      </c>
      <c r="I14" s="14">
        <v>2800.6666666666665</v>
      </c>
      <c r="K14" s="15"/>
    </row>
    <row r="15" spans="1:11" ht="16.5" x14ac:dyDescent="0.2">
      <c r="A15" s="4" t="s">
        <v>351</v>
      </c>
      <c r="B15">
        <v>2012</v>
      </c>
      <c r="C15" s="14">
        <v>4392.6666666666661</v>
      </c>
      <c r="D15" s="14">
        <v>306.66666666666663</v>
      </c>
      <c r="E15" s="14">
        <v>556</v>
      </c>
      <c r="F15" s="14">
        <v>120.66666666666667</v>
      </c>
      <c r="G15" s="14">
        <v>3147.333333333333</v>
      </c>
      <c r="H15" s="14">
        <v>437.33333333333326</v>
      </c>
      <c r="I15" s="14">
        <v>2776.6666666666665</v>
      </c>
    </row>
    <row r="16" spans="1:11" ht="16.5" x14ac:dyDescent="0.2">
      <c r="A16" s="4" t="s">
        <v>351</v>
      </c>
      <c r="B16">
        <v>2013</v>
      </c>
      <c r="C16" s="14">
        <v>4383.333333333333</v>
      </c>
      <c r="D16" s="14">
        <v>304</v>
      </c>
      <c r="E16" s="14">
        <v>552.66666666666663</v>
      </c>
      <c r="F16" s="14">
        <v>117.99999999999999</v>
      </c>
      <c r="G16" s="14">
        <v>3192</v>
      </c>
      <c r="H16" s="14">
        <v>447.33333333333326</v>
      </c>
      <c r="I16" s="14">
        <v>2737.333333333333</v>
      </c>
      <c r="K16" s="15"/>
    </row>
    <row r="17" spans="1:11" ht="16.5" x14ac:dyDescent="0.2">
      <c r="A17" s="4" t="s">
        <v>351</v>
      </c>
      <c r="B17">
        <v>2014</v>
      </c>
      <c r="C17" s="14">
        <v>4371.9999999999991</v>
      </c>
      <c r="D17" s="14">
        <v>302.66666666666663</v>
      </c>
      <c r="E17" s="14">
        <v>550.66666666666663</v>
      </c>
      <c r="F17" s="14">
        <v>116.66666666666666</v>
      </c>
      <c r="G17" s="14">
        <v>3215.9999999999995</v>
      </c>
      <c r="H17" s="14">
        <v>456.66666666666663</v>
      </c>
      <c r="I17" s="14">
        <v>2716.6666666666665</v>
      </c>
    </row>
    <row r="18" spans="1:11" ht="16.5" x14ac:dyDescent="0.2">
      <c r="A18" s="4" t="s">
        <v>351</v>
      </c>
      <c r="B18">
        <v>2015</v>
      </c>
      <c r="C18" s="14">
        <v>4368.6666666666661</v>
      </c>
      <c r="D18" s="14">
        <v>299.33333333333331</v>
      </c>
      <c r="E18" s="14">
        <v>549.33333333333337</v>
      </c>
      <c r="F18" s="14">
        <v>114</v>
      </c>
      <c r="G18" s="14">
        <v>3229.333333333333</v>
      </c>
      <c r="H18" s="14">
        <v>466.66666666666663</v>
      </c>
      <c r="I18" s="14">
        <v>2699.9999999999995</v>
      </c>
      <c r="K18" s="15"/>
    </row>
    <row r="19" spans="1:11" ht="16.5" x14ac:dyDescent="0.2">
      <c r="A19" s="4" t="s">
        <v>351</v>
      </c>
      <c r="B19">
        <v>2016</v>
      </c>
      <c r="C19" s="14">
        <v>4369.333333333333</v>
      </c>
      <c r="D19" s="14">
        <v>297.33333333333331</v>
      </c>
      <c r="E19" s="14">
        <v>548</v>
      </c>
      <c r="F19" s="14">
        <v>112</v>
      </c>
      <c r="G19" s="14">
        <v>3247.333333333333</v>
      </c>
      <c r="H19" s="14">
        <v>470.66666666666657</v>
      </c>
      <c r="I19" s="14">
        <v>2679.9999999999995</v>
      </c>
    </row>
    <row r="20" spans="1:11" ht="16.5" x14ac:dyDescent="0.2">
      <c r="A20" s="4" t="s">
        <v>350</v>
      </c>
      <c r="B20">
        <v>2009</v>
      </c>
      <c r="C20" s="14">
        <v>5822.6666666666661</v>
      </c>
      <c r="D20" s="14">
        <v>770.66666666666652</v>
      </c>
      <c r="E20" s="14">
        <v>2112</v>
      </c>
      <c r="F20" s="14">
        <v>2155.9999999999995</v>
      </c>
      <c r="G20" s="14">
        <v>1809.9999999999998</v>
      </c>
      <c r="H20" s="14">
        <v>329.99999999999994</v>
      </c>
      <c r="I20" s="14">
        <v>578</v>
      </c>
      <c r="K20" s="15"/>
    </row>
    <row r="21" spans="1:11" ht="16.5" x14ac:dyDescent="0.2">
      <c r="A21" s="4" t="s">
        <v>350</v>
      </c>
      <c r="B21">
        <v>2010</v>
      </c>
      <c r="C21" s="14">
        <v>5788.6666666666661</v>
      </c>
      <c r="D21" s="14">
        <v>768.66666666666663</v>
      </c>
      <c r="E21" s="14">
        <v>2108.6666666666665</v>
      </c>
      <c r="F21" s="14">
        <v>2151.333333333333</v>
      </c>
      <c r="G21" s="14">
        <v>1838.6666666666665</v>
      </c>
      <c r="H21" s="14">
        <v>338.66666666666663</v>
      </c>
      <c r="I21" s="14">
        <v>584.66666666666663</v>
      </c>
    </row>
    <row r="22" spans="1:11" ht="16.5" x14ac:dyDescent="0.2">
      <c r="A22" s="4" t="s">
        <v>350</v>
      </c>
      <c r="B22">
        <v>2011</v>
      </c>
      <c r="C22" s="14">
        <v>5889.333333333333</v>
      </c>
      <c r="D22" s="14">
        <v>642.66666666666663</v>
      </c>
      <c r="E22" s="14">
        <v>2104.6666666666665</v>
      </c>
      <c r="F22" s="14">
        <v>2146.6666666666665</v>
      </c>
      <c r="G22" s="14">
        <v>1859.9999999999998</v>
      </c>
      <c r="H22" s="14">
        <v>343.33333333333331</v>
      </c>
      <c r="I22" s="14">
        <v>586.66666666666663</v>
      </c>
      <c r="K22" s="15"/>
    </row>
    <row r="23" spans="1:11" ht="16.5" x14ac:dyDescent="0.2">
      <c r="A23" s="4" t="s">
        <v>350</v>
      </c>
      <c r="B23">
        <v>2012</v>
      </c>
      <c r="C23" s="14">
        <v>5876.6666666666661</v>
      </c>
      <c r="D23" s="14">
        <v>641.33333333333326</v>
      </c>
      <c r="E23" s="14">
        <v>2102.6666666666665</v>
      </c>
      <c r="F23" s="14">
        <v>2142</v>
      </c>
      <c r="G23" s="14">
        <v>1876.6666666666665</v>
      </c>
      <c r="H23" s="14">
        <v>346.66666666666663</v>
      </c>
      <c r="I23" s="14">
        <v>585.33333333333326</v>
      </c>
    </row>
    <row r="24" spans="1:11" ht="16.5" x14ac:dyDescent="0.2">
      <c r="A24" s="4" t="s">
        <v>350</v>
      </c>
      <c r="B24">
        <v>2013</v>
      </c>
      <c r="C24" s="14">
        <v>5868.6666666666661</v>
      </c>
      <c r="D24" s="14">
        <v>638.66666666666663</v>
      </c>
      <c r="E24" s="14">
        <v>2101.333333333333</v>
      </c>
      <c r="F24" s="14">
        <v>2130</v>
      </c>
      <c r="G24" s="14">
        <v>1894.6666666666665</v>
      </c>
      <c r="H24" s="14">
        <v>347.33333333333331</v>
      </c>
      <c r="I24" s="14">
        <v>581.99999999999989</v>
      </c>
      <c r="K24" s="15"/>
    </row>
    <row r="25" spans="1:11" ht="16.5" x14ac:dyDescent="0.2">
      <c r="A25" s="4" t="s">
        <v>350</v>
      </c>
      <c r="B25">
        <v>2014</v>
      </c>
      <c r="C25" s="14">
        <v>5839.333333333333</v>
      </c>
      <c r="D25" s="14">
        <v>630</v>
      </c>
      <c r="E25" s="14">
        <v>2097.9999999999995</v>
      </c>
      <c r="F25" s="14">
        <v>2117.9999999999995</v>
      </c>
      <c r="G25" s="14">
        <v>1922.6666666666667</v>
      </c>
      <c r="H25" s="14">
        <v>361.33333333333331</v>
      </c>
      <c r="I25" s="14">
        <v>580</v>
      </c>
    </row>
    <row r="26" spans="1:11" ht="16.5" x14ac:dyDescent="0.2">
      <c r="A26" s="4" t="s">
        <v>350</v>
      </c>
      <c r="B26">
        <v>2015</v>
      </c>
      <c r="C26" s="14">
        <v>5829.333333333333</v>
      </c>
      <c r="D26" s="14">
        <v>628</v>
      </c>
      <c r="E26" s="14">
        <v>2096.6666666666665</v>
      </c>
      <c r="F26" s="14">
        <v>2104</v>
      </c>
      <c r="G26" s="14">
        <v>1949.3333333333335</v>
      </c>
      <c r="H26" s="14">
        <v>364.66666666666663</v>
      </c>
      <c r="I26" s="14">
        <v>578.66666666666663</v>
      </c>
      <c r="K26" s="15"/>
    </row>
    <row r="27" spans="1:11" ht="16.5" x14ac:dyDescent="0.2">
      <c r="A27" s="4" t="s">
        <v>350</v>
      </c>
      <c r="B27">
        <v>2016</v>
      </c>
      <c r="C27" s="14">
        <v>5819.9999999999991</v>
      </c>
      <c r="D27" s="14">
        <v>625.33333333333326</v>
      </c>
      <c r="E27" s="14">
        <v>2092</v>
      </c>
      <c r="F27" s="14">
        <v>2085.333333333333</v>
      </c>
      <c r="G27" s="14">
        <v>1982.6666666666663</v>
      </c>
      <c r="H27" s="14">
        <v>366.66666666666663</v>
      </c>
      <c r="I27" s="14">
        <v>585.33333333333326</v>
      </c>
    </row>
    <row r="28" spans="1:11" ht="16.5" x14ac:dyDescent="0.2">
      <c r="A28" s="4" t="s">
        <v>349</v>
      </c>
      <c r="B28">
        <v>2009</v>
      </c>
      <c r="C28" s="14">
        <v>5628</v>
      </c>
      <c r="D28" s="14">
        <v>1276.6666666666665</v>
      </c>
      <c r="E28" s="14">
        <v>1140.6666666666665</v>
      </c>
      <c r="F28" s="14">
        <v>745.33333333333326</v>
      </c>
      <c r="G28" s="14">
        <v>2558.6666666666665</v>
      </c>
      <c r="H28" s="14">
        <v>435.33333333333326</v>
      </c>
      <c r="I28" s="14">
        <v>2047.9999999999998</v>
      </c>
      <c r="K28" s="15"/>
    </row>
    <row r="29" spans="1:11" ht="16.5" x14ac:dyDescent="0.2">
      <c r="A29" s="4" t="s">
        <v>349</v>
      </c>
      <c r="B29">
        <v>2010</v>
      </c>
      <c r="C29" s="14">
        <v>5615.9999999999991</v>
      </c>
      <c r="D29" s="14">
        <v>1273.3333333333333</v>
      </c>
      <c r="E29" s="14">
        <v>1137.9999999999998</v>
      </c>
      <c r="F29" s="14">
        <v>741.33333333333326</v>
      </c>
      <c r="G29" s="14">
        <v>2617.333333333333</v>
      </c>
      <c r="H29" s="14">
        <v>445.33333333333326</v>
      </c>
      <c r="I29" s="14">
        <v>1992.6666666666663</v>
      </c>
    </row>
    <row r="30" spans="1:11" ht="16.5" x14ac:dyDescent="0.2">
      <c r="A30" s="4" t="s">
        <v>349</v>
      </c>
      <c r="B30">
        <v>2011</v>
      </c>
      <c r="C30" s="14">
        <v>5605.9999999999991</v>
      </c>
      <c r="D30" s="14">
        <v>1268.6666666666667</v>
      </c>
      <c r="E30" s="14">
        <v>1134.6666666666665</v>
      </c>
      <c r="F30" s="14">
        <v>738.66666666666663</v>
      </c>
      <c r="G30" s="14">
        <v>2719.9999999999995</v>
      </c>
      <c r="H30" s="14">
        <v>452.66666666666669</v>
      </c>
      <c r="I30" s="14">
        <v>1940.6666666666667</v>
      </c>
      <c r="K30" s="15"/>
    </row>
    <row r="31" spans="1:11" ht="16.5" x14ac:dyDescent="0.2">
      <c r="A31" s="4" t="s">
        <v>349</v>
      </c>
      <c r="B31">
        <v>2012</v>
      </c>
      <c r="C31" s="14">
        <v>5583.333333333333</v>
      </c>
      <c r="D31" s="14">
        <v>1262.6666666666665</v>
      </c>
      <c r="E31" s="14">
        <v>1126</v>
      </c>
      <c r="F31" s="14">
        <v>736.66666666666663</v>
      </c>
      <c r="G31" s="14">
        <v>2757.333333333333</v>
      </c>
      <c r="H31" s="14">
        <v>461.33333333333331</v>
      </c>
      <c r="I31" s="14">
        <v>1922</v>
      </c>
    </row>
    <row r="32" spans="1:11" ht="16.5" x14ac:dyDescent="0.2">
      <c r="A32" s="4" t="s">
        <v>349</v>
      </c>
      <c r="B32">
        <v>2013</v>
      </c>
      <c r="C32" s="14">
        <v>5584.6666666666661</v>
      </c>
      <c r="D32" s="14">
        <v>1259.3333333333333</v>
      </c>
      <c r="E32" s="14">
        <v>1123.9999999999998</v>
      </c>
      <c r="F32" s="14">
        <v>733.33333333333326</v>
      </c>
      <c r="G32" s="14">
        <v>2775.333333333333</v>
      </c>
      <c r="H32" s="14">
        <v>465.33333333333326</v>
      </c>
      <c r="I32" s="14">
        <v>1907.3333333333333</v>
      </c>
      <c r="K32" s="15"/>
    </row>
    <row r="33" spans="1:11" ht="16.5" x14ac:dyDescent="0.2">
      <c r="A33" s="4" t="s">
        <v>349</v>
      </c>
      <c r="B33">
        <v>2014</v>
      </c>
      <c r="C33" s="14">
        <v>5567.333333333333</v>
      </c>
      <c r="D33" s="14">
        <v>1254.6666666666665</v>
      </c>
      <c r="E33" s="14">
        <v>1120.6666666666665</v>
      </c>
      <c r="F33" s="14">
        <v>730.66666666666652</v>
      </c>
      <c r="G33" s="14">
        <v>2810</v>
      </c>
      <c r="H33" s="14">
        <v>477.33333333333326</v>
      </c>
      <c r="I33" s="14">
        <v>1888.6666666666665</v>
      </c>
    </row>
    <row r="34" spans="1:11" ht="16.5" x14ac:dyDescent="0.2">
      <c r="A34" s="4" t="s">
        <v>349</v>
      </c>
      <c r="B34">
        <v>2015</v>
      </c>
      <c r="C34" s="14">
        <v>5557.333333333333</v>
      </c>
      <c r="D34" s="14">
        <v>1252</v>
      </c>
      <c r="E34" s="14">
        <v>1117.9999999999998</v>
      </c>
      <c r="F34" s="14">
        <v>727.33333333333326</v>
      </c>
      <c r="G34" s="14">
        <v>2829.3333333333335</v>
      </c>
      <c r="H34" s="14">
        <v>484.66666666666663</v>
      </c>
      <c r="I34" s="14">
        <v>1879.333333333333</v>
      </c>
      <c r="K34" s="15"/>
    </row>
    <row r="35" spans="1:11" ht="16.5" x14ac:dyDescent="0.2">
      <c r="A35" s="4" t="s">
        <v>349</v>
      </c>
      <c r="B35">
        <v>2016</v>
      </c>
      <c r="C35" s="14">
        <v>5560.6666666666661</v>
      </c>
      <c r="D35" s="14">
        <v>1250.6666666666665</v>
      </c>
      <c r="E35" s="14">
        <v>1116</v>
      </c>
      <c r="F35" s="14">
        <v>723.99999999999989</v>
      </c>
      <c r="G35" s="14">
        <v>2845.333333333333</v>
      </c>
      <c r="H35" s="14">
        <v>488</v>
      </c>
      <c r="I35" s="14">
        <v>1865.9999999999998</v>
      </c>
    </row>
    <row r="36" spans="1:11" ht="16.5" x14ac:dyDescent="0.2">
      <c r="A36" s="4" t="s">
        <v>348</v>
      </c>
      <c r="B36">
        <v>2009</v>
      </c>
      <c r="C36" s="14">
        <v>1916.6666666666665</v>
      </c>
      <c r="D36" s="14">
        <v>923.33333333333326</v>
      </c>
      <c r="E36" s="14">
        <v>2247.3333333333335</v>
      </c>
      <c r="F36" s="14">
        <v>1322.6666666666665</v>
      </c>
      <c r="G36" s="14">
        <v>696.66666666666663</v>
      </c>
      <c r="H36" s="14">
        <v>157.99999999999997</v>
      </c>
      <c r="I36" s="14">
        <v>371.99999999999994</v>
      </c>
      <c r="K36" s="15"/>
    </row>
    <row r="37" spans="1:11" ht="16.5" x14ac:dyDescent="0.2">
      <c r="A37" s="4" t="s">
        <v>348</v>
      </c>
      <c r="B37">
        <v>2010</v>
      </c>
      <c r="C37" s="14">
        <v>1905.3333333333333</v>
      </c>
      <c r="D37" s="14">
        <v>916</v>
      </c>
      <c r="E37" s="14">
        <v>2243.333333333333</v>
      </c>
      <c r="F37" s="14">
        <v>1317.9999999999998</v>
      </c>
      <c r="G37" s="14">
        <v>714.66666666666663</v>
      </c>
      <c r="H37" s="14">
        <v>168.66666666666666</v>
      </c>
      <c r="I37" s="14">
        <v>369.99999999999994</v>
      </c>
    </row>
    <row r="38" spans="1:11" ht="16.5" x14ac:dyDescent="0.2">
      <c r="A38" s="4" t="s">
        <v>348</v>
      </c>
      <c r="B38">
        <v>2011</v>
      </c>
      <c r="C38" s="14">
        <v>1896.6666666666665</v>
      </c>
      <c r="D38" s="14">
        <v>912.66666666666663</v>
      </c>
      <c r="E38" s="14">
        <v>2240.6666666666665</v>
      </c>
      <c r="F38" s="14">
        <v>1315.3333333333333</v>
      </c>
      <c r="G38" s="14">
        <v>724.66666666666663</v>
      </c>
      <c r="H38" s="14">
        <v>169.33333333333331</v>
      </c>
      <c r="I38" s="14">
        <v>367.33333333333331</v>
      </c>
      <c r="K38" s="15"/>
    </row>
    <row r="39" spans="1:11" ht="16.5" x14ac:dyDescent="0.2">
      <c r="A39" s="4" t="s">
        <v>348</v>
      </c>
      <c r="B39">
        <v>2012</v>
      </c>
      <c r="C39" s="14">
        <v>1892.6666666666663</v>
      </c>
      <c r="D39" s="14">
        <v>907.33333333333326</v>
      </c>
      <c r="E39" s="14">
        <v>2237.9999999999995</v>
      </c>
      <c r="F39" s="14">
        <v>1309.3333333333333</v>
      </c>
      <c r="G39" s="14">
        <v>738</v>
      </c>
      <c r="H39" s="14">
        <v>171.33333333333331</v>
      </c>
      <c r="I39" s="14">
        <v>366.66666666666663</v>
      </c>
    </row>
    <row r="40" spans="1:11" ht="16.5" x14ac:dyDescent="0.2">
      <c r="A40" s="4" t="s">
        <v>348</v>
      </c>
      <c r="B40">
        <v>2013</v>
      </c>
      <c r="C40" s="14">
        <v>1897.3333333333333</v>
      </c>
      <c r="D40" s="14">
        <v>906</v>
      </c>
      <c r="E40" s="14">
        <v>2236.6666666666665</v>
      </c>
      <c r="F40" s="14">
        <v>1296</v>
      </c>
      <c r="G40" s="14">
        <v>746</v>
      </c>
      <c r="H40" s="14">
        <v>172</v>
      </c>
      <c r="I40" s="14">
        <v>365.33333333333326</v>
      </c>
      <c r="K40" s="15"/>
    </row>
    <row r="41" spans="1:11" ht="16.5" x14ac:dyDescent="0.2">
      <c r="A41" s="4" t="s">
        <v>348</v>
      </c>
      <c r="B41">
        <v>2014</v>
      </c>
      <c r="C41" s="14">
        <v>1889.333333333333</v>
      </c>
      <c r="D41" s="14">
        <v>903.33333333333326</v>
      </c>
      <c r="E41" s="14">
        <v>2233.333333333333</v>
      </c>
      <c r="F41" s="14">
        <v>1293.3333333333333</v>
      </c>
      <c r="G41" s="14">
        <v>752.66666666666663</v>
      </c>
      <c r="H41" s="14">
        <v>174</v>
      </c>
      <c r="I41" s="14">
        <v>364.66666666666663</v>
      </c>
    </row>
    <row r="42" spans="1:11" ht="16.5" x14ac:dyDescent="0.2">
      <c r="A42" s="4" t="s">
        <v>348</v>
      </c>
      <c r="B42">
        <v>2015</v>
      </c>
      <c r="C42" s="14">
        <v>1886.6666666666665</v>
      </c>
      <c r="D42" s="14">
        <v>902</v>
      </c>
      <c r="E42" s="14">
        <v>2232</v>
      </c>
      <c r="F42" s="14">
        <v>1289.3333333333333</v>
      </c>
      <c r="G42" s="14">
        <v>762.66666666666663</v>
      </c>
      <c r="H42" s="14">
        <v>174.66666666666666</v>
      </c>
      <c r="I42" s="14">
        <v>364</v>
      </c>
      <c r="K42" s="15"/>
    </row>
    <row r="43" spans="1:11" ht="16.5" x14ac:dyDescent="0.2">
      <c r="A43" s="4" t="s">
        <v>348</v>
      </c>
      <c r="B43">
        <v>2016</v>
      </c>
      <c r="C43" s="14">
        <v>1883.3333333333333</v>
      </c>
      <c r="D43" s="14">
        <v>900.66666666666652</v>
      </c>
      <c r="E43" s="14">
        <v>2231.333333333333</v>
      </c>
      <c r="F43" s="14">
        <v>1287.9999999999998</v>
      </c>
      <c r="G43" s="14">
        <v>772</v>
      </c>
      <c r="H43" s="14">
        <v>175.99999999999997</v>
      </c>
      <c r="I43" s="14">
        <v>363.33333333333331</v>
      </c>
    </row>
    <row r="44" spans="1:11" ht="16.5" x14ac:dyDescent="0.2">
      <c r="A44" s="4" t="s">
        <v>347</v>
      </c>
      <c r="B44">
        <v>2009</v>
      </c>
      <c r="C44" s="14">
        <v>6760.6666666666661</v>
      </c>
      <c r="D44" s="14">
        <v>184.66666666666666</v>
      </c>
      <c r="E44" s="14">
        <v>1281.333333333333</v>
      </c>
      <c r="F44" s="14">
        <v>663.99999999999989</v>
      </c>
      <c r="G44" s="14">
        <v>1623.3333333333333</v>
      </c>
      <c r="H44" s="14">
        <v>319.33333333333331</v>
      </c>
      <c r="I44" s="14">
        <v>415.33333333333326</v>
      </c>
      <c r="K44" s="15"/>
    </row>
    <row r="45" spans="1:11" ht="16.5" x14ac:dyDescent="0.2">
      <c r="A45" s="4" t="s">
        <v>347</v>
      </c>
      <c r="B45">
        <v>2010</v>
      </c>
      <c r="C45" s="14">
        <v>6731.9999999999991</v>
      </c>
      <c r="D45" s="14">
        <v>183.33333333333331</v>
      </c>
      <c r="E45" s="14">
        <v>1278.6666666666667</v>
      </c>
      <c r="F45" s="14">
        <v>659.99999999999989</v>
      </c>
      <c r="G45" s="14">
        <v>1643.333333333333</v>
      </c>
      <c r="H45" s="14">
        <v>325.99999999999994</v>
      </c>
      <c r="I45" s="14">
        <v>423.33333333333331</v>
      </c>
    </row>
    <row r="46" spans="1:11" ht="16.5" x14ac:dyDescent="0.2">
      <c r="A46" s="4" t="s">
        <v>347</v>
      </c>
      <c r="B46">
        <v>2011</v>
      </c>
      <c r="C46" s="14">
        <v>6723.333333333333</v>
      </c>
      <c r="D46" s="14">
        <v>181.33333333333331</v>
      </c>
      <c r="E46" s="14">
        <v>1277.3333333333333</v>
      </c>
      <c r="F46" s="14">
        <v>656</v>
      </c>
      <c r="G46" s="14">
        <v>1654.6666666666667</v>
      </c>
      <c r="H46" s="14">
        <v>329.33333333333331</v>
      </c>
      <c r="I46" s="14">
        <v>420.66666666666663</v>
      </c>
      <c r="K46" s="15"/>
    </row>
    <row r="47" spans="1:11" ht="16.5" x14ac:dyDescent="0.2">
      <c r="A47" s="4" t="s">
        <v>347</v>
      </c>
      <c r="B47">
        <v>2012</v>
      </c>
      <c r="C47" s="14">
        <v>6709.9999999999991</v>
      </c>
      <c r="D47" s="14">
        <v>179.33333333333331</v>
      </c>
      <c r="E47" s="14">
        <v>1274.6666666666665</v>
      </c>
      <c r="F47" s="14">
        <v>652.66666666666663</v>
      </c>
      <c r="G47" s="14">
        <v>1670</v>
      </c>
      <c r="H47" s="14">
        <v>335.33333333333326</v>
      </c>
      <c r="I47" s="14">
        <v>418.66666666666663</v>
      </c>
    </row>
    <row r="48" spans="1:11" ht="16.5" x14ac:dyDescent="0.2">
      <c r="A48" s="4" t="s">
        <v>347</v>
      </c>
      <c r="B48">
        <v>2013</v>
      </c>
      <c r="C48" s="14">
        <v>6692.6666666666661</v>
      </c>
      <c r="D48" s="14">
        <v>175.99999999999997</v>
      </c>
      <c r="E48" s="14">
        <v>1274.6666666666665</v>
      </c>
      <c r="F48" s="14">
        <v>648</v>
      </c>
      <c r="G48" s="14">
        <v>1682</v>
      </c>
      <c r="H48" s="14">
        <v>338.66666666666663</v>
      </c>
      <c r="I48" s="14">
        <v>418</v>
      </c>
      <c r="K48" s="15"/>
    </row>
    <row r="49" spans="1:11" ht="16.5" x14ac:dyDescent="0.2">
      <c r="A49" s="4" t="s">
        <v>347</v>
      </c>
      <c r="B49">
        <v>2014</v>
      </c>
      <c r="C49" s="14">
        <v>6671.333333333333</v>
      </c>
      <c r="D49" s="14">
        <v>174.66666666666666</v>
      </c>
      <c r="E49" s="14">
        <v>1272</v>
      </c>
      <c r="F49" s="14">
        <v>642.66666666666663</v>
      </c>
      <c r="G49" s="14">
        <v>1701.333333333333</v>
      </c>
      <c r="H49" s="14">
        <v>342.66666666666663</v>
      </c>
      <c r="I49" s="14">
        <v>414</v>
      </c>
    </row>
    <row r="50" spans="1:11" ht="16.5" x14ac:dyDescent="0.2">
      <c r="A50" s="4" t="s">
        <v>347</v>
      </c>
      <c r="B50">
        <v>2015</v>
      </c>
      <c r="C50" s="14">
        <v>6645.3333333333321</v>
      </c>
      <c r="D50" s="14">
        <v>173.33333333333331</v>
      </c>
      <c r="E50" s="14">
        <v>1270.6666666666665</v>
      </c>
      <c r="F50" s="14">
        <v>640.66666666666652</v>
      </c>
      <c r="G50" s="14">
        <v>1736.6666666666665</v>
      </c>
      <c r="H50" s="14">
        <v>349.33333333333331</v>
      </c>
      <c r="I50" s="14">
        <v>408.66666666666663</v>
      </c>
      <c r="K50" s="15"/>
    </row>
    <row r="51" spans="1:11" ht="16.5" x14ac:dyDescent="0.2">
      <c r="A51" s="4" t="s">
        <v>347</v>
      </c>
      <c r="B51">
        <v>2016</v>
      </c>
      <c r="C51" s="14">
        <v>6641.333333333333</v>
      </c>
      <c r="D51" s="14">
        <v>169.99999999999997</v>
      </c>
      <c r="E51" s="14">
        <v>1267.9999999999998</v>
      </c>
      <c r="F51" s="14">
        <v>630</v>
      </c>
      <c r="G51" s="14">
        <v>1772.6666666666663</v>
      </c>
      <c r="H51" s="14">
        <v>351.33333333333331</v>
      </c>
      <c r="I51" s="14">
        <v>403.33333333333331</v>
      </c>
    </row>
    <row r="52" spans="1:11" ht="16.5" x14ac:dyDescent="0.2">
      <c r="A52" s="4" t="s">
        <v>346</v>
      </c>
      <c r="B52">
        <v>2009</v>
      </c>
      <c r="C52" s="14">
        <v>7016.6666666666661</v>
      </c>
      <c r="D52" s="14">
        <v>577.33333333333326</v>
      </c>
      <c r="E52" s="14">
        <v>1359.3333333333333</v>
      </c>
      <c r="F52" s="14">
        <v>849.33333333333326</v>
      </c>
      <c r="G52" s="14">
        <v>1446.6666666666667</v>
      </c>
      <c r="H52" s="14">
        <v>325.99999999999994</v>
      </c>
      <c r="I52" s="14">
        <v>463.99999999999994</v>
      </c>
      <c r="K52" s="15"/>
    </row>
    <row r="53" spans="1:11" ht="16.5" x14ac:dyDescent="0.2">
      <c r="A53" s="4" t="s">
        <v>346</v>
      </c>
      <c r="B53">
        <v>2010</v>
      </c>
      <c r="C53" s="14">
        <v>7000.6666666666652</v>
      </c>
      <c r="D53" s="14">
        <v>576</v>
      </c>
      <c r="E53" s="14">
        <v>1357.9999999999998</v>
      </c>
      <c r="F53" s="14">
        <v>843.99999999999989</v>
      </c>
      <c r="G53" s="14">
        <v>1464.6666666666665</v>
      </c>
      <c r="H53" s="14">
        <v>333.33333333333331</v>
      </c>
      <c r="I53" s="14">
        <v>463.33333333333331</v>
      </c>
    </row>
    <row r="54" spans="1:11" ht="16.5" x14ac:dyDescent="0.2">
      <c r="A54" s="4" t="s">
        <v>346</v>
      </c>
      <c r="B54">
        <v>2011</v>
      </c>
      <c r="C54" s="14">
        <v>6998</v>
      </c>
      <c r="D54" s="14">
        <v>571.33333333333326</v>
      </c>
      <c r="E54" s="14">
        <v>1352.6666666666665</v>
      </c>
      <c r="F54" s="14">
        <v>829.33333333333326</v>
      </c>
      <c r="G54" s="14">
        <v>1484</v>
      </c>
      <c r="H54" s="14">
        <v>337.33333333333331</v>
      </c>
      <c r="I54" s="14">
        <v>459.99999999999994</v>
      </c>
      <c r="K54" s="15"/>
    </row>
    <row r="55" spans="1:11" ht="16.5" x14ac:dyDescent="0.2">
      <c r="A55" s="4" t="s">
        <v>346</v>
      </c>
      <c r="B55">
        <v>2012</v>
      </c>
      <c r="C55" s="14">
        <v>6982.666666666667</v>
      </c>
      <c r="D55" s="14">
        <v>568.66666666666663</v>
      </c>
      <c r="E55" s="14">
        <v>1348.6666666666665</v>
      </c>
      <c r="F55" s="14">
        <v>821.33333333333326</v>
      </c>
      <c r="G55" s="14">
        <v>1502.6666666666665</v>
      </c>
      <c r="H55" s="14">
        <v>346.66666666666663</v>
      </c>
      <c r="I55" s="14">
        <v>459.99999999999994</v>
      </c>
    </row>
    <row r="56" spans="1:11" ht="16.5" x14ac:dyDescent="0.2">
      <c r="A56" s="4" t="s">
        <v>346</v>
      </c>
      <c r="B56">
        <v>2013</v>
      </c>
      <c r="C56" s="14">
        <v>6961.333333333333</v>
      </c>
      <c r="D56" s="14">
        <v>566</v>
      </c>
      <c r="E56" s="14">
        <v>1346.6666666666665</v>
      </c>
      <c r="F56" s="14">
        <v>808</v>
      </c>
      <c r="G56" s="14">
        <v>1523.3333333333333</v>
      </c>
      <c r="H56" s="14">
        <v>361.33333333333331</v>
      </c>
      <c r="I56" s="14">
        <v>457.33333333333326</v>
      </c>
      <c r="K56" s="15"/>
    </row>
    <row r="57" spans="1:11" ht="16.5" x14ac:dyDescent="0.2">
      <c r="A57" s="4" t="s">
        <v>346</v>
      </c>
      <c r="B57">
        <v>2014</v>
      </c>
      <c r="C57" s="14">
        <v>6944.6666666666661</v>
      </c>
      <c r="D57" s="14">
        <v>561.33333333333326</v>
      </c>
      <c r="E57" s="14">
        <v>1343.9999999999998</v>
      </c>
      <c r="F57" s="14">
        <v>799.33333333333326</v>
      </c>
      <c r="G57" s="14">
        <v>1543.3333333333333</v>
      </c>
      <c r="H57" s="14">
        <v>365.99999999999994</v>
      </c>
      <c r="I57" s="14">
        <v>455.33333333333326</v>
      </c>
    </row>
    <row r="58" spans="1:11" ht="16.5" x14ac:dyDescent="0.2">
      <c r="A58" s="4" t="s">
        <v>346</v>
      </c>
      <c r="B58">
        <v>2015</v>
      </c>
      <c r="C58" s="14">
        <v>6940.6666666666652</v>
      </c>
      <c r="D58" s="14">
        <v>553.33333333333326</v>
      </c>
      <c r="E58" s="14">
        <v>1335.3333333333333</v>
      </c>
      <c r="F58" s="14">
        <v>790.66666666666652</v>
      </c>
      <c r="G58" s="14">
        <v>1574.6666666666665</v>
      </c>
      <c r="H58" s="14">
        <v>369.33333333333331</v>
      </c>
      <c r="I58" s="14">
        <v>452.66666666666669</v>
      </c>
      <c r="K58" s="15"/>
    </row>
    <row r="59" spans="1:11" ht="16.5" x14ac:dyDescent="0.2">
      <c r="A59" s="4" t="s">
        <v>346</v>
      </c>
      <c r="B59">
        <v>2016</v>
      </c>
      <c r="C59" s="14">
        <v>6924.6666666666661</v>
      </c>
      <c r="D59" s="14">
        <v>549.33333333333337</v>
      </c>
      <c r="E59" s="14">
        <v>1333.9999999999998</v>
      </c>
      <c r="F59" s="14">
        <v>780.66666666666652</v>
      </c>
      <c r="G59" s="14">
        <v>1602.6666666666665</v>
      </c>
      <c r="H59" s="14">
        <v>372.66666666666663</v>
      </c>
      <c r="I59" s="14">
        <v>459.33333333333331</v>
      </c>
    </row>
    <row r="60" spans="1:11" ht="16.5" x14ac:dyDescent="0.2">
      <c r="A60" s="4" t="s">
        <v>345</v>
      </c>
      <c r="B60">
        <v>2009</v>
      </c>
      <c r="C60" s="14">
        <v>8083.333333333333</v>
      </c>
      <c r="D60" s="14">
        <v>466</v>
      </c>
      <c r="E60" s="14">
        <v>2549.333333333333</v>
      </c>
      <c r="F60" s="14">
        <v>3205.333333333333</v>
      </c>
      <c r="G60" s="14">
        <v>2513.333333333333</v>
      </c>
      <c r="H60" s="14">
        <v>459.33333333333331</v>
      </c>
      <c r="I60" s="14">
        <v>1000.6666666666665</v>
      </c>
      <c r="K60" s="15"/>
    </row>
    <row r="61" spans="1:11" ht="16.5" x14ac:dyDescent="0.2">
      <c r="A61" s="4" t="s">
        <v>345</v>
      </c>
      <c r="B61">
        <v>2010</v>
      </c>
      <c r="C61" s="14">
        <v>8076</v>
      </c>
      <c r="D61" s="14">
        <v>465.33333333333326</v>
      </c>
      <c r="E61" s="14">
        <v>2545.9999999999995</v>
      </c>
      <c r="F61" s="14">
        <v>3187.333333333333</v>
      </c>
      <c r="G61" s="14">
        <v>2544</v>
      </c>
      <c r="H61" s="14">
        <v>467.33333333333326</v>
      </c>
      <c r="I61" s="14">
        <v>987.99999999999989</v>
      </c>
    </row>
    <row r="62" spans="1:11" ht="16.5" x14ac:dyDescent="0.2">
      <c r="A62" s="4" t="s">
        <v>345</v>
      </c>
      <c r="B62">
        <v>2011</v>
      </c>
      <c r="C62" s="14">
        <v>8074.6666666666661</v>
      </c>
      <c r="D62" s="14">
        <v>463.99999999999994</v>
      </c>
      <c r="E62" s="14">
        <v>2542.6666666666665</v>
      </c>
      <c r="F62" s="14">
        <v>3184.6666666666665</v>
      </c>
      <c r="G62" s="14">
        <v>2559.333333333333</v>
      </c>
      <c r="H62" s="14">
        <v>468</v>
      </c>
      <c r="I62" s="14">
        <v>976</v>
      </c>
      <c r="K62" s="15"/>
    </row>
    <row r="63" spans="1:11" ht="16.5" x14ac:dyDescent="0.2">
      <c r="A63" s="4" t="s">
        <v>345</v>
      </c>
      <c r="B63">
        <v>2012</v>
      </c>
      <c r="C63" s="14">
        <v>8063.333333333333</v>
      </c>
      <c r="D63" s="14">
        <v>463.33333333333331</v>
      </c>
      <c r="E63" s="14">
        <v>2539.333333333333</v>
      </c>
      <c r="F63" s="14">
        <v>3184.6666666666665</v>
      </c>
      <c r="G63" s="14">
        <v>2577.333333333333</v>
      </c>
      <c r="H63" s="14">
        <v>469.33333333333331</v>
      </c>
      <c r="I63" s="14">
        <v>975.33333333333337</v>
      </c>
    </row>
    <row r="64" spans="1:11" ht="16.5" x14ac:dyDescent="0.2">
      <c r="A64" s="4" t="s">
        <v>345</v>
      </c>
      <c r="B64">
        <v>2013</v>
      </c>
      <c r="C64" s="14">
        <v>8062.666666666667</v>
      </c>
      <c r="D64" s="14">
        <v>461.99999999999994</v>
      </c>
      <c r="E64" s="14">
        <v>2537.9999999999995</v>
      </c>
      <c r="F64" s="14">
        <v>3178.6666666666665</v>
      </c>
      <c r="G64" s="14">
        <v>2593.9999999999995</v>
      </c>
      <c r="H64" s="14">
        <v>470.66666666666657</v>
      </c>
      <c r="I64" s="14">
        <v>964.66666666666652</v>
      </c>
      <c r="K64" s="15"/>
    </row>
    <row r="65" spans="1:11" ht="16.5" x14ac:dyDescent="0.2">
      <c r="A65" s="4" t="s">
        <v>345</v>
      </c>
      <c r="B65">
        <v>2014</v>
      </c>
      <c r="C65" s="14">
        <v>8033.9999999999991</v>
      </c>
      <c r="D65" s="14">
        <v>459.33333333333331</v>
      </c>
      <c r="E65" s="14">
        <v>2531.333333333333</v>
      </c>
      <c r="F65" s="14">
        <v>3174</v>
      </c>
      <c r="G65" s="14">
        <v>2620.6666666666665</v>
      </c>
      <c r="H65" s="14">
        <v>479.33333333333331</v>
      </c>
      <c r="I65" s="14">
        <v>962.66666666666663</v>
      </c>
    </row>
    <row r="66" spans="1:11" ht="16.5" x14ac:dyDescent="0.2">
      <c r="A66" s="4" t="s">
        <v>345</v>
      </c>
      <c r="B66">
        <v>2015</v>
      </c>
      <c r="C66" s="14">
        <v>8021.333333333333</v>
      </c>
      <c r="D66" s="14">
        <v>452.66666666666669</v>
      </c>
      <c r="E66" s="14">
        <v>2527.3333333333335</v>
      </c>
      <c r="F66" s="14">
        <v>3170.6666666666665</v>
      </c>
      <c r="G66" s="14">
        <v>2649.333333333333</v>
      </c>
      <c r="H66" s="14">
        <v>484.66666666666663</v>
      </c>
      <c r="I66" s="14">
        <v>957.99999999999989</v>
      </c>
      <c r="K66" s="15"/>
    </row>
    <row r="67" spans="1:11" ht="16.5" x14ac:dyDescent="0.2">
      <c r="A67" s="4" t="s">
        <v>345</v>
      </c>
      <c r="B67">
        <v>2016</v>
      </c>
      <c r="C67" s="14">
        <v>8013.9999999999991</v>
      </c>
      <c r="D67" s="14">
        <v>448.66666666666663</v>
      </c>
      <c r="E67" s="14">
        <v>2520</v>
      </c>
      <c r="F67" s="14">
        <v>3157.333333333333</v>
      </c>
      <c r="G67" s="14">
        <v>2696.6666666666665</v>
      </c>
      <c r="H67" s="14">
        <v>487.33333333333326</v>
      </c>
      <c r="I67" s="14">
        <v>952</v>
      </c>
    </row>
    <row r="68" spans="1:11" ht="16.5" x14ac:dyDescent="0.2">
      <c r="A68" s="4" t="s">
        <v>344</v>
      </c>
      <c r="B68">
        <v>2009</v>
      </c>
      <c r="C68" s="14">
        <v>9168</v>
      </c>
      <c r="D68" s="14">
        <v>1455.3333333333333</v>
      </c>
      <c r="E68" s="14">
        <v>11029.999999999998</v>
      </c>
      <c r="F68" s="14">
        <v>10794.666666666666</v>
      </c>
      <c r="G68" s="14">
        <v>1178.6666666666665</v>
      </c>
      <c r="H68" s="14">
        <v>509.99999999999994</v>
      </c>
      <c r="I68" s="14">
        <v>882</v>
      </c>
      <c r="K68" s="15"/>
    </row>
    <row r="69" spans="1:11" ht="16.5" x14ac:dyDescent="0.2">
      <c r="A69" s="4" t="s">
        <v>344</v>
      </c>
      <c r="B69">
        <v>2010</v>
      </c>
      <c r="C69" s="14">
        <v>9224.6666666666661</v>
      </c>
      <c r="D69" s="14">
        <v>1449.9999999999998</v>
      </c>
      <c r="E69" s="14">
        <v>11025.333333333332</v>
      </c>
      <c r="F69" s="14">
        <v>10750.666666666664</v>
      </c>
      <c r="G69" s="14">
        <v>1197.9999999999998</v>
      </c>
      <c r="H69" s="14">
        <v>523.33333333333326</v>
      </c>
      <c r="I69" s="14">
        <v>860.66666666666652</v>
      </c>
    </row>
    <row r="70" spans="1:11" ht="16.5" x14ac:dyDescent="0.2">
      <c r="A70" s="4" t="s">
        <v>344</v>
      </c>
      <c r="B70">
        <v>2011</v>
      </c>
      <c r="C70" s="14">
        <v>9283.9999999999982</v>
      </c>
      <c r="D70" s="14">
        <v>1442.6666666666665</v>
      </c>
      <c r="E70" s="14">
        <v>11014.666666666666</v>
      </c>
      <c r="F70" s="14">
        <v>10692.666666666666</v>
      </c>
      <c r="G70" s="14">
        <v>1211.9999999999998</v>
      </c>
      <c r="H70" s="14">
        <v>527.33333333333326</v>
      </c>
      <c r="I70" s="14">
        <v>859.33333333333326</v>
      </c>
      <c r="K70" s="15"/>
    </row>
    <row r="71" spans="1:11" ht="16.5" x14ac:dyDescent="0.2">
      <c r="A71" s="4" t="s">
        <v>344</v>
      </c>
      <c r="B71">
        <v>2012</v>
      </c>
      <c r="C71" s="14">
        <v>9321.3333333333321</v>
      </c>
      <c r="D71" s="14">
        <v>1439.3333333333333</v>
      </c>
      <c r="E71" s="14">
        <v>11010.666666666664</v>
      </c>
      <c r="F71" s="14">
        <v>10643.999999999998</v>
      </c>
      <c r="G71" s="14">
        <v>1224.6666666666665</v>
      </c>
      <c r="H71" s="14">
        <v>534.66666666666663</v>
      </c>
      <c r="I71" s="14">
        <v>857.99999999999989</v>
      </c>
    </row>
    <row r="72" spans="1:11" ht="16.5" x14ac:dyDescent="0.2">
      <c r="A72" s="4" t="s">
        <v>344</v>
      </c>
      <c r="B72">
        <v>2013</v>
      </c>
      <c r="C72" s="14">
        <v>9318</v>
      </c>
      <c r="D72" s="14">
        <v>1436.6666666666665</v>
      </c>
      <c r="E72" s="14">
        <v>11006</v>
      </c>
      <c r="F72" s="14">
        <v>10633.999999999998</v>
      </c>
      <c r="G72" s="14">
        <v>1236.6666666666665</v>
      </c>
      <c r="H72" s="14">
        <v>544.66666666666663</v>
      </c>
      <c r="I72" s="14">
        <v>857.33333333333326</v>
      </c>
      <c r="K72" s="15"/>
    </row>
    <row r="73" spans="1:11" ht="16.5" x14ac:dyDescent="0.2">
      <c r="A73" s="4" t="s">
        <v>344</v>
      </c>
      <c r="B73">
        <v>2014</v>
      </c>
      <c r="C73" s="14">
        <v>9317.3333333333321</v>
      </c>
      <c r="D73" s="14">
        <v>1432.6666666666665</v>
      </c>
      <c r="E73" s="14">
        <v>10999.333333333332</v>
      </c>
      <c r="F73" s="14">
        <v>10614.666666666666</v>
      </c>
      <c r="G73" s="14">
        <v>1253.9999999999998</v>
      </c>
      <c r="H73" s="14">
        <v>553.33333333333326</v>
      </c>
      <c r="I73" s="14">
        <v>855.33333333333337</v>
      </c>
    </row>
    <row r="74" spans="1:11" ht="16.5" x14ac:dyDescent="0.2">
      <c r="A74" s="4" t="s">
        <v>344</v>
      </c>
      <c r="B74">
        <v>2015</v>
      </c>
      <c r="C74" s="14">
        <v>9317.3333333333321</v>
      </c>
      <c r="D74" s="14">
        <v>1429.9999999999998</v>
      </c>
      <c r="E74" s="14">
        <v>10997.333333333332</v>
      </c>
      <c r="F74" s="14">
        <v>10606</v>
      </c>
      <c r="G74" s="14">
        <v>1266</v>
      </c>
      <c r="H74" s="14">
        <v>556</v>
      </c>
      <c r="I74" s="14">
        <v>853.99999999999989</v>
      </c>
      <c r="K74" s="15"/>
    </row>
    <row r="75" spans="1:11" ht="16.5" x14ac:dyDescent="0.2">
      <c r="A75" s="4" t="s">
        <v>344</v>
      </c>
      <c r="B75">
        <v>2016</v>
      </c>
      <c r="C75" s="14">
        <v>9320.6666666666661</v>
      </c>
      <c r="D75" s="14">
        <v>1426.6666666666665</v>
      </c>
      <c r="E75" s="14">
        <v>10994.666666666666</v>
      </c>
      <c r="F75" s="14">
        <v>10589.333333333332</v>
      </c>
      <c r="G75" s="14">
        <v>1280</v>
      </c>
      <c r="H75" s="14">
        <v>565.33333333333326</v>
      </c>
      <c r="I75" s="14">
        <v>851.99999999999989</v>
      </c>
    </row>
    <row r="76" spans="1:11" ht="16.5" x14ac:dyDescent="0.2">
      <c r="A76" s="4" t="s">
        <v>343</v>
      </c>
      <c r="B76">
        <v>2009</v>
      </c>
      <c r="C76" s="14">
        <v>4029.333333333333</v>
      </c>
      <c r="D76" s="14">
        <v>1377.9999999999998</v>
      </c>
      <c r="E76" s="14">
        <v>23519.999999999996</v>
      </c>
      <c r="F76" s="14">
        <v>7997.3333333333321</v>
      </c>
      <c r="G76" s="14">
        <v>839.33333333333326</v>
      </c>
      <c r="H76" s="14">
        <v>274.66666666666669</v>
      </c>
      <c r="I76" s="14">
        <v>688.66666666666663</v>
      </c>
      <c r="K76" s="15"/>
    </row>
    <row r="77" spans="1:11" ht="16.5" x14ac:dyDescent="0.2">
      <c r="A77" s="4" t="s">
        <v>343</v>
      </c>
      <c r="B77">
        <v>2010</v>
      </c>
      <c r="C77" s="14">
        <v>4023.333333333333</v>
      </c>
      <c r="D77" s="14">
        <v>1367.9999999999998</v>
      </c>
      <c r="E77" s="14">
        <v>23491.333333333328</v>
      </c>
      <c r="F77" s="14">
        <v>8019.333333333333</v>
      </c>
      <c r="G77" s="14">
        <v>857.99999999999989</v>
      </c>
      <c r="H77" s="14">
        <v>280.66666666666663</v>
      </c>
      <c r="I77" s="14">
        <v>687.33333333333326</v>
      </c>
    </row>
    <row r="78" spans="1:11" ht="16.5" x14ac:dyDescent="0.2">
      <c r="A78" s="4" t="s">
        <v>343</v>
      </c>
      <c r="B78">
        <v>2011</v>
      </c>
      <c r="C78" s="14">
        <v>4013.333333333333</v>
      </c>
      <c r="D78" s="14">
        <v>1361.333333333333</v>
      </c>
      <c r="E78" s="14">
        <v>23479.999999999996</v>
      </c>
      <c r="F78" s="14">
        <v>8022.666666666667</v>
      </c>
      <c r="G78" s="14">
        <v>873.33333333333326</v>
      </c>
      <c r="H78" s="14">
        <v>292.66666666666663</v>
      </c>
      <c r="I78" s="14">
        <v>683.33333333333326</v>
      </c>
      <c r="K78" s="15"/>
    </row>
    <row r="79" spans="1:11" ht="16.5" x14ac:dyDescent="0.2">
      <c r="A79" s="4" t="s">
        <v>343</v>
      </c>
      <c r="B79">
        <v>2012</v>
      </c>
      <c r="C79" s="14">
        <v>4005.9999999999995</v>
      </c>
      <c r="D79" s="14">
        <v>1359.9999999999998</v>
      </c>
      <c r="E79" s="14">
        <v>23474.666666666664</v>
      </c>
      <c r="F79" s="14">
        <v>8016.6666666666661</v>
      </c>
      <c r="G79" s="14">
        <v>890.66666666666652</v>
      </c>
      <c r="H79" s="14">
        <v>298</v>
      </c>
      <c r="I79" s="14">
        <v>678.66666666666663</v>
      </c>
    </row>
    <row r="80" spans="1:11" ht="16.5" x14ac:dyDescent="0.2">
      <c r="A80" s="4" t="s">
        <v>343</v>
      </c>
      <c r="B80">
        <v>2013</v>
      </c>
      <c r="C80" s="14">
        <v>4008</v>
      </c>
      <c r="D80" s="14">
        <v>1359.9999999999998</v>
      </c>
      <c r="E80" s="14">
        <v>23470.666666666664</v>
      </c>
      <c r="F80" s="14">
        <v>8008.6666666666661</v>
      </c>
      <c r="G80" s="14">
        <v>902</v>
      </c>
      <c r="H80" s="14">
        <v>300</v>
      </c>
      <c r="I80" s="14">
        <v>673.33333333333326</v>
      </c>
      <c r="K80" s="15"/>
    </row>
    <row r="81" spans="1:11" ht="16.5" x14ac:dyDescent="0.2">
      <c r="A81" s="4" t="s">
        <v>343</v>
      </c>
      <c r="B81">
        <v>2014</v>
      </c>
      <c r="C81" s="14">
        <v>4006.6666666666665</v>
      </c>
      <c r="D81" s="14">
        <v>1359.3333333333333</v>
      </c>
      <c r="E81" s="14">
        <v>23459.999999999996</v>
      </c>
      <c r="F81" s="14">
        <v>7997.3333333333321</v>
      </c>
      <c r="G81" s="14">
        <v>912</v>
      </c>
      <c r="H81" s="14">
        <v>315.99999999999994</v>
      </c>
      <c r="I81" s="14">
        <v>666</v>
      </c>
    </row>
    <row r="82" spans="1:11" ht="16.5" x14ac:dyDescent="0.2">
      <c r="A82" s="4" t="s">
        <v>343</v>
      </c>
      <c r="B82">
        <v>2015</v>
      </c>
      <c r="C82" s="14">
        <v>3999.9999999999995</v>
      </c>
      <c r="D82" s="14">
        <v>1357.3333333333333</v>
      </c>
      <c r="E82" s="14">
        <v>23452</v>
      </c>
      <c r="F82" s="14">
        <v>7990.6666666666652</v>
      </c>
      <c r="G82" s="14">
        <v>925.33333333333337</v>
      </c>
      <c r="H82" s="14">
        <v>324.66666666666663</v>
      </c>
      <c r="I82" s="14">
        <v>666.66666666666663</v>
      </c>
      <c r="K82" s="15"/>
    </row>
    <row r="83" spans="1:11" ht="16.5" x14ac:dyDescent="0.2">
      <c r="A83" s="4" t="s">
        <v>343</v>
      </c>
      <c r="B83">
        <v>2016</v>
      </c>
      <c r="C83" s="14">
        <v>3999.333333333333</v>
      </c>
      <c r="D83" s="14">
        <v>1356.6666666666665</v>
      </c>
      <c r="E83" s="14">
        <v>23449.333333333332</v>
      </c>
      <c r="F83" s="14">
        <v>7986.6666666666661</v>
      </c>
      <c r="G83" s="14">
        <v>933.33333333333326</v>
      </c>
      <c r="H83" s="14">
        <v>326.66666666666663</v>
      </c>
      <c r="I83" s="14">
        <v>663.99999999999989</v>
      </c>
    </row>
    <row r="84" spans="1:11" ht="16.5" x14ac:dyDescent="0.2">
      <c r="A84" s="4" t="s">
        <v>342</v>
      </c>
      <c r="B84">
        <v>2009</v>
      </c>
      <c r="C84" s="14">
        <v>7889.9999999999991</v>
      </c>
      <c r="D84" s="14">
        <v>918.66666666666663</v>
      </c>
      <c r="E84" s="14">
        <v>290.66666666666663</v>
      </c>
      <c r="F84" s="14">
        <v>184.66666666666666</v>
      </c>
      <c r="G84" s="14">
        <v>2136.6666666666665</v>
      </c>
      <c r="H84" s="14">
        <v>515.33333333333326</v>
      </c>
      <c r="I84" s="14">
        <v>1449.3333333333333</v>
      </c>
      <c r="K84" s="15"/>
    </row>
    <row r="85" spans="1:11" ht="16.5" x14ac:dyDescent="0.2">
      <c r="A85" s="4" t="s">
        <v>342</v>
      </c>
      <c r="B85">
        <v>2010</v>
      </c>
      <c r="C85" s="14">
        <v>7884.6666666666661</v>
      </c>
      <c r="D85" s="14">
        <v>916</v>
      </c>
      <c r="E85" s="14">
        <v>289.33333333333331</v>
      </c>
      <c r="F85" s="14">
        <v>183.33333333333331</v>
      </c>
      <c r="G85" s="14">
        <v>2157.3333333333335</v>
      </c>
      <c r="H85" s="14">
        <v>516.66666666666663</v>
      </c>
      <c r="I85" s="14">
        <v>1447.3333333333333</v>
      </c>
    </row>
    <row r="86" spans="1:11" ht="16.5" x14ac:dyDescent="0.2">
      <c r="A86" s="4" t="s">
        <v>342</v>
      </c>
      <c r="B86">
        <v>2011</v>
      </c>
      <c r="C86" s="14">
        <v>7876</v>
      </c>
      <c r="D86" s="14">
        <v>913.33333333333326</v>
      </c>
      <c r="E86" s="14">
        <v>289.33333333333331</v>
      </c>
      <c r="F86" s="14">
        <v>180.66666666666666</v>
      </c>
      <c r="G86" s="14">
        <v>2177.9999999999995</v>
      </c>
      <c r="H86" s="14">
        <v>518</v>
      </c>
      <c r="I86" s="14">
        <v>1443.9999999999998</v>
      </c>
      <c r="K86" s="15"/>
    </row>
    <row r="87" spans="1:11" ht="16.5" x14ac:dyDescent="0.2">
      <c r="A87" s="4" t="s">
        <v>342</v>
      </c>
      <c r="B87">
        <v>2012</v>
      </c>
      <c r="C87" s="14">
        <v>7876.6666666666661</v>
      </c>
      <c r="D87" s="14">
        <v>911.33333333333314</v>
      </c>
      <c r="E87" s="14">
        <v>287.33333333333331</v>
      </c>
      <c r="F87" s="14">
        <v>177.99999999999997</v>
      </c>
      <c r="G87" s="14">
        <v>2196.6666666666665</v>
      </c>
      <c r="H87" s="14">
        <v>520</v>
      </c>
      <c r="I87" s="14">
        <v>1441.333333333333</v>
      </c>
    </row>
    <row r="88" spans="1:11" ht="16.5" x14ac:dyDescent="0.2">
      <c r="A88" s="4" t="s">
        <v>342</v>
      </c>
      <c r="B88">
        <v>2013</v>
      </c>
      <c r="C88" s="14">
        <v>7868.6666666666661</v>
      </c>
      <c r="D88" s="14">
        <v>909.33333333333326</v>
      </c>
      <c r="E88" s="14">
        <v>285.33333333333331</v>
      </c>
      <c r="F88" s="14">
        <v>174.66666666666666</v>
      </c>
      <c r="G88" s="14">
        <v>2212.6666666666665</v>
      </c>
      <c r="H88" s="14">
        <v>526</v>
      </c>
      <c r="I88" s="14">
        <v>1439.3333333333333</v>
      </c>
      <c r="K88" s="15"/>
    </row>
    <row r="89" spans="1:11" ht="16.5" x14ac:dyDescent="0.2">
      <c r="A89" s="4" t="s">
        <v>342</v>
      </c>
      <c r="B89">
        <v>2014</v>
      </c>
      <c r="C89" s="14">
        <v>7858</v>
      </c>
      <c r="D89" s="14">
        <v>906</v>
      </c>
      <c r="E89" s="14">
        <v>283.33333333333331</v>
      </c>
      <c r="F89" s="14">
        <v>172</v>
      </c>
      <c r="G89" s="14">
        <v>2240.6666666666665</v>
      </c>
      <c r="H89" s="14">
        <v>528.66666666666663</v>
      </c>
      <c r="I89" s="14">
        <v>1435.3333333333333</v>
      </c>
    </row>
    <row r="90" spans="1:11" ht="16.5" x14ac:dyDescent="0.2">
      <c r="A90" s="4" t="s">
        <v>342</v>
      </c>
      <c r="B90">
        <v>2015</v>
      </c>
      <c r="C90" s="14">
        <v>7850.6666666666652</v>
      </c>
      <c r="D90" s="14">
        <v>903.33333333333326</v>
      </c>
      <c r="E90" s="14">
        <v>281.33333333333331</v>
      </c>
      <c r="F90" s="14">
        <v>169.99999999999997</v>
      </c>
      <c r="G90" s="14">
        <v>2267.3333333333335</v>
      </c>
      <c r="H90" s="14">
        <v>533.99999999999989</v>
      </c>
      <c r="I90" s="14">
        <v>1430.6666666666665</v>
      </c>
      <c r="K90" s="15"/>
    </row>
    <row r="91" spans="1:11" ht="16.5" x14ac:dyDescent="0.2">
      <c r="A91" s="4" t="s">
        <v>342</v>
      </c>
      <c r="B91">
        <v>2016</v>
      </c>
      <c r="C91" s="14">
        <v>7844.6666666666661</v>
      </c>
      <c r="D91" s="14">
        <v>899.33333333333326</v>
      </c>
      <c r="E91" s="14">
        <v>278.66666666666663</v>
      </c>
      <c r="F91" s="14">
        <v>165.99999999999997</v>
      </c>
      <c r="G91" s="14">
        <v>2299.3333333333335</v>
      </c>
      <c r="H91" s="14">
        <v>536.66666666666663</v>
      </c>
      <c r="I91" s="14">
        <v>1426</v>
      </c>
    </row>
    <row r="92" spans="1:11" ht="16.5" x14ac:dyDescent="0.2">
      <c r="A92" s="4" t="s">
        <v>341</v>
      </c>
      <c r="B92">
        <v>2009</v>
      </c>
      <c r="C92" s="14">
        <v>3599.9999999999995</v>
      </c>
      <c r="D92" s="14">
        <v>281.99999999999994</v>
      </c>
      <c r="E92" s="14">
        <v>485.33333333333326</v>
      </c>
      <c r="F92" s="14">
        <v>114.66666666666666</v>
      </c>
      <c r="G92" s="14">
        <v>1143.3333333333333</v>
      </c>
      <c r="H92" s="14">
        <v>264.66666666666669</v>
      </c>
      <c r="I92" s="14">
        <v>411.33333333333331</v>
      </c>
      <c r="K92" s="15"/>
    </row>
    <row r="93" spans="1:11" ht="16.5" x14ac:dyDescent="0.2">
      <c r="A93" s="4" t="s">
        <v>341</v>
      </c>
      <c r="B93">
        <v>2010</v>
      </c>
      <c r="C93" s="14">
        <v>3578.6666666666661</v>
      </c>
      <c r="D93" s="14">
        <v>278</v>
      </c>
      <c r="E93" s="14">
        <v>478</v>
      </c>
      <c r="F93" s="14">
        <v>112.66666666666664</v>
      </c>
      <c r="G93" s="14">
        <v>1170.6666666666665</v>
      </c>
      <c r="H93" s="14">
        <v>268</v>
      </c>
      <c r="I93" s="14">
        <v>410.66666666666663</v>
      </c>
    </row>
    <row r="94" spans="1:11" ht="16.5" x14ac:dyDescent="0.2">
      <c r="A94" s="4" t="s">
        <v>341</v>
      </c>
      <c r="B94">
        <v>2011</v>
      </c>
      <c r="C94" s="14">
        <v>3610.6666666666665</v>
      </c>
      <c r="D94" s="14">
        <v>249.99999999999997</v>
      </c>
      <c r="E94" s="14">
        <v>449.33333333333331</v>
      </c>
      <c r="F94" s="14">
        <v>109.99999999999999</v>
      </c>
      <c r="G94" s="14">
        <v>1194.6666666666667</v>
      </c>
      <c r="H94" s="14">
        <v>274</v>
      </c>
      <c r="I94" s="14">
        <v>408</v>
      </c>
      <c r="K94" s="15"/>
    </row>
    <row r="95" spans="1:11" ht="16.5" x14ac:dyDescent="0.2">
      <c r="A95" s="4" t="s">
        <v>341</v>
      </c>
      <c r="B95">
        <v>2012</v>
      </c>
      <c r="C95" s="14">
        <v>3601.9999999999995</v>
      </c>
      <c r="D95" s="14">
        <v>246.66666666666666</v>
      </c>
      <c r="E95" s="14">
        <v>438.66666666666663</v>
      </c>
      <c r="F95" s="14">
        <v>106.66666666666666</v>
      </c>
      <c r="G95" s="14">
        <v>1218</v>
      </c>
      <c r="H95" s="14">
        <v>277.33333333333331</v>
      </c>
      <c r="I95" s="14">
        <v>407.33333333333331</v>
      </c>
    </row>
    <row r="96" spans="1:11" ht="16.5" x14ac:dyDescent="0.2">
      <c r="A96" s="4" t="s">
        <v>341</v>
      </c>
      <c r="B96">
        <v>2013</v>
      </c>
      <c r="C96" s="14">
        <v>3588.6666666666661</v>
      </c>
      <c r="D96" s="14">
        <v>243.33333333333331</v>
      </c>
      <c r="E96" s="14">
        <v>435.33333333333326</v>
      </c>
      <c r="F96" s="14">
        <v>105.33333333333333</v>
      </c>
      <c r="G96" s="14">
        <v>1234.6666666666665</v>
      </c>
      <c r="H96" s="14">
        <v>278.66666666666663</v>
      </c>
      <c r="I96" s="14">
        <v>405.33333333333326</v>
      </c>
      <c r="K96" s="15"/>
    </row>
    <row r="97" spans="1:11" ht="16.5" x14ac:dyDescent="0.2">
      <c r="A97" s="4" t="s">
        <v>341</v>
      </c>
      <c r="B97">
        <v>2014</v>
      </c>
      <c r="C97" s="14">
        <v>3575.9999999999995</v>
      </c>
      <c r="D97" s="14">
        <v>241.33333333333334</v>
      </c>
      <c r="E97" s="14">
        <v>427.33333333333326</v>
      </c>
      <c r="F97" s="14">
        <v>103.33333333333333</v>
      </c>
      <c r="G97" s="14">
        <v>1252.6666666666667</v>
      </c>
      <c r="H97" s="14">
        <v>282.66666666666663</v>
      </c>
      <c r="I97" s="14">
        <v>403.33333333333331</v>
      </c>
    </row>
    <row r="98" spans="1:11" ht="16.5" x14ac:dyDescent="0.2">
      <c r="A98" s="4" t="s">
        <v>341</v>
      </c>
      <c r="B98">
        <v>2015</v>
      </c>
      <c r="C98" s="14">
        <v>3559.9999999999995</v>
      </c>
      <c r="D98" s="14">
        <v>238.66666666666663</v>
      </c>
      <c r="E98" s="14">
        <v>419.99999999999994</v>
      </c>
      <c r="F98" s="14">
        <v>100.66666666666666</v>
      </c>
      <c r="G98" s="14">
        <v>1283.3333333333333</v>
      </c>
      <c r="H98" s="14">
        <v>284.66666666666669</v>
      </c>
      <c r="I98" s="14">
        <v>401.33333333333331</v>
      </c>
      <c r="K98" s="15"/>
    </row>
    <row r="99" spans="1:11" ht="16.5" x14ac:dyDescent="0.2">
      <c r="A99" s="4" t="s">
        <v>341</v>
      </c>
      <c r="B99">
        <v>2016</v>
      </c>
      <c r="C99" s="14">
        <v>3551.9999999999995</v>
      </c>
      <c r="D99" s="14">
        <v>235.99999999999997</v>
      </c>
      <c r="E99" s="14">
        <v>416.66666666666663</v>
      </c>
      <c r="F99" s="14">
        <v>95.333333333333329</v>
      </c>
      <c r="G99" s="14">
        <v>1309.9999999999998</v>
      </c>
      <c r="H99" s="14">
        <v>287.33333333333331</v>
      </c>
      <c r="I99" s="14">
        <v>399.33333333333331</v>
      </c>
    </row>
    <row r="100" spans="1:11" ht="16.5" x14ac:dyDescent="0.2">
      <c r="A100" s="4" t="s">
        <v>340</v>
      </c>
      <c r="B100">
        <v>2009</v>
      </c>
      <c r="C100" s="14">
        <v>5697.333333333333</v>
      </c>
      <c r="D100" s="14">
        <v>498.66666666666663</v>
      </c>
      <c r="E100" s="14">
        <v>304</v>
      </c>
      <c r="F100" s="14">
        <v>102</v>
      </c>
      <c r="G100" s="14">
        <v>1147.9999999999998</v>
      </c>
      <c r="H100" s="14">
        <v>331.33333333333331</v>
      </c>
      <c r="I100" s="14">
        <v>536.66666666666663</v>
      </c>
      <c r="K100" s="15"/>
    </row>
    <row r="101" spans="1:11" ht="16.5" x14ac:dyDescent="0.2">
      <c r="A101" s="4" t="s">
        <v>340</v>
      </c>
      <c r="B101">
        <v>2010</v>
      </c>
      <c r="C101" s="14">
        <v>5684.6666666666661</v>
      </c>
      <c r="D101" s="14">
        <v>496</v>
      </c>
      <c r="E101" s="14">
        <v>300</v>
      </c>
      <c r="F101" s="14">
        <v>100.66666666666666</v>
      </c>
      <c r="G101" s="14">
        <v>1171.3333333333333</v>
      </c>
      <c r="H101" s="14">
        <v>335.99999999999994</v>
      </c>
      <c r="I101" s="14">
        <v>533.99999999999989</v>
      </c>
    </row>
    <row r="102" spans="1:11" ht="16.5" x14ac:dyDescent="0.2">
      <c r="A102" s="4" t="s">
        <v>340</v>
      </c>
      <c r="B102">
        <v>2011</v>
      </c>
      <c r="C102" s="14">
        <v>5678</v>
      </c>
      <c r="D102" s="14">
        <v>493.33333333333331</v>
      </c>
      <c r="E102" s="14">
        <v>298.66666666666663</v>
      </c>
      <c r="F102" s="14">
        <v>99.999999999999986</v>
      </c>
      <c r="G102" s="14">
        <v>1179.333333333333</v>
      </c>
      <c r="H102" s="14">
        <v>338</v>
      </c>
      <c r="I102" s="14">
        <v>533.33333333333326</v>
      </c>
      <c r="K102" s="15"/>
    </row>
    <row r="103" spans="1:11" ht="16.5" x14ac:dyDescent="0.2">
      <c r="A103" s="4" t="s">
        <v>340</v>
      </c>
      <c r="B103">
        <v>2012</v>
      </c>
      <c r="C103" s="14">
        <v>5669.333333333333</v>
      </c>
      <c r="D103" s="14">
        <v>491.99999999999994</v>
      </c>
      <c r="E103" s="14">
        <v>297.33333333333331</v>
      </c>
      <c r="F103" s="14">
        <v>98.666666666666657</v>
      </c>
      <c r="G103" s="14">
        <v>1190.6666666666665</v>
      </c>
      <c r="H103" s="14">
        <v>339.33333333333331</v>
      </c>
      <c r="I103" s="14">
        <v>532.66666666666663</v>
      </c>
    </row>
    <row r="104" spans="1:11" ht="16.5" x14ac:dyDescent="0.2">
      <c r="A104" s="4" t="s">
        <v>340</v>
      </c>
      <c r="B104">
        <v>2013</v>
      </c>
      <c r="C104" s="14">
        <v>5661.333333333333</v>
      </c>
      <c r="D104" s="14">
        <v>487.33333333333326</v>
      </c>
      <c r="E104" s="14">
        <v>295.33333333333331</v>
      </c>
      <c r="F104" s="14">
        <v>96.666666666666657</v>
      </c>
      <c r="G104" s="14">
        <v>1201.3333333333333</v>
      </c>
      <c r="H104" s="14">
        <v>341.33333333333331</v>
      </c>
      <c r="I104" s="14">
        <v>530.66666666666663</v>
      </c>
      <c r="K104" s="15"/>
    </row>
    <row r="105" spans="1:11" ht="16.5" x14ac:dyDescent="0.2">
      <c r="A105" s="4" t="s">
        <v>340</v>
      </c>
      <c r="B105">
        <v>2014</v>
      </c>
      <c r="C105" s="14">
        <v>5651.333333333333</v>
      </c>
      <c r="D105" s="14">
        <v>483.99999999999994</v>
      </c>
      <c r="E105" s="14">
        <v>293.33333333333331</v>
      </c>
      <c r="F105" s="14">
        <v>93.999999999999986</v>
      </c>
      <c r="G105" s="14">
        <v>1217.3333333333333</v>
      </c>
      <c r="H105" s="14">
        <v>345.33333333333326</v>
      </c>
      <c r="I105" s="14">
        <v>527.33333333333326</v>
      </c>
    </row>
    <row r="106" spans="1:11" ht="16.5" x14ac:dyDescent="0.2">
      <c r="A106" s="4" t="s">
        <v>340</v>
      </c>
      <c r="B106">
        <v>2015</v>
      </c>
      <c r="C106" s="14">
        <v>5645.9999999999991</v>
      </c>
      <c r="D106" s="14">
        <v>481.33333333333331</v>
      </c>
      <c r="E106" s="14">
        <v>291.33333333333331</v>
      </c>
      <c r="F106" s="14">
        <v>92.666666666666657</v>
      </c>
      <c r="G106" s="14">
        <v>1230.6666666666665</v>
      </c>
      <c r="H106" s="14">
        <v>348.66666666666663</v>
      </c>
      <c r="I106" s="14">
        <v>526.66666666666663</v>
      </c>
      <c r="K106" s="15"/>
    </row>
    <row r="107" spans="1:11" ht="16.5" x14ac:dyDescent="0.2">
      <c r="A107" s="4" t="s">
        <v>340</v>
      </c>
      <c r="B107">
        <v>2016</v>
      </c>
      <c r="C107" s="14">
        <v>5644</v>
      </c>
      <c r="D107" s="14">
        <v>479.33333333333331</v>
      </c>
      <c r="E107" s="14">
        <v>289.33333333333331</v>
      </c>
      <c r="F107" s="14">
        <v>89.999999999999986</v>
      </c>
      <c r="G107" s="14">
        <v>1243.3333333333333</v>
      </c>
      <c r="H107" s="14">
        <v>351.99999999999994</v>
      </c>
      <c r="I107" s="14">
        <v>522.66666666666663</v>
      </c>
    </row>
    <row r="108" spans="1:11" ht="16.5" x14ac:dyDescent="0.2">
      <c r="A108" s="4" t="s">
        <v>339</v>
      </c>
      <c r="B108">
        <v>2009</v>
      </c>
      <c r="C108" s="14">
        <v>40684</v>
      </c>
      <c r="D108" s="14">
        <v>4153.333333333333</v>
      </c>
      <c r="E108" s="14">
        <v>48724.666666666664</v>
      </c>
      <c r="F108" s="14">
        <v>41170.666666666664</v>
      </c>
      <c r="G108" s="14">
        <v>8093.333333333333</v>
      </c>
      <c r="H108" s="14">
        <v>2494.6666666666665</v>
      </c>
      <c r="I108" s="14">
        <v>2943.333333333333</v>
      </c>
      <c r="K108" s="15"/>
    </row>
    <row r="109" spans="1:11" ht="16.5" x14ac:dyDescent="0.2">
      <c r="A109" s="4" t="s">
        <v>339</v>
      </c>
      <c r="B109">
        <v>2010</v>
      </c>
      <c r="C109" s="14">
        <v>40642</v>
      </c>
      <c r="D109" s="14">
        <v>4132.6666666666661</v>
      </c>
      <c r="E109" s="14">
        <v>48693.333333333328</v>
      </c>
      <c r="F109" s="14">
        <v>41149.333333333328</v>
      </c>
      <c r="G109" s="14">
        <v>8163.333333333333</v>
      </c>
      <c r="H109" s="14">
        <v>2534</v>
      </c>
      <c r="I109" s="14">
        <v>2947.333333333333</v>
      </c>
    </row>
    <row r="110" spans="1:11" ht="16.5" x14ac:dyDescent="0.2">
      <c r="A110" s="4" t="s">
        <v>339</v>
      </c>
      <c r="B110">
        <v>2011</v>
      </c>
      <c r="C110" s="14">
        <v>40645.333333333328</v>
      </c>
      <c r="D110" s="14">
        <v>4124.666666666667</v>
      </c>
      <c r="E110" s="14">
        <v>48671.333333333328</v>
      </c>
      <c r="F110" s="14">
        <v>41091.333333333328</v>
      </c>
      <c r="G110" s="14">
        <v>8226</v>
      </c>
      <c r="H110" s="14">
        <v>2561.333333333333</v>
      </c>
      <c r="I110" s="14">
        <v>2934.6666666666665</v>
      </c>
      <c r="K110" s="15"/>
    </row>
    <row r="111" spans="1:11" ht="16.5" x14ac:dyDescent="0.2">
      <c r="A111" s="4" t="s">
        <v>339</v>
      </c>
      <c r="B111">
        <v>2012</v>
      </c>
      <c r="C111" s="14">
        <v>40642</v>
      </c>
      <c r="D111" s="14">
        <v>4109.333333333333</v>
      </c>
      <c r="E111" s="14">
        <v>48644.666666666664</v>
      </c>
      <c r="F111" s="14">
        <v>41002.666666666657</v>
      </c>
      <c r="G111" s="14">
        <v>8320</v>
      </c>
      <c r="H111" s="14">
        <v>2618.6666666666665</v>
      </c>
      <c r="I111" s="14">
        <v>2924.6666666666665</v>
      </c>
    </row>
    <row r="112" spans="1:11" ht="16.5" x14ac:dyDescent="0.2">
      <c r="A112" s="4" t="s">
        <v>339</v>
      </c>
      <c r="B112">
        <v>2013</v>
      </c>
      <c r="C112" s="14">
        <v>40617.333333333336</v>
      </c>
      <c r="D112" s="14">
        <v>4094</v>
      </c>
      <c r="E112" s="14">
        <v>48615.333333333328</v>
      </c>
      <c r="F112" s="14">
        <v>40922</v>
      </c>
      <c r="G112" s="14">
        <v>8416.6666666666661</v>
      </c>
      <c r="H112" s="14">
        <v>2684</v>
      </c>
      <c r="I112" s="14">
        <v>2908.6666666666665</v>
      </c>
      <c r="K112" s="15"/>
    </row>
    <row r="113" spans="1:11" ht="16.5" x14ac:dyDescent="0.2">
      <c r="A113" s="4" t="s">
        <v>339</v>
      </c>
      <c r="B113">
        <v>2014</v>
      </c>
      <c r="C113" s="14">
        <v>40568.666666666664</v>
      </c>
      <c r="D113" s="14">
        <v>4075.9999999999995</v>
      </c>
      <c r="E113" s="14">
        <v>48587.333333333328</v>
      </c>
      <c r="F113" s="14">
        <v>40848.666666666664</v>
      </c>
      <c r="G113" s="14">
        <v>8528</v>
      </c>
      <c r="H113" s="14">
        <v>2736.6666666666665</v>
      </c>
      <c r="I113" s="14">
        <v>2896.6666666666665</v>
      </c>
    </row>
    <row r="114" spans="1:11" ht="16.5" x14ac:dyDescent="0.2">
      <c r="A114" s="4" t="s">
        <v>339</v>
      </c>
      <c r="B114">
        <v>2015</v>
      </c>
      <c r="C114" s="14">
        <v>40587.999999999993</v>
      </c>
      <c r="D114" s="14">
        <v>4069.9999999999995</v>
      </c>
      <c r="E114" s="14">
        <v>48573.333333333328</v>
      </c>
      <c r="F114" s="14">
        <v>40790.666666666664</v>
      </c>
      <c r="G114" s="14">
        <v>8577.3333333333321</v>
      </c>
      <c r="H114" s="14">
        <v>2755.9999999999995</v>
      </c>
      <c r="I114" s="14">
        <v>2880.6666666666665</v>
      </c>
      <c r="K114" s="15"/>
    </row>
    <row r="115" spans="1:11" ht="16.5" x14ac:dyDescent="0.2">
      <c r="A115" s="4" t="s">
        <v>339</v>
      </c>
      <c r="B115">
        <v>2016</v>
      </c>
      <c r="C115" s="14">
        <v>40567.999999999993</v>
      </c>
      <c r="D115" s="14">
        <v>4064</v>
      </c>
      <c r="E115" s="14">
        <v>48559.999999999993</v>
      </c>
      <c r="F115" s="14">
        <v>40757.333333333336</v>
      </c>
      <c r="G115" s="14">
        <v>8625.3333333333339</v>
      </c>
      <c r="H115" s="14">
        <v>2779.333333333333</v>
      </c>
      <c r="I115" s="14">
        <v>2874.6666666666665</v>
      </c>
    </row>
    <row r="116" spans="1:11" ht="16.5" x14ac:dyDescent="0.2">
      <c r="A116" s="4" t="s">
        <v>338</v>
      </c>
      <c r="B116">
        <v>2009</v>
      </c>
      <c r="C116" s="14">
        <v>1166.6666666666665</v>
      </c>
      <c r="D116" s="14">
        <v>180.66666666666666</v>
      </c>
      <c r="E116" s="14">
        <v>2783.333333333333</v>
      </c>
      <c r="F116" s="14">
        <v>1679.9999999999998</v>
      </c>
      <c r="G116" s="14">
        <v>622.66666666666663</v>
      </c>
      <c r="H116" s="14">
        <v>137.99999999999997</v>
      </c>
      <c r="I116" s="14">
        <v>164.66666666666666</v>
      </c>
      <c r="K116" s="15"/>
    </row>
    <row r="117" spans="1:11" ht="16.5" x14ac:dyDescent="0.2">
      <c r="A117" s="4" t="s">
        <v>338</v>
      </c>
      <c r="B117">
        <v>2010</v>
      </c>
      <c r="C117" s="14">
        <v>1168.6666666666667</v>
      </c>
      <c r="D117" s="14">
        <v>177.99999999999997</v>
      </c>
      <c r="E117" s="14">
        <v>2772.6666666666661</v>
      </c>
      <c r="F117" s="14">
        <v>1678.6666666666665</v>
      </c>
      <c r="G117" s="14">
        <v>633.99999999999989</v>
      </c>
      <c r="H117" s="14">
        <v>138.66666666666666</v>
      </c>
      <c r="I117" s="14">
        <v>164.66666666666666</v>
      </c>
    </row>
    <row r="118" spans="1:11" ht="16.5" x14ac:dyDescent="0.2">
      <c r="A118" s="4" t="s">
        <v>338</v>
      </c>
      <c r="B118">
        <v>2011</v>
      </c>
      <c r="C118" s="14">
        <v>1170.6666666666665</v>
      </c>
      <c r="D118" s="14">
        <v>177.99999999999997</v>
      </c>
      <c r="E118" s="14">
        <v>2770.6666666666665</v>
      </c>
      <c r="F118" s="14">
        <v>1672</v>
      </c>
      <c r="G118" s="14">
        <v>639.33333333333326</v>
      </c>
      <c r="H118" s="14">
        <v>142</v>
      </c>
      <c r="I118" s="14">
        <v>164.66666666666666</v>
      </c>
      <c r="K118" s="15"/>
    </row>
    <row r="119" spans="1:11" ht="16.5" x14ac:dyDescent="0.2">
      <c r="A119" s="4" t="s">
        <v>338</v>
      </c>
      <c r="B119">
        <v>2012</v>
      </c>
      <c r="C119" s="14">
        <v>1167.3333333333333</v>
      </c>
      <c r="D119" s="14">
        <v>174.66666666666666</v>
      </c>
      <c r="E119" s="14">
        <v>2767.333333333333</v>
      </c>
      <c r="F119" s="14">
        <v>1662</v>
      </c>
      <c r="G119" s="14">
        <v>657.99999999999989</v>
      </c>
      <c r="H119" s="14">
        <v>144</v>
      </c>
      <c r="I119" s="14">
        <v>163.33333333333331</v>
      </c>
    </row>
    <row r="120" spans="1:11" ht="16.5" x14ac:dyDescent="0.2">
      <c r="A120" s="4" t="s">
        <v>338</v>
      </c>
      <c r="B120">
        <v>2013</v>
      </c>
      <c r="C120" s="14">
        <v>1162</v>
      </c>
      <c r="D120" s="14">
        <v>173.33333333333331</v>
      </c>
      <c r="E120" s="14">
        <v>2764.6666666666665</v>
      </c>
      <c r="F120" s="14">
        <v>1659.3333333333333</v>
      </c>
      <c r="G120" s="14">
        <v>669.99999999999989</v>
      </c>
      <c r="H120" s="14">
        <v>145.33333333333331</v>
      </c>
      <c r="I120" s="14">
        <v>162.66666666666663</v>
      </c>
      <c r="K120" s="15"/>
    </row>
    <row r="121" spans="1:11" ht="16.5" x14ac:dyDescent="0.2">
      <c r="A121" s="4" t="s">
        <v>338</v>
      </c>
      <c r="B121">
        <v>2014</v>
      </c>
      <c r="C121" s="14">
        <v>1158.6666666666667</v>
      </c>
      <c r="D121" s="14">
        <v>170.66666666666666</v>
      </c>
      <c r="E121" s="14">
        <v>2761.333333333333</v>
      </c>
      <c r="F121" s="14">
        <v>1651.333333333333</v>
      </c>
      <c r="G121" s="14">
        <v>685.99999999999989</v>
      </c>
      <c r="H121" s="14">
        <v>148.66666666666666</v>
      </c>
      <c r="I121" s="14">
        <v>162</v>
      </c>
    </row>
    <row r="122" spans="1:11" ht="16.5" x14ac:dyDescent="0.2">
      <c r="A122" s="4" t="s">
        <v>338</v>
      </c>
      <c r="B122">
        <v>2015</v>
      </c>
      <c r="C122" s="14">
        <v>1161.3333333333333</v>
      </c>
      <c r="D122" s="14">
        <v>169.99999999999997</v>
      </c>
      <c r="E122" s="14">
        <v>2759.333333333333</v>
      </c>
      <c r="F122" s="14">
        <v>1646</v>
      </c>
      <c r="G122" s="14">
        <v>691.33333333333314</v>
      </c>
      <c r="H122" s="14">
        <v>148.66666666666666</v>
      </c>
      <c r="I122" s="14">
        <v>161.33333333333331</v>
      </c>
      <c r="K122" s="15"/>
    </row>
    <row r="123" spans="1:11" ht="16.5" x14ac:dyDescent="0.2">
      <c r="A123" s="4" t="s">
        <v>338</v>
      </c>
      <c r="B123">
        <v>2016</v>
      </c>
      <c r="C123" s="14">
        <v>1158.6666666666667</v>
      </c>
      <c r="D123" s="14">
        <v>168.66666666666666</v>
      </c>
      <c r="E123" s="14">
        <v>2757.333333333333</v>
      </c>
      <c r="F123" s="14">
        <v>1642.6666666666665</v>
      </c>
      <c r="G123" s="14">
        <v>698.66666666666663</v>
      </c>
      <c r="H123" s="14">
        <v>151.33333333333331</v>
      </c>
      <c r="I123" s="14">
        <v>160.66666666666666</v>
      </c>
    </row>
    <row r="124" spans="1:11" ht="16.5" x14ac:dyDescent="0.2">
      <c r="A124" s="4" t="s">
        <v>337</v>
      </c>
      <c r="B124">
        <v>2009</v>
      </c>
      <c r="C124" s="14">
        <v>3779.9999999999995</v>
      </c>
      <c r="D124" s="14">
        <v>185.33333333333331</v>
      </c>
      <c r="E124" s="14">
        <v>3064.6666666666665</v>
      </c>
      <c r="F124" s="14">
        <v>4821.333333333333</v>
      </c>
      <c r="G124" s="14">
        <v>689.99999999999989</v>
      </c>
      <c r="H124" s="14">
        <v>236.66666666666666</v>
      </c>
      <c r="I124" s="14">
        <v>355.99999999999994</v>
      </c>
      <c r="K124" s="15"/>
    </row>
    <row r="125" spans="1:11" ht="16.5" x14ac:dyDescent="0.2">
      <c r="A125" s="4" t="s">
        <v>337</v>
      </c>
      <c r="B125">
        <v>2010</v>
      </c>
      <c r="C125" s="14">
        <v>3763.333333333333</v>
      </c>
      <c r="D125" s="14">
        <v>185.99999999999997</v>
      </c>
      <c r="E125" s="14">
        <v>3061.333333333333</v>
      </c>
      <c r="F125" s="14">
        <v>4825.9999999999991</v>
      </c>
      <c r="G125" s="14">
        <v>700.66666666666652</v>
      </c>
      <c r="H125" s="14">
        <v>249.99999999999997</v>
      </c>
      <c r="I125" s="14">
        <v>350.66666666666663</v>
      </c>
    </row>
    <row r="126" spans="1:11" ht="16.5" x14ac:dyDescent="0.2">
      <c r="A126" s="4" t="s">
        <v>337</v>
      </c>
      <c r="B126">
        <v>2011</v>
      </c>
      <c r="C126" s="14">
        <v>3764</v>
      </c>
      <c r="D126" s="14">
        <v>185.99999999999997</v>
      </c>
      <c r="E126" s="14">
        <v>3059.9999999999995</v>
      </c>
      <c r="F126" s="14">
        <v>4820</v>
      </c>
      <c r="G126" s="14">
        <v>709.33333333333326</v>
      </c>
      <c r="H126" s="14">
        <v>250.66666666666666</v>
      </c>
      <c r="I126" s="14">
        <v>349.33333333333331</v>
      </c>
      <c r="K126" s="15"/>
    </row>
    <row r="127" spans="1:11" ht="16.5" x14ac:dyDescent="0.2">
      <c r="A127" s="4" t="s">
        <v>337</v>
      </c>
      <c r="B127">
        <v>2012</v>
      </c>
      <c r="C127" s="14">
        <v>3764.6666666666665</v>
      </c>
      <c r="D127" s="14">
        <v>185.33333333333331</v>
      </c>
      <c r="E127" s="14">
        <v>3057.333333333333</v>
      </c>
      <c r="F127" s="14">
        <v>4812.6666666666661</v>
      </c>
      <c r="G127" s="14">
        <v>717.33333333333326</v>
      </c>
      <c r="H127" s="14">
        <v>255.33333333333329</v>
      </c>
      <c r="I127" s="14">
        <v>346.66666666666663</v>
      </c>
    </row>
    <row r="128" spans="1:11" ht="16.5" x14ac:dyDescent="0.2">
      <c r="A128" s="4" t="s">
        <v>337</v>
      </c>
      <c r="B128">
        <v>2013</v>
      </c>
      <c r="C128" s="14">
        <v>3763.333333333333</v>
      </c>
      <c r="D128" s="14">
        <v>185.33333333333331</v>
      </c>
      <c r="E128" s="14">
        <v>3055.333333333333</v>
      </c>
      <c r="F128" s="14">
        <v>4808.6666666666661</v>
      </c>
      <c r="G128" s="14">
        <v>723.99999999999989</v>
      </c>
      <c r="H128" s="14">
        <v>255.99999999999997</v>
      </c>
      <c r="I128" s="14">
        <v>345.33333333333326</v>
      </c>
      <c r="K128" s="15"/>
    </row>
    <row r="129" spans="1:11" ht="16.5" x14ac:dyDescent="0.2">
      <c r="A129" s="4" t="s">
        <v>337</v>
      </c>
      <c r="B129">
        <v>2014</v>
      </c>
      <c r="C129" s="14">
        <v>3759.9999999999995</v>
      </c>
      <c r="D129" s="14">
        <v>184.66666666666666</v>
      </c>
      <c r="E129" s="14">
        <v>3054</v>
      </c>
      <c r="F129" s="14">
        <v>4807.333333333333</v>
      </c>
      <c r="G129" s="14">
        <v>728.66666666666663</v>
      </c>
      <c r="H129" s="14">
        <v>257.33333333333331</v>
      </c>
      <c r="I129" s="14">
        <v>344</v>
      </c>
    </row>
    <row r="130" spans="1:11" ht="16.5" x14ac:dyDescent="0.2">
      <c r="A130" s="4" t="s">
        <v>337</v>
      </c>
      <c r="B130">
        <v>2015</v>
      </c>
      <c r="C130" s="14">
        <v>3761.9999999999995</v>
      </c>
      <c r="D130" s="14">
        <v>184.66666666666666</v>
      </c>
      <c r="E130" s="14">
        <v>3053.333333333333</v>
      </c>
      <c r="F130" s="14">
        <v>4804</v>
      </c>
      <c r="G130" s="14">
        <v>731.33333333333326</v>
      </c>
      <c r="H130" s="14">
        <v>258.66666666666663</v>
      </c>
      <c r="I130" s="14">
        <v>342.66666666666663</v>
      </c>
      <c r="K130" s="15"/>
    </row>
    <row r="131" spans="1:11" ht="16.5" x14ac:dyDescent="0.2">
      <c r="A131" s="4" t="s">
        <v>337</v>
      </c>
      <c r="B131">
        <v>2016</v>
      </c>
      <c r="C131" s="14">
        <v>3756.6666666666665</v>
      </c>
      <c r="D131" s="14">
        <v>184.66666666666666</v>
      </c>
      <c r="E131" s="14">
        <v>3049.9999999999995</v>
      </c>
      <c r="F131" s="14">
        <v>4800.6666666666661</v>
      </c>
      <c r="G131" s="14">
        <v>737.33333333333326</v>
      </c>
      <c r="H131" s="14">
        <v>265.33333333333331</v>
      </c>
      <c r="I131" s="14">
        <v>340.66666666666663</v>
      </c>
    </row>
    <row r="132" spans="1:11" ht="16.5" x14ac:dyDescent="0.2">
      <c r="A132" s="4" t="s">
        <v>336</v>
      </c>
      <c r="B132">
        <v>2009</v>
      </c>
      <c r="C132" s="14">
        <v>766.66666666666663</v>
      </c>
      <c r="D132" s="14">
        <v>32.666666666666664</v>
      </c>
      <c r="E132" s="14">
        <v>1562.6666666666665</v>
      </c>
      <c r="F132" s="14">
        <v>1163.3333333333333</v>
      </c>
      <c r="G132" s="14">
        <v>261.33333333333326</v>
      </c>
      <c r="H132" s="14">
        <v>54.666666666666657</v>
      </c>
      <c r="I132" s="14">
        <v>38</v>
      </c>
      <c r="K132" s="15"/>
    </row>
    <row r="133" spans="1:11" ht="16.5" x14ac:dyDescent="0.2">
      <c r="A133" s="4" t="s">
        <v>336</v>
      </c>
      <c r="B133">
        <v>2010</v>
      </c>
      <c r="C133" s="14">
        <v>766.66666666666663</v>
      </c>
      <c r="D133" s="14">
        <v>32.666666666666664</v>
      </c>
      <c r="E133" s="14">
        <v>1562</v>
      </c>
      <c r="F133" s="14">
        <v>1162.6666666666665</v>
      </c>
      <c r="G133" s="14">
        <v>264.66666666666669</v>
      </c>
      <c r="H133" s="14">
        <v>55.333333333333336</v>
      </c>
      <c r="I133" s="14">
        <v>37.333333333333329</v>
      </c>
    </row>
    <row r="134" spans="1:11" ht="16.5" x14ac:dyDescent="0.2">
      <c r="A134" s="4" t="s">
        <v>336</v>
      </c>
      <c r="B134">
        <v>2011</v>
      </c>
      <c r="C134" s="14">
        <v>767.33333333333326</v>
      </c>
      <c r="D134" s="14">
        <v>31.999999999999996</v>
      </c>
      <c r="E134" s="14">
        <v>1561.333333333333</v>
      </c>
      <c r="F134" s="14">
        <v>1160.6666666666665</v>
      </c>
      <c r="G134" s="14">
        <v>266</v>
      </c>
      <c r="H134" s="14">
        <v>57.333333333333329</v>
      </c>
      <c r="I134" s="14">
        <v>36.666666666666664</v>
      </c>
      <c r="K134" s="15"/>
    </row>
    <row r="135" spans="1:11" ht="16.5" x14ac:dyDescent="0.2">
      <c r="A135" s="4" t="s">
        <v>336</v>
      </c>
      <c r="B135">
        <v>2012</v>
      </c>
      <c r="C135" s="14">
        <v>763.99999999999989</v>
      </c>
      <c r="D135" s="14">
        <v>31.999999999999996</v>
      </c>
      <c r="E135" s="14">
        <v>1559.3333333333333</v>
      </c>
      <c r="F135" s="14">
        <v>1157.3333333333333</v>
      </c>
      <c r="G135" s="14">
        <v>269.33333333333331</v>
      </c>
      <c r="H135" s="14">
        <v>63.333333333333329</v>
      </c>
      <c r="I135" s="14">
        <v>36.666666666666664</v>
      </c>
    </row>
    <row r="136" spans="1:11" ht="16.5" x14ac:dyDescent="0.2">
      <c r="A136" s="4" t="s">
        <v>336</v>
      </c>
      <c r="B136">
        <v>2013</v>
      </c>
      <c r="C136" s="14">
        <v>763.33333333333326</v>
      </c>
      <c r="D136" s="14">
        <v>31.999999999999996</v>
      </c>
      <c r="E136" s="14">
        <v>1557.9999999999998</v>
      </c>
      <c r="F136" s="14">
        <v>1153.9999999999998</v>
      </c>
      <c r="G136" s="14">
        <v>273.33333333333331</v>
      </c>
      <c r="H136" s="14">
        <v>65.333333333333329</v>
      </c>
      <c r="I136" s="14">
        <v>36.666666666666664</v>
      </c>
      <c r="K136" s="15"/>
    </row>
    <row r="137" spans="1:11" ht="16.5" x14ac:dyDescent="0.2">
      <c r="A137" s="4" t="s">
        <v>336</v>
      </c>
      <c r="B137">
        <v>2014</v>
      </c>
      <c r="C137" s="14">
        <v>762.66666666666663</v>
      </c>
      <c r="D137" s="14">
        <v>31.999999999999996</v>
      </c>
      <c r="E137" s="14">
        <v>1557.3333333333333</v>
      </c>
      <c r="F137" s="14">
        <v>1150.6666666666665</v>
      </c>
      <c r="G137" s="14">
        <v>276.66666666666663</v>
      </c>
      <c r="H137" s="14">
        <v>67.999999999999986</v>
      </c>
      <c r="I137" s="14">
        <v>36.666666666666664</v>
      </c>
    </row>
    <row r="138" spans="1:11" ht="16.5" x14ac:dyDescent="0.2">
      <c r="A138" s="4" t="s">
        <v>336</v>
      </c>
      <c r="B138">
        <v>2015</v>
      </c>
      <c r="C138" s="14">
        <v>762.66666666666663</v>
      </c>
      <c r="D138" s="14">
        <v>31.333333333333332</v>
      </c>
      <c r="E138" s="14">
        <v>1556.6666666666665</v>
      </c>
      <c r="F138" s="14">
        <v>1149.3333333333333</v>
      </c>
      <c r="G138" s="14">
        <v>277.99999999999994</v>
      </c>
      <c r="H138" s="14">
        <v>67.999999999999986</v>
      </c>
      <c r="I138" s="14">
        <v>36</v>
      </c>
      <c r="K138" s="15"/>
    </row>
    <row r="139" spans="1:11" ht="16.5" x14ac:dyDescent="0.2">
      <c r="A139" s="4" t="s">
        <v>336</v>
      </c>
      <c r="B139">
        <v>2016</v>
      </c>
      <c r="C139" s="14">
        <v>760.66666666666652</v>
      </c>
      <c r="D139" s="14">
        <v>31.333333333333332</v>
      </c>
      <c r="E139" s="14">
        <v>1556.6666666666665</v>
      </c>
      <c r="F139" s="14">
        <v>1147.9999999999998</v>
      </c>
      <c r="G139" s="14">
        <v>281.33333333333331</v>
      </c>
      <c r="H139" s="14">
        <v>70</v>
      </c>
      <c r="I139" s="14">
        <v>36</v>
      </c>
    </row>
    <row r="140" spans="1:11" ht="16.5" x14ac:dyDescent="0.2">
      <c r="A140" s="4" t="s">
        <v>335</v>
      </c>
      <c r="B140">
        <v>2009</v>
      </c>
      <c r="C140" s="14">
        <v>3611.3333333333335</v>
      </c>
      <c r="D140" s="14">
        <v>128.66666666666666</v>
      </c>
      <c r="E140" s="14">
        <v>4977.333333333333</v>
      </c>
      <c r="F140" s="14">
        <v>3277.9999999999995</v>
      </c>
      <c r="G140" s="14">
        <v>791.33333333333326</v>
      </c>
      <c r="H140" s="14">
        <v>200.66666666666666</v>
      </c>
      <c r="I140" s="14">
        <v>192.66666666666663</v>
      </c>
      <c r="K140" s="15"/>
    </row>
    <row r="141" spans="1:11" ht="16.5" x14ac:dyDescent="0.2">
      <c r="A141" s="4" t="s">
        <v>335</v>
      </c>
      <c r="B141">
        <v>2010</v>
      </c>
      <c r="C141" s="14">
        <v>3607.333333333333</v>
      </c>
      <c r="D141" s="14">
        <v>128.66666666666666</v>
      </c>
      <c r="E141" s="14">
        <v>4975.9999999999991</v>
      </c>
      <c r="F141" s="14">
        <v>3277.333333333333</v>
      </c>
      <c r="G141" s="14">
        <v>796</v>
      </c>
      <c r="H141" s="14">
        <v>202</v>
      </c>
      <c r="I141" s="14">
        <v>192.66666666666663</v>
      </c>
    </row>
    <row r="142" spans="1:11" ht="16.5" x14ac:dyDescent="0.2">
      <c r="A142" s="4" t="s">
        <v>335</v>
      </c>
      <c r="B142">
        <v>2011</v>
      </c>
      <c r="C142" s="14">
        <v>3605.3333333333326</v>
      </c>
      <c r="D142" s="14">
        <v>127.99999999999999</v>
      </c>
      <c r="E142" s="14">
        <v>4974</v>
      </c>
      <c r="F142" s="14">
        <v>3272.6666666666661</v>
      </c>
      <c r="G142" s="14">
        <v>801.33333333333326</v>
      </c>
      <c r="H142" s="14">
        <v>204</v>
      </c>
      <c r="I142" s="14">
        <v>192</v>
      </c>
      <c r="K142" s="15"/>
    </row>
    <row r="143" spans="1:11" ht="16.5" x14ac:dyDescent="0.2">
      <c r="A143" s="4" t="s">
        <v>335</v>
      </c>
      <c r="B143">
        <v>2012</v>
      </c>
      <c r="C143" s="14">
        <v>3599.9999999999995</v>
      </c>
      <c r="D143" s="14">
        <v>127.99999999999999</v>
      </c>
      <c r="E143" s="14">
        <v>4971.9999999999991</v>
      </c>
      <c r="F143" s="14">
        <v>3269.9999999999995</v>
      </c>
      <c r="G143" s="14">
        <v>809.99999999999989</v>
      </c>
      <c r="H143" s="14">
        <v>207.99999999999997</v>
      </c>
      <c r="I143" s="14">
        <v>191.33333333333331</v>
      </c>
    </row>
    <row r="144" spans="1:11" ht="16.5" x14ac:dyDescent="0.2">
      <c r="A144" s="4" t="s">
        <v>335</v>
      </c>
      <c r="B144">
        <v>2013</v>
      </c>
      <c r="C144" s="14">
        <v>3595.3333333333326</v>
      </c>
      <c r="D144" s="14">
        <v>127.33333333333333</v>
      </c>
      <c r="E144" s="14">
        <v>4970</v>
      </c>
      <c r="F144" s="14">
        <v>3263.333333333333</v>
      </c>
      <c r="G144" s="14">
        <v>819.33333333333326</v>
      </c>
      <c r="H144" s="14">
        <v>211.33333333333331</v>
      </c>
      <c r="I144" s="14">
        <v>190.66666666666666</v>
      </c>
      <c r="K144" s="15"/>
    </row>
    <row r="145" spans="1:11" ht="16.5" x14ac:dyDescent="0.2">
      <c r="A145" s="4" t="s">
        <v>335</v>
      </c>
      <c r="B145">
        <v>2014</v>
      </c>
      <c r="C145" s="14">
        <v>3587.333333333333</v>
      </c>
      <c r="D145" s="14">
        <v>126.66666666666666</v>
      </c>
      <c r="E145" s="14">
        <v>4968</v>
      </c>
      <c r="F145" s="14">
        <v>3257.9999999999995</v>
      </c>
      <c r="G145" s="14">
        <v>831.33333333333326</v>
      </c>
      <c r="H145" s="14">
        <v>215.99999999999997</v>
      </c>
      <c r="I145" s="14">
        <v>190.66666666666666</v>
      </c>
    </row>
    <row r="146" spans="1:11" ht="16.5" x14ac:dyDescent="0.2">
      <c r="A146" s="4" t="s">
        <v>335</v>
      </c>
      <c r="B146">
        <v>2015</v>
      </c>
      <c r="C146" s="14">
        <v>3584.6666666666665</v>
      </c>
      <c r="D146" s="14">
        <v>126.66666666666666</v>
      </c>
      <c r="E146" s="14">
        <v>4966.6666666666661</v>
      </c>
      <c r="F146" s="14">
        <v>3256.6666666666665</v>
      </c>
      <c r="G146" s="14">
        <v>833.33333333333326</v>
      </c>
      <c r="H146" s="14">
        <v>218</v>
      </c>
      <c r="I146" s="14">
        <v>189.99999999999997</v>
      </c>
      <c r="K146" s="15"/>
    </row>
    <row r="147" spans="1:11" ht="16.5" x14ac:dyDescent="0.2">
      <c r="A147" s="4" t="s">
        <v>335</v>
      </c>
      <c r="B147">
        <v>2016</v>
      </c>
      <c r="C147" s="14">
        <v>3581.9999999999995</v>
      </c>
      <c r="D147" s="14">
        <v>126.66666666666666</v>
      </c>
      <c r="E147" s="14">
        <v>4965.9999999999991</v>
      </c>
      <c r="F147" s="14">
        <v>3255.9999999999995</v>
      </c>
      <c r="G147" s="14">
        <v>835.33333333333337</v>
      </c>
      <c r="H147" s="14">
        <v>219.99999999999997</v>
      </c>
      <c r="I147" s="14">
        <v>189.99999999999997</v>
      </c>
    </row>
    <row r="148" spans="1:11" ht="16.5" x14ac:dyDescent="0.2">
      <c r="A148" s="4" t="s">
        <v>334</v>
      </c>
      <c r="B148">
        <v>2009</v>
      </c>
      <c r="C148" s="14">
        <v>2047.3333333333333</v>
      </c>
      <c r="D148" s="14">
        <v>125.99999999999999</v>
      </c>
      <c r="E148" s="14">
        <v>4038.6666666666661</v>
      </c>
      <c r="F148" s="14">
        <v>1953.3333333333333</v>
      </c>
      <c r="G148" s="14">
        <v>476.66666666666663</v>
      </c>
      <c r="H148" s="14">
        <v>177.33333333333331</v>
      </c>
      <c r="I148" s="14">
        <v>124</v>
      </c>
      <c r="K148" s="15"/>
    </row>
    <row r="149" spans="1:11" ht="16.5" x14ac:dyDescent="0.2">
      <c r="A149" s="4" t="s">
        <v>334</v>
      </c>
      <c r="B149">
        <v>2010</v>
      </c>
      <c r="C149" s="14">
        <v>2047.3333333333333</v>
      </c>
      <c r="D149" s="14">
        <v>125.99999999999999</v>
      </c>
      <c r="E149" s="14">
        <v>4038</v>
      </c>
      <c r="F149" s="14">
        <v>1949.9999999999998</v>
      </c>
      <c r="G149" s="14">
        <v>479.33333333333326</v>
      </c>
      <c r="H149" s="14">
        <v>177.33333333333331</v>
      </c>
      <c r="I149" s="14">
        <v>123.33333333333333</v>
      </c>
    </row>
    <row r="150" spans="1:11" ht="16.5" x14ac:dyDescent="0.2">
      <c r="A150" s="4" t="s">
        <v>334</v>
      </c>
      <c r="B150">
        <v>2011</v>
      </c>
      <c r="C150" s="14">
        <v>2047.3333333333333</v>
      </c>
      <c r="D150" s="14">
        <v>125.99999999999999</v>
      </c>
      <c r="E150" s="14">
        <v>4038</v>
      </c>
      <c r="F150" s="14">
        <v>1945.9999999999998</v>
      </c>
      <c r="G150" s="14">
        <v>481.3333333333332</v>
      </c>
      <c r="H150" s="14">
        <v>179.33333333333331</v>
      </c>
      <c r="I150" s="14">
        <v>123.33333333333333</v>
      </c>
      <c r="K150" s="15"/>
    </row>
    <row r="151" spans="1:11" ht="16.5" x14ac:dyDescent="0.2">
      <c r="A151" s="4" t="s">
        <v>334</v>
      </c>
      <c r="B151">
        <v>2012</v>
      </c>
      <c r="C151" s="14">
        <v>2045.3333333333333</v>
      </c>
      <c r="D151" s="14">
        <v>125.33333333333333</v>
      </c>
      <c r="E151" s="14">
        <v>4036.6666666666665</v>
      </c>
      <c r="F151" s="14">
        <v>1942</v>
      </c>
      <c r="G151" s="14">
        <v>487.33333333333337</v>
      </c>
      <c r="H151" s="14">
        <v>180.66666666666666</v>
      </c>
      <c r="I151" s="14">
        <v>123.33333333333333</v>
      </c>
    </row>
    <row r="152" spans="1:11" ht="16.5" x14ac:dyDescent="0.2">
      <c r="A152" s="4" t="s">
        <v>334</v>
      </c>
      <c r="B152">
        <v>2013</v>
      </c>
      <c r="C152" s="14">
        <v>2046.6666666666665</v>
      </c>
      <c r="D152" s="14">
        <v>125.33333333333333</v>
      </c>
      <c r="E152" s="14">
        <v>4034.6666666666665</v>
      </c>
      <c r="F152" s="14">
        <v>1935.9999999999998</v>
      </c>
      <c r="G152" s="14">
        <v>491.99999999999994</v>
      </c>
      <c r="H152" s="14">
        <v>180.66666666666666</v>
      </c>
      <c r="I152" s="14">
        <v>123.33333333333333</v>
      </c>
      <c r="K152" s="15"/>
    </row>
    <row r="153" spans="1:11" ht="16.5" x14ac:dyDescent="0.2">
      <c r="A153" s="4" t="s">
        <v>334</v>
      </c>
      <c r="B153">
        <v>2014</v>
      </c>
      <c r="C153" s="14">
        <v>2047.3333333333333</v>
      </c>
      <c r="D153" s="14">
        <v>124.66666666666666</v>
      </c>
      <c r="E153" s="14">
        <v>4031.9999999999995</v>
      </c>
      <c r="F153" s="14">
        <v>1926.6666666666665</v>
      </c>
      <c r="G153" s="14">
        <v>498.66666666666663</v>
      </c>
      <c r="H153" s="14">
        <v>185.99999999999997</v>
      </c>
      <c r="I153" s="14">
        <v>122.66666666666664</v>
      </c>
    </row>
    <row r="154" spans="1:11" ht="16.5" x14ac:dyDescent="0.2">
      <c r="A154" s="4" t="s">
        <v>334</v>
      </c>
      <c r="B154">
        <v>2015</v>
      </c>
      <c r="C154" s="14">
        <v>2046.6666666666665</v>
      </c>
      <c r="D154" s="14">
        <v>124.66666666666666</v>
      </c>
      <c r="E154" s="14">
        <v>4031.9999999999995</v>
      </c>
      <c r="F154" s="14">
        <v>1923.3333333333333</v>
      </c>
      <c r="G154" s="14">
        <v>501.3333333333332</v>
      </c>
      <c r="H154" s="14">
        <v>187.33333333333331</v>
      </c>
      <c r="I154" s="14">
        <v>122.66666666666664</v>
      </c>
      <c r="K154" s="15"/>
    </row>
    <row r="155" spans="1:11" ht="16.5" x14ac:dyDescent="0.2">
      <c r="A155" s="4" t="s">
        <v>334</v>
      </c>
      <c r="B155">
        <v>2016</v>
      </c>
      <c r="C155" s="14">
        <v>2047.3333333333333</v>
      </c>
      <c r="D155" s="14">
        <v>124.66666666666666</v>
      </c>
      <c r="E155" s="14">
        <v>4031.3333333333335</v>
      </c>
      <c r="F155" s="14">
        <v>1920.6666666666667</v>
      </c>
      <c r="G155" s="14">
        <v>502.66666666666669</v>
      </c>
      <c r="H155" s="14">
        <v>187.99999999999997</v>
      </c>
      <c r="I155" s="14">
        <v>122.66666666666664</v>
      </c>
    </row>
    <row r="156" spans="1:11" ht="16.5" x14ac:dyDescent="0.2">
      <c r="A156" s="4" t="s">
        <v>333</v>
      </c>
      <c r="B156">
        <v>2009</v>
      </c>
      <c r="C156" s="14">
        <v>3959.333333333333</v>
      </c>
      <c r="D156" s="14">
        <v>9.3333333333333321</v>
      </c>
      <c r="E156" s="14">
        <v>2180.6666666666665</v>
      </c>
      <c r="F156" s="14">
        <v>2792</v>
      </c>
      <c r="G156" s="14">
        <v>499.33333333333331</v>
      </c>
      <c r="H156" s="14">
        <v>301.33333333333331</v>
      </c>
      <c r="I156" s="14">
        <v>279.33333333333331</v>
      </c>
      <c r="K156" s="15"/>
    </row>
    <row r="157" spans="1:11" ht="16.5" x14ac:dyDescent="0.2">
      <c r="A157" s="4" t="s">
        <v>333</v>
      </c>
      <c r="B157">
        <v>2010</v>
      </c>
      <c r="C157" s="14">
        <v>3958.6666666666661</v>
      </c>
      <c r="D157" s="14">
        <v>9.3333333333333321</v>
      </c>
      <c r="E157" s="14">
        <v>2177.3333333333335</v>
      </c>
      <c r="F157" s="14">
        <v>2788.6666666666665</v>
      </c>
      <c r="G157" s="14">
        <v>507.99999999999989</v>
      </c>
      <c r="H157" s="14">
        <v>301.99999999999994</v>
      </c>
      <c r="I157" s="14">
        <v>278.66666666666663</v>
      </c>
    </row>
    <row r="158" spans="1:11" ht="16.5" x14ac:dyDescent="0.2">
      <c r="A158" s="4" t="s">
        <v>333</v>
      </c>
      <c r="B158">
        <v>2011</v>
      </c>
      <c r="C158" s="14">
        <v>3958.6666666666661</v>
      </c>
      <c r="D158" s="14">
        <v>9.3333333333333321</v>
      </c>
      <c r="E158" s="14">
        <v>2175.9999999999995</v>
      </c>
      <c r="F158" s="14">
        <v>2784.6666666666665</v>
      </c>
      <c r="G158" s="14">
        <v>513.33333333333326</v>
      </c>
      <c r="H158" s="14">
        <v>301.99999999999994</v>
      </c>
      <c r="I158" s="14">
        <v>278</v>
      </c>
      <c r="K158" s="15"/>
    </row>
    <row r="159" spans="1:11" ht="16.5" x14ac:dyDescent="0.2">
      <c r="A159" s="4" t="s">
        <v>333</v>
      </c>
      <c r="B159">
        <v>2012</v>
      </c>
      <c r="C159" s="14">
        <v>3960.6666666666665</v>
      </c>
      <c r="D159" s="14">
        <v>8.6666666666666661</v>
      </c>
      <c r="E159" s="14">
        <v>2172</v>
      </c>
      <c r="F159" s="14">
        <v>2777.9999999999995</v>
      </c>
      <c r="G159" s="14">
        <v>520.66666666666663</v>
      </c>
      <c r="H159" s="14">
        <v>314.66666666666669</v>
      </c>
      <c r="I159" s="14">
        <v>278.66666666666663</v>
      </c>
    </row>
    <row r="160" spans="1:11" ht="16.5" x14ac:dyDescent="0.2">
      <c r="A160" s="4" t="s">
        <v>333</v>
      </c>
      <c r="B160">
        <v>2013</v>
      </c>
      <c r="C160" s="14">
        <v>3960.6666666666665</v>
      </c>
      <c r="D160" s="14">
        <v>8.6666666666666661</v>
      </c>
      <c r="E160" s="14">
        <v>2168.6666666666665</v>
      </c>
      <c r="F160" s="14">
        <v>2770.6666666666665</v>
      </c>
      <c r="G160" s="14">
        <v>531.99999999999989</v>
      </c>
      <c r="H160" s="14">
        <v>320.66666666666663</v>
      </c>
      <c r="I160" s="14">
        <v>275.33333333333331</v>
      </c>
      <c r="K160" s="15"/>
    </row>
    <row r="161" spans="1:11" ht="16.5" x14ac:dyDescent="0.2">
      <c r="A161" s="4" t="s">
        <v>333</v>
      </c>
      <c r="B161">
        <v>2014</v>
      </c>
      <c r="C161" s="14">
        <v>3954</v>
      </c>
      <c r="D161" s="14">
        <v>8.6666666666666661</v>
      </c>
      <c r="E161" s="14">
        <v>2165.333333333333</v>
      </c>
      <c r="F161" s="14">
        <v>2767.9999999999995</v>
      </c>
      <c r="G161" s="14">
        <v>538.66666666666663</v>
      </c>
      <c r="H161" s="14">
        <v>325.33333333333326</v>
      </c>
      <c r="I161" s="14">
        <v>274.66666666666669</v>
      </c>
    </row>
    <row r="162" spans="1:11" ht="16.5" x14ac:dyDescent="0.2">
      <c r="A162" s="4" t="s">
        <v>333</v>
      </c>
      <c r="B162">
        <v>2015</v>
      </c>
      <c r="C162" s="14">
        <v>3951.9999999999995</v>
      </c>
      <c r="D162" s="14">
        <v>8.6666666666666661</v>
      </c>
      <c r="E162" s="14">
        <v>2164</v>
      </c>
      <c r="F162" s="14">
        <v>2764.6666666666665</v>
      </c>
      <c r="G162" s="14">
        <v>542.66666666666663</v>
      </c>
      <c r="H162" s="14">
        <v>325.33333333333326</v>
      </c>
      <c r="I162" s="14">
        <v>279.33333333333331</v>
      </c>
      <c r="K162" s="15"/>
    </row>
    <row r="163" spans="1:11" ht="16.5" x14ac:dyDescent="0.2">
      <c r="A163" s="4" t="s">
        <v>333</v>
      </c>
      <c r="B163">
        <v>2016</v>
      </c>
      <c r="C163" s="14">
        <v>3951.9999999999995</v>
      </c>
      <c r="D163" s="14">
        <v>8.6666666666666661</v>
      </c>
      <c r="E163" s="14">
        <v>2163.333333333333</v>
      </c>
      <c r="F163" s="14">
        <v>2763.333333333333</v>
      </c>
      <c r="G163" s="14">
        <v>546.66666666666663</v>
      </c>
      <c r="H163" s="14">
        <v>325.99999999999994</v>
      </c>
      <c r="I163" s="14">
        <v>278.66666666666663</v>
      </c>
    </row>
    <row r="164" spans="1:11" ht="16.5" x14ac:dyDescent="0.2">
      <c r="A164" s="4" t="s">
        <v>332</v>
      </c>
      <c r="B164">
        <v>2009</v>
      </c>
      <c r="C164" s="14">
        <v>3738</v>
      </c>
      <c r="D164" s="14">
        <v>297.33333333333331</v>
      </c>
      <c r="E164" s="14">
        <v>5286.6666666666661</v>
      </c>
      <c r="F164" s="14">
        <v>4644.666666666667</v>
      </c>
      <c r="G164" s="14">
        <v>749.99999999999989</v>
      </c>
      <c r="H164" s="14">
        <v>254.66666666666666</v>
      </c>
      <c r="I164" s="14">
        <v>249.99999999999997</v>
      </c>
      <c r="K164" s="15"/>
    </row>
    <row r="165" spans="1:11" ht="16.5" x14ac:dyDescent="0.2">
      <c r="A165" s="4" t="s">
        <v>332</v>
      </c>
      <c r="B165">
        <v>2010</v>
      </c>
      <c r="C165" s="14">
        <v>3734</v>
      </c>
      <c r="D165" s="14">
        <v>291.33333333333331</v>
      </c>
      <c r="E165" s="14">
        <v>5284.6666666666661</v>
      </c>
      <c r="F165" s="14">
        <v>4640</v>
      </c>
      <c r="G165" s="14">
        <v>753.33333333333326</v>
      </c>
      <c r="H165" s="14">
        <v>267.33333333333331</v>
      </c>
      <c r="I165" s="14">
        <v>250.66666666666666</v>
      </c>
    </row>
    <row r="166" spans="1:11" ht="16.5" x14ac:dyDescent="0.2">
      <c r="A166" s="4" t="s">
        <v>332</v>
      </c>
      <c r="B166">
        <v>2011</v>
      </c>
      <c r="C166" s="14">
        <v>3734</v>
      </c>
      <c r="D166" s="14">
        <v>289.33333333333331</v>
      </c>
      <c r="E166" s="14">
        <v>5282.6666666666661</v>
      </c>
      <c r="F166" s="14">
        <v>4631.9999999999991</v>
      </c>
      <c r="G166" s="14">
        <v>761.33333333333326</v>
      </c>
      <c r="H166" s="14">
        <v>271.33333333333331</v>
      </c>
      <c r="I166" s="14">
        <v>249.33333333333331</v>
      </c>
      <c r="K166" s="15"/>
    </row>
    <row r="167" spans="1:11" ht="16.5" x14ac:dyDescent="0.2">
      <c r="A167" s="4" t="s">
        <v>332</v>
      </c>
      <c r="B167">
        <v>2012</v>
      </c>
      <c r="C167" s="14">
        <v>3735.3333333333326</v>
      </c>
      <c r="D167" s="14">
        <v>287.33333333333331</v>
      </c>
      <c r="E167" s="14">
        <v>5277.333333333333</v>
      </c>
      <c r="F167" s="14">
        <v>4620</v>
      </c>
      <c r="G167" s="14">
        <v>771.33333333333314</v>
      </c>
      <c r="H167" s="14">
        <v>275.99999999999994</v>
      </c>
      <c r="I167" s="14">
        <v>249.99999999999997</v>
      </c>
    </row>
    <row r="168" spans="1:11" ht="16.5" x14ac:dyDescent="0.2">
      <c r="A168" s="4" t="s">
        <v>332</v>
      </c>
      <c r="B168">
        <v>2013</v>
      </c>
      <c r="C168" s="14">
        <v>3736.6666666666665</v>
      </c>
      <c r="D168" s="14">
        <v>286.66666666666663</v>
      </c>
      <c r="E168" s="14">
        <v>5274</v>
      </c>
      <c r="F168" s="14">
        <v>4610</v>
      </c>
      <c r="G168" s="14">
        <v>779.33333333333326</v>
      </c>
      <c r="H168" s="14">
        <v>280</v>
      </c>
      <c r="I168" s="14">
        <v>249.33333333333331</v>
      </c>
      <c r="K168" s="15"/>
    </row>
    <row r="169" spans="1:11" ht="16.5" x14ac:dyDescent="0.2">
      <c r="A169" s="4" t="s">
        <v>332</v>
      </c>
      <c r="B169">
        <v>2014</v>
      </c>
      <c r="C169" s="14">
        <v>3731.9999999999995</v>
      </c>
      <c r="D169" s="14">
        <v>285.33333333333331</v>
      </c>
      <c r="E169" s="14">
        <v>5269.9999999999991</v>
      </c>
      <c r="F169" s="14">
        <v>4603.333333333333</v>
      </c>
      <c r="G169" s="14">
        <v>788.66666666666663</v>
      </c>
      <c r="H169" s="14">
        <v>285.33333333333331</v>
      </c>
      <c r="I169" s="14">
        <v>248.66666666666663</v>
      </c>
    </row>
    <row r="170" spans="1:11" ht="16.5" x14ac:dyDescent="0.2">
      <c r="A170" s="4" t="s">
        <v>332</v>
      </c>
      <c r="B170">
        <v>2015</v>
      </c>
      <c r="C170" s="14">
        <v>3734</v>
      </c>
      <c r="D170" s="14">
        <v>284.66666666666669</v>
      </c>
      <c r="E170" s="14">
        <v>5266.6666666666661</v>
      </c>
      <c r="F170" s="14">
        <v>4592.6666666666661</v>
      </c>
      <c r="G170" s="14">
        <v>798.66666666666652</v>
      </c>
      <c r="H170" s="14">
        <v>286.66666666666663</v>
      </c>
      <c r="I170" s="14">
        <v>247.33333333333331</v>
      </c>
      <c r="K170" s="15"/>
    </row>
    <row r="171" spans="1:11" ht="16.5" x14ac:dyDescent="0.2">
      <c r="A171" s="4" t="s">
        <v>332</v>
      </c>
      <c r="B171">
        <v>2016</v>
      </c>
      <c r="C171" s="14">
        <v>3728</v>
      </c>
      <c r="D171" s="14">
        <v>284</v>
      </c>
      <c r="E171" s="14">
        <v>5265.9999999999991</v>
      </c>
      <c r="F171" s="14">
        <v>4588.6666666666661</v>
      </c>
      <c r="G171" s="14">
        <v>805.99999999999989</v>
      </c>
      <c r="H171" s="14">
        <v>288.66666666666663</v>
      </c>
      <c r="I171" s="14">
        <v>249.33333333333331</v>
      </c>
    </row>
    <row r="172" spans="1:11" ht="16.5" x14ac:dyDescent="0.2">
      <c r="A172" s="4" t="s">
        <v>331</v>
      </c>
      <c r="B172">
        <v>2009</v>
      </c>
      <c r="C172" s="14">
        <v>5054.666666666667</v>
      </c>
      <c r="D172" s="14">
        <v>1596.6666666666665</v>
      </c>
      <c r="E172" s="14">
        <v>3347.333333333333</v>
      </c>
      <c r="F172" s="14">
        <v>1429.3333333333333</v>
      </c>
      <c r="G172" s="14">
        <v>1260</v>
      </c>
      <c r="H172" s="14">
        <v>289.33333333333331</v>
      </c>
      <c r="I172" s="14">
        <v>580.66666666666663</v>
      </c>
      <c r="K172" s="15"/>
    </row>
    <row r="173" spans="1:11" ht="16.5" x14ac:dyDescent="0.2">
      <c r="A173" s="4" t="s">
        <v>331</v>
      </c>
      <c r="B173">
        <v>2010</v>
      </c>
      <c r="C173" s="14">
        <v>5044</v>
      </c>
      <c r="D173" s="14">
        <v>1589.3333333333333</v>
      </c>
      <c r="E173" s="14">
        <v>3344</v>
      </c>
      <c r="F173" s="14">
        <v>1427.3333333333333</v>
      </c>
      <c r="G173" s="14">
        <v>1265.9999999999998</v>
      </c>
      <c r="H173" s="14">
        <v>290</v>
      </c>
      <c r="I173" s="14">
        <v>591.99999999999989</v>
      </c>
    </row>
    <row r="174" spans="1:11" ht="16.5" x14ac:dyDescent="0.2">
      <c r="A174" s="4" t="s">
        <v>331</v>
      </c>
      <c r="B174">
        <v>2011</v>
      </c>
      <c r="C174" s="14">
        <v>5043.333333333333</v>
      </c>
      <c r="D174" s="14">
        <v>1587.3333333333333</v>
      </c>
      <c r="E174" s="14">
        <v>3343.333333333333</v>
      </c>
      <c r="F174" s="14">
        <v>1426</v>
      </c>
      <c r="G174" s="14">
        <v>1272.6666666666665</v>
      </c>
      <c r="H174" s="14">
        <v>291.99999999999994</v>
      </c>
      <c r="I174" s="14">
        <v>587.33333333333326</v>
      </c>
      <c r="K174" s="15"/>
    </row>
    <row r="175" spans="1:11" ht="16.5" x14ac:dyDescent="0.2">
      <c r="A175" s="4" t="s">
        <v>331</v>
      </c>
      <c r="B175">
        <v>2012</v>
      </c>
      <c r="C175" s="14">
        <v>5048</v>
      </c>
      <c r="D175" s="14">
        <v>1581.333333333333</v>
      </c>
      <c r="E175" s="14">
        <v>3341.333333333333</v>
      </c>
      <c r="F175" s="14">
        <v>1416</v>
      </c>
      <c r="G175" s="14">
        <v>1279.3333333333333</v>
      </c>
      <c r="H175" s="14">
        <v>300.66666666666663</v>
      </c>
      <c r="I175" s="14">
        <v>584.66666666666663</v>
      </c>
    </row>
    <row r="176" spans="1:11" ht="16.5" x14ac:dyDescent="0.2">
      <c r="A176" s="4" t="s">
        <v>331</v>
      </c>
      <c r="B176">
        <v>2013</v>
      </c>
      <c r="C176" s="14">
        <v>5045.333333333333</v>
      </c>
      <c r="D176" s="14">
        <v>1576</v>
      </c>
      <c r="E176" s="14">
        <v>3339.9999999999995</v>
      </c>
      <c r="F176" s="14">
        <v>1410.6666666666665</v>
      </c>
      <c r="G176" s="14">
        <v>1288.6666666666665</v>
      </c>
      <c r="H176" s="14">
        <v>305.99999999999994</v>
      </c>
      <c r="I176" s="14">
        <v>583.99999999999989</v>
      </c>
      <c r="K176" s="15"/>
    </row>
    <row r="177" spans="1:11" ht="16.5" x14ac:dyDescent="0.2">
      <c r="A177" s="4" t="s">
        <v>331</v>
      </c>
      <c r="B177">
        <v>2014</v>
      </c>
      <c r="C177" s="14">
        <v>5039.333333333333</v>
      </c>
      <c r="D177" s="14">
        <v>1571.333333333333</v>
      </c>
      <c r="E177" s="14">
        <v>3338.6666666666665</v>
      </c>
      <c r="F177" s="14">
        <v>1406</v>
      </c>
      <c r="G177" s="14">
        <v>1303.3333333333333</v>
      </c>
      <c r="H177" s="14">
        <v>308</v>
      </c>
      <c r="I177" s="14">
        <v>581.33333333333326</v>
      </c>
    </row>
    <row r="178" spans="1:11" ht="16.5" x14ac:dyDescent="0.2">
      <c r="A178" s="4" t="s">
        <v>331</v>
      </c>
      <c r="B178">
        <v>2015</v>
      </c>
      <c r="C178" s="14">
        <v>5055.333333333333</v>
      </c>
      <c r="D178" s="14">
        <v>1568.6666666666665</v>
      </c>
      <c r="E178" s="14">
        <v>3337.9999999999995</v>
      </c>
      <c r="F178" s="14">
        <v>1399.3333333333333</v>
      </c>
      <c r="G178" s="14">
        <v>1304.6666666666667</v>
      </c>
      <c r="H178" s="14">
        <v>308.66666666666663</v>
      </c>
      <c r="I178" s="14">
        <v>570.66666666666663</v>
      </c>
      <c r="K178" s="15"/>
    </row>
    <row r="179" spans="1:11" ht="16.5" x14ac:dyDescent="0.2">
      <c r="A179" s="4" t="s">
        <v>331</v>
      </c>
      <c r="B179">
        <v>2016</v>
      </c>
      <c r="C179" s="14">
        <v>5051.333333333333</v>
      </c>
      <c r="D179" s="14">
        <v>1567.3333333333333</v>
      </c>
      <c r="E179" s="14">
        <v>3336.6666666666665</v>
      </c>
      <c r="F179" s="14">
        <v>1397.9999999999998</v>
      </c>
      <c r="G179" s="14">
        <v>1308</v>
      </c>
      <c r="H179" s="14">
        <v>309.33333333333331</v>
      </c>
      <c r="I179" s="14">
        <v>569.33333333333337</v>
      </c>
    </row>
    <row r="180" spans="1:11" ht="16.5" x14ac:dyDescent="0.2">
      <c r="A180" s="4" t="s">
        <v>330</v>
      </c>
      <c r="B180">
        <v>2009</v>
      </c>
      <c r="C180" s="14">
        <v>6331.333333333333</v>
      </c>
      <c r="D180" s="14">
        <v>359.33333333333331</v>
      </c>
      <c r="E180" s="14">
        <v>6254</v>
      </c>
      <c r="F180" s="14">
        <v>9667.3333333333321</v>
      </c>
      <c r="G180" s="14">
        <v>769.33333333333326</v>
      </c>
      <c r="H180" s="14">
        <v>287.33333333333331</v>
      </c>
      <c r="I180" s="14">
        <v>443.99999999999994</v>
      </c>
      <c r="K180" s="15"/>
    </row>
    <row r="181" spans="1:11" ht="16.5" x14ac:dyDescent="0.2">
      <c r="A181" s="4" t="s">
        <v>330</v>
      </c>
      <c r="B181">
        <v>2010</v>
      </c>
      <c r="C181" s="14">
        <v>6328.6666666666661</v>
      </c>
      <c r="D181" s="14">
        <v>358.66666666666663</v>
      </c>
      <c r="E181" s="14">
        <v>6253.333333333333</v>
      </c>
      <c r="F181" s="14">
        <v>9662.6666666666661</v>
      </c>
      <c r="G181" s="14">
        <v>776</v>
      </c>
      <c r="H181" s="14">
        <v>289.33333333333331</v>
      </c>
      <c r="I181" s="14">
        <v>441.99999999999994</v>
      </c>
    </row>
    <row r="182" spans="1:11" ht="16.5" x14ac:dyDescent="0.2">
      <c r="A182" s="4" t="s">
        <v>330</v>
      </c>
      <c r="B182">
        <v>2011</v>
      </c>
      <c r="C182" s="14">
        <v>6329.9999999999991</v>
      </c>
      <c r="D182" s="14">
        <v>358.66666666666663</v>
      </c>
      <c r="E182" s="14">
        <v>6251.9999999999991</v>
      </c>
      <c r="F182" s="14">
        <v>9655.3333333333321</v>
      </c>
      <c r="G182" s="14">
        <v>780.66666666666663</v>
      </c>
      <c r="H182" s="14">
        <v>291.99999999999994</v>
      </c>
      <c r="I182" s="14">
        <v>440.66666666666657</v>
      </c>
      <c r="K182" s="15"/>
    </row>
    <row r="183" spans="1:11" ht="16.5" x14ac:dyDescent="0.2">
      <c r="A183" s="4" t="s">
        <v>330</v>
      </c>
      <c r="B183">
        <v>2012</v>
      </c>
      <c r="C183" s="14">
        <v>6332.6666666666661</v>
      </c>
      <c r="D183" s="14">
        <v>358</v>
      </c>
      <c r="E183" s="14">
        <v>6249.9999999999991</v>
      </c>
      <c r="F183" s="14">
        <v>9641.9999999999982</v>
      </c>
      <c r="G183" s="14">
        <v>786.66666666666663</v>
      </c>
      <c r="H183" s="14">
        <v>301.99999999999994</v>
      </c>
      <c r="I183" s="14">
        <v>438.66666666666663</v>
      </c>
    </row>
    <row r="184" spans="1:11" ht="16.5" x14ac:dyDescent="0.2">
      <c r="A184" s="4" t="s">
        <v>330</v>
      </c>
      <c r="B184">
        <v>2013</v>
      </c>
      <c r="C184" s="14">
        <v>6331.9999999999991</v>
      </c>
      <c r="D184" s="14">
        <v>357.33333333333331</v>
      </c>
      <c r="E184" s="14">
        <v>6246.6666666666661</v>
      </c>
      <c r="F184" s="14">
        <v>9626</v>
      </c>
      <c r="G184" s="14">
        <v>797.33333333333337</v>
      </c>
      <c r="H184" s="14">
        <v>315.99999999999994</v>
      </c>
      <c r="I184" s="14">
        <v>434.66666666666663</v>
      </c>
      <c r="K184" s="15"/>
    </row>
    <row r="185" spans="1:11" ht="16.5" x14ac:dyDescent="0.2">
      <c r="A185" s="4" t="s">
        <v>330</v>
      </c>
      <c r="B185">
        <v>2014</v>
      </c>
      <c r="C185" s="14">
        <v>6331.333333333333</v>
      </c>
      <c r="D185" s="14">
        <v>356.66666666666663</v>
      </c>
      <c r="E185" s="14">
        <v>6245.3333333333321</v>
      </c>
      <c r="F185" s="14">
        <v>9614.6666666666661</v>
      </c>
      <c r="G185" s="14">
        <v>808</v>
      </c>
      <c r="H185" s="14">
        <v>320.66666666666663</v>
      </c>
      <c r="I185" s="14">
        <v>431.99999999999994</v>
      </c>
    </row>
    <row r="186" spans="1:11" ht="16.5" x14ac:dyDescent="0.2">
      <c r="A186" s="4" t="s">
        <v>330</v>
      </c>
      <c r="B186">
        <v>2015</v>
      </c>
      <c r="C186" s="14">
        <v>6334.6666666666661</v>
      </c>
      <c r="D186" s="14">
        <v>355.33333333333326</v>
      </c>
      <c r="E186" s="14">
        <v>6244</v>
      </c>
      <c r="F186" s="14">
        <v>9602.6666666666661</v>
      </c>
      <c r="G186" s="14">
        <v>817.99999999999989</v>
      </c>
      <c r="H186" s="14">
        <v>324.66666666666663</v>
      </c>
      <c r="I186" s="14">
        <v>426.66666666666663</v>
      </c>
      <c r="K186" s="15"/>
    </row>
    <row r="187" spans="1:11" ht="16.5" x14ac:dyDescent="0.2">
      <c r="A187" s="4" t="s">
        <v>330</v>
      </c>
      <c r="B187">
        <v>2016</v>
      </c>
      <c r="C187" s="14">
        <v>6335.3333333333321</v>
      </c>
      <c r="D187" s="14">
        <v>355.33333333333326</v>
      </c>
      <c r="E187" s="14">
        <v>6241.9999999999991</v>
      </c>
      <c r="F187" s="14">
        <v>9597.3333333333321</v>
      </c>
      <c r="G187" s="14">
        <v>823.33333333333314</v>
      </c>
      <c r="H187" s="14">
        <v>328.66666666666663</v>
      </c>
      <c r="I187" s="14">
        <v>424</v>
      </c>
    </row>
    <row r="188" spans="1:11" ht="16.5" x14ac:dyDescent="0.2">
      <c r="A188" s="4" t="s">
        <v>329</v>
      </c>
      <c r="B188">
        <v>2009</v>
      </c>
      <c r="C188" s="14">
        <v>5074.666666666667</v>
      </c>
      <c r="D188" s="14">
        <v>408.66666666666663</v>
      </c>
      <c r="E188" s="14">
        <v>7520.6666666666652</v>
      </c>
      <c r="F188" s="14">
        <v>4886.6666666666661</v>
      </c>
      <c r="G188" s="14">
        <v>1078.6666666666667</v>
      </c>
      <c r="H188" s="14">
        <v>320</v>
      </c>
      <c r="I188" s="14">
        <v>221.99999999999997</v>
      </c>
      <c r="K188" s="15"/>
    </row>
    <row r="189" spans="1:11" ht="16.5" x14ac:dyDescent="0.2">
      <c r="A189" s="4" t="s">
        <v>329</v>
      </c>
      <c r="B189">
        <v>2010</v>
      </c>
      <c r="C189" s="14">
        <v>5071.9999999999991</v>
      </c>
      <c r="D189" s="14">
        <v>406.66666666666663</v>
      </c>
      <c r="E189" s="14">
        <v>7516</v>
      </c>
      <c r="F189" s="14">
        <v>4883.333333333333</v>
      </c>
      <c r="G189" s="14">
        <v>1085.3333333333333</v>
      </c>
      <c r="H189" s="14">
        <v>325.99999999999994</v>
      </c>
      <c r="I189" s="14">
        <v>223.33333333333331</v>
      </c>
    </row>
    <row r="190" spans="1:11" ht="16.5" x14ac:dyDescent="0.2">
      <c r="A190" s="4" t="s">
        <v>329</v>
      </c>
      <c r="B190">
        <v>2011</v>
      </c>
      <c r="C190" s="14">
        <v>5074.666666666667</v>
      </c>
      <c r="D190" s="14">
        <v>405.99999999999994</v>
      </c>
      <c r="E190" s="14">
        <v>7509.9999999999991</v>
      </c>
      <c r="F190" s="14">
        <v>4877.333333333333</v>
      </c>
      <c r="G190" s="14">
        <v>1087.9999999999998</v>
      </c>
      <c r="H190" s="14">
        <v>331.99999999999994</v>
      </c>
      <c r="I190" s="14">
        <v>222.66666666666663</v>
      </c>
      <c r="K190" s="15"/>
    </row>
    <row r="191" spans="1:11" ht="16.5" x14ac:dyDescent="0.2">
      <c r="A191" s="4" t="s">
        <v>329</v>
      </c>
      <c r="B191">
        <v>2012</v>
      </c>
      <c r="C191" s="14">
        <v>5075.333333333333</v>
      </c>
      <c r="D191" s="14">
        <v>405.33333333333326</v>
      </c>
      <c r="E191" s="14">
        <v>7508.6666666666661</v>
      </c>
      <c r="F191" s="14">
        <v>4868.6666666666661</v>
      </c>
      <c r="G191" s="14">
        <v>1096.6666666666665</v>
      </c>
      <c r="H191" s="14">
        <v>332.66666666666663</v>
      </c>
      <c r="I191" s="14">
        <v>222.66666666666663</v>
      </c>
    </row>
    <row r="192" spans="1:11" ht="16.5" x14ac:dyDescent="0.2">
      <c r="A192" s="4" t="s">
        <v>329</v>
      </c>
      <c r="B192">
        <v>2013</v>
      </c>
      <c r="C192" s="14">
        <v>5065.333333333333</v>
      </c>
      <c r="D192" s="14">
        <v>403.33333333333331</v>
      </c>
      <c r="E192" s="14">
        <v>7504.6666666666661</v>
      </c>
      <c r="F192" s="14">
        <v>4862.6666666666661</v>
      </c>
      <c r="G192" s="14">
        <v>1104.6666666666665</v>
      </c>
      <c r="H192" s="14">
        <v>346.66666666666663</v>
      </c>
      <c r="I192" s="14">
        <v>221.99999999999997</v>
      </c>
      <c r="K192" s="15"/>
    </row>
    <row r="193" spans="1:11" ht="16.5" x14ac:dyDescent="0.2">
      <c r="A193" s="4" t="s">
        <v>329</v>
      </c>
      <c r="B193">
        <v>2014</v>
      </c>
      <c r="C193" s="14">
        <v>5055.333333333333</v>
      </c>
      <c r="D193" s="14">
        <v>401.99999999999994</v>
      </c>
      <c r="E193" s="14">
        <v>7501.9999999999991</v>
      </c>
      <c r="F193" s="14">
        <v>4853.333333333333</v>
      </c>
      <c r="G193" s="14">
        <v>1116</v>
      </c>
      <c r="H193" s="14">
        <v>355.99999999999994</v>
      </c>
      <c r="I193" s="14">
        <v>221.33333333333334</v>
      </c>
    </row>
    <row r="194" spans="1:11" ht="16.5" x14ac:dyDescent="0.2">
      <c r="A194" s="4" t="s">
        <v>329</v>
      </c>
      <c r="B194">
        <v>2015</v>
      </c>
      <c r="C194" s="14">
        <v>5058.6666666666661</v>
      </c>
      <c r="D194" s="14">
        <v>401.33333333333331</v>
      </c>
      <c r="E194" s="14">
        <v>7501.333333333333</v>
      </c>
      <c r="F194" s="14">
        <v>4845.333333333333</v>
      </c>
      <c r="G194" s="14">
        <v>1121.3333333333333</v>
      </c>
      <c r="H194" s="14">
        <v>357.33333333333331</v>
      </c>
      <c r="I194" s="14">
        <v>220.66666666666666</v>
      </c>
      <c r="K194" s="15"/>
    </row>
    <row r="195" spans="1:11" ht="16.5" x14ac:dyDescent="0.2">
      <c r="A195" s="4" t="s">
        <v>329</v>
      </c>
      <c r="B195">
        <v>2016</v>
      </c>
      <c r="C195" s="14">
        <v>5061.9999999999991</v>
      </c>
      <c r="D195" s="14">
        <v>400.66666666666663</v>
      </c>
      <c r="E195" s="14">
        <v>7499.9999999999991</v>
      </c>
      <c r="F195" s="14">
        <v>4838</v>
      </c>
      <c r="G195" s="14">
        <v>1123.9999999999998</v>
      </c>
      <c r="H195" s="14">
        <v>359.33333333333331</v>
      </c>
      <c r="I195" s="14">
        <v>220.66666666666666</v>
      </c>
    </row>
    <row r="196" spans="1:11" ht="16.5" x14ac:dyDescent="0.2">
      <c r="A196" s="4" t="s">
        <v>328</v>
      </c>
      <c r="B196">
        <v>2009</v>
      </c>
      <c r="C196" s="14">
        <v>5152.6666666666661</v>
      </c>
      <c r="D196" s="14">
        <v>827.33333333333326</v>
      </c>
      <c r="E196" s="14">
        <v>7708.6666666666661</v>
      </c>
      <c r="F196" s="14">
        <v>4854.666666666667</v>
      </c>
      <c r="G196" s="14">
        <v>894.00000000000011</v>
      </c>
      <c r="H196" s="14">
        <v>235.33333333333329</v>
      </c>
      <c r="I196" s="14">
        <v>291.99999999999994</v>
      </c>
      <c r="K196" s="15"/>
    </row>
    <row r="197" spans="1:11" ht="16.5" x14ac:dyDescent="0.2">
      <c r="A197" s="4" t="s">
        <v>328</v>
      </c>
      <c r="B197">
        <v>2010</v>
      </c>
      <c r="C197" s="14">
        <v>5149.9999999999991</v>
      </c>
      <c r="D197" s="14">
        <v>826</v>
      </c>
      <c r="E197" s="14">
        <v>7707.3333333333321</v>
      </c>
      <c r="F197" s="14">
        <v>4851.9999999999991</v>
      </c>
      <c r="G197" s="14">
        <v>900.66666666666674</v>
      </c>
      <c r="H197" s="14">
        <v>235.99999999999997</v>
      </c>
      <c r="I197" s="14">
        <v>291.99999999999994</v>
      </c>
    </row>
    <row r="198" spans="1:11" ht="16.5" x14ac:dyDescent="0.2">
      <c r="A198" s="4" t="s">
        <v>328</v>
      </c>
      <c r="B198">
        <v>2011</v>
      </c>
      <c r="C198" s="14">
        <v>5149.333333333333</v>
      </c>
      <c r="D198" s="14">
        <v>824.66666666666663</v>
      </c>
      <c r="E198" s="14">
        <v>7703.9999999999991</v>
      </c>
      <c r="F198" s="14">
        <v>4844.666666666667</v>
      </c>
      <c r="G198" s="14">
        <v>911.33333333333314</v>
      </c>
      <c r="H198" s="14">
        <v>238</v>
      </c>
      <c r="I198" s="14">
        <v>290</v>
      </c>
      <c r="K198" s="15"/>
    </row>
    <row r="199" spans="1:11" ht="16.5" x14ac:dyDescent="0.2">
      <c r="A199" s="4" t="s">
        <v>328</v>
      </c>
      <c r="B199">
        <v>2012</v>
      </c>
      <c r="C199" s="14">
        <v>5148.6666666666661</v>
      </c>
      <c r="D199" s="14">
        <v>822.66666666666663</v>
      </c>
      <c r="E199" s="14">
        <v>7701.333333333333</v>
      </c>
      <c r="F199" s="14">
        <v>4834.666666666667</v>
      </c>
      <c r="G199" s="14">
        <v>923.33333333333326</v>
      </c>
      <c r="H199" s="14">
        <v>240.66666666666666</v>
      </c>
      <c r="I199" s="14">
        <v>288.66666666666663</v>
      </c>
    </row>
    <row r="200" spans="1:11" ht="16.5" x14ac:dyDescent="0.2">
      <c r="A200" s="4" t="s">
        <v>328</v>
      </c>
      <c r="B200">
        <v>2013</v>
      </c>
      <c r="C200" s="14">
        <v>5146.6666666666661</v>
      </c>
      <c r="D200" s="14">
        <v>819.33333333333326</v>
      </c>
      <c r="E200" s="14">
        <v>7698</v>
      </c>
      <c r="F200" s="14">
        <v>4819.333333333333</v>
      </c>
      <c r="G200" s="14">
        <v>935.99999999999977</v>
      </c>
      <c r="H200" s="14">
        <v>255.33333333333329</v>
      </c>
      <c r="I200" s="14">
        <v>284.66666666666669</v>
      </c>
      <c r="K200" s="15"/>
    </row>
    <row r="201" spans="1:11" ht="16.5" x14ac:dyDescent="0.2">
      <c r="A201" s="4" t="s">
        <v>328</v>
      </c>
      <c r="B201">
        <v>2014</v>
      </c>
      <c r="C201" s="14">
        <v>5139.9999999999991</v>
      </c>
      <c r="D201" s="14">
        <v>813.33333333333326</v>
      </c>
      <c r="E201" s="14">
        <v>7693.9999999999991</v>
      </c>
      <c r="F201" s="14">
        <v>4810</v>
      </c>
      <c r="G201" s="14">
        <v>952.66666666666663</v>
      </c>
      <c r="H201" s="14">
        <v>266.66666666666663</v>
      </c>
      <c r="I201" s="14">
        <v>283.33333333333331</v>
      </c>
    </row>
    <row r="202" spans="1:11" ht="16.5" x14ac:dyDescent="0.2">
      <c r="A202" s="4" t="s">
        <v>328</v>
      </c>
      <c r="B202">
        <v>2015</v>
      </c>
      <c r="C202" s="14">
        <v>5135.9999999999991</v>
      </c>
      <c r="D202" s="14">
        <v>813.33333333333326</v>
      </c>
      <c r="E202" s="14">
        <v>7691.333333333333</v>
      </c>
      <c r="F202" s="14">
        <v>4805.9999999999991</v>
      </c>
      <c r="G202" s="14">
        <v>957.99999999999989</v>
      </c>
      <c r="H202" s="14">
        <v>271.33333333333331</v>
      </c>
      <c r="I202" s="14">
        <v>283.33333333333331</v>
      </c>
      <c r="K202" s="15"/>
    </row>
    <row r="203" spans="1:11" ht="16.5" x14ac:dyDescent="0.2">
      <c r="A203" s="4" t="s">
        <v>328</v>
      </c>
      <c r="B203">
        <v>2016</v>
      </c>
      <c r="C203" s="14">
        <v>5133.333333333333</v>
      </c>
      <c r="D203" s="14">
        <v>812.66666666666663</v>
      </c>
      <c r="E203" s="14">
        <v>7690.6666666666652</v>
      </c>
      <c r="F203" s="14">
        <v>4804</v>
      </c>
      <c r="G203" s="14">
        <v>961.33333333333314</v>
      </c>
      <c r="H203" s="14">
        <v>272.66666666666663</v>
      </c>
      <c r="I203" s="14">
        <v>282.66666666666663</v>
      </c>
    </row>
    <row r="204" spans="1:11" ht="16.5" x14ac:dyDescent="0.2">
      <c r="A204" s="4" t="s">
        <v>327</v>
      </c>
      <c r="B204">
        <v>2009</v>
      </c>
      <c r="C204" s="14">
        <v>5653.333333333333</v>
      </c>
      <c r="D204" s="14">
        <v>38</v>
      </c>
      <c r="E204" s="14">
        <v>3697.333333333333</v>
      </c>
      <c r="F204" s="14">
        <v>5951.333333333333</v>
      </c>
      <c r="G204" s="14">
        <v>813.33333333333326</v>
      </c>
      <c r="H204" s="14">
        <v>212</v>
      </c>
      <c r="I204" s="14">
        <v>525.33333333333326</v>
      </c>
      <c r="K204" s="15"/>
    </row>
    <row r="205" spans="1:11" ht="16.5" x14ac:dyDescent="0.2">
      <c r="A205" s="4" t="s">
        <v>327</v>
      </c>
      <c r="B205">
        <v>2010</v>
      </c>
      <c r="C205" s="14">
        <v>5651.333333333333</v>
      </c>
      <c r="D205" s="14">
        <v>38</v>
      </c>
      <c r="E205" s="14">
        <v>3691.3333333333335</v>
      </c>
      <c r="F205" s="14">
        <v>5939.333333333333</v>
      </c>
      <c r="G205" s="14">
        <v>823.99999999999989</v>
      </c>
      <c r="H205" s="14">
        <v>214</v>
      </c>
      <c r="I205" s="14">
        <v>523.33333333333326</v>
      </c>
    </row>
    <row r="206" spans="1:11" ht="16.5" x14ac:dyDescent="0.2">
      <c r="A206" s="4" t="s">
        <v>327</v>
      </c>
      <c r="B206">
        <v>2011</v>
      </c>
      <c r="C206" s="14">
        <v>5645.9999999999991</v>
      </c>
      <c r="D206" s="14">
        <v>37.333333333333329</v>
      </c>
      <c r="E206" s="14">
        <v>3683.333333333333</v>
      </c>
      <c r="F206" s="14">
        <v>5930.6666666666661</v>
      </c>
      <c r="G206" s="14">
        <v>831.99999999999989</v>
      </c>
      <c r="H206" s="14">
        <v>222.66666666666663</v>
      </c>
      <c r="I206" s="14">
        <v>521.99999999999989</v>
      </c>
      <c r="K206" s="15"/>
    </row>
    <row r="207" spans="1:11" ht="16.5" x14ac:dyDescent="0.2">
      <c r="A207" s="4" t="s">
        <v>327</v>
      </c>
      <c r="B207">
        <v>2012</v>
      </c>
      <c r="C207" s="14">
        <v>5615.3333333333321</v>
      </c>
      <c r="D207" s="14">
        <v>49.333333333333329</v>
      </c>
      <c r="E207" s="14">
        <v>3674.6666666666665</v>
      </c>
      <c r="F207" s="14">
        <v>5926.6666666666661</v>
      </c>
      <c r="G207" s="14">
        <v>846.66666666666674</v>
      </c>
      <c r="H207" s="14">
        <v>233.33333333333331</v>
      </c>
      <c r="I207" s="14">
        <v>520.66666666666663</v>
      </c>
    </row>
    <row r="208" spans="1:11" ht="16.5" x14ac:dyDescent="0.2">
      <c r="A208" s="4" t="s">
        <v>327</v>
      </c>
      <c r="B208">
        <v>2013</v>
      </c>
      <c r="C208" s="14">
        <v>5600.6666666666661</v>
      </c>
      <c r="D208" s="14">
        <v>48.666666666666664</v>
      </c>
      <c r="E208" s="14">
        <v>3668</v>
      </c>
      <c r="F208" s="14">
        <v>5920.6666666666661</v>
      </c>
      <c r="G208" s="14">
        <v>865.33333333333337</v>
      </c>
      <c r="H208" s="14">
        <v>238</v>
      </c>
      <c r="I208" s="14">
        <v>520</v>
      </c>
      <c r="K208" s="15"/>
    </row>
    <row r="209" spans="1:11" ht="16.5" x14ac:dyDescent="0.2">
      <c r="A209" s="4" t="s">
        <v>327</v>
      </c>
      <c r="B209">
        <v>2014</v>
      </c>
      <c r="C209" s="14">
        <v>5605.3333333333321</v>
      </c>
      <c r="D209" s="14">
        <v>48</v>
      </c>
      <c r="E209" s="14">
        <v>3664</v>
      </c>
      <c r="F209" s="14">
        <v>5897.333333333333</v>
      </c>
      <c r="G209" s="14">
        <v>882.66666666666663</v>
      </c>
      <c r="H209" s="14">
        <v>245.33333333333329</v>
      </c>
      <c r="I209" s="14">
        <v>519.33333333333337</v>
      </c>
    </row>
    <row r="210" spans="1:11" ht="16.5" x14ac:dyDescent="0.2">
      <c r="A210" s="4" t="s">
        <v>327</v>
      </c>
      <c r="B210">
        <v>2015</v>
      </c>
      <c r="C210" s="14">
        <v>5601.9999999999991</v>
      </c>
      <c r="D210" s="14">
        <v>48</v>
      </c>
      <c r="E210" s="14">
        <v>3660.6666666666665</v>
      </c>
      <c r="F210" s="14">
        <v>5885.3333333333321</v>
      </c>
      <c r="G210" s="14">
        <v>896</v>
      </c>
      <c r="H210" s="14">
        <v>248.66666666666663</v>
      </c>
      <c r="I210" s="14">
        <v>521.33333333333326</v>
      </c>
      <c r="K210" s="15"/>
    </row>
    <row r="211" spans="1:11" ht="16.5" x14ac:dyDescent="0.2">
      <c r="A211" s="4" t="s">
        <v>327</v>
      </c>
      <c r="B211">
        <v>2016</v>
      </c>
      <c r="C211" s="14">
        <v>5595.9999999999991</v>
      </c>
      <c r="D211" s="14">
        <v>48</v>
      </c>
      <c r="E211" s="14">
        <v>3655.9999999999995</v>
      </c>
      <c r="F211" s="14">
        <v>5874.6666666666661</v>
      </c>
      <c r="G211" s="14">
        <v>912.66666666666663</v>
      </c>
      <c r="H211" s="14">
        <v>252.66666666666663</v>
      </c>
      <c r="I211" s="14">
        <v>521.33333333333326</v>
      </c>
    </row>
    <row r="212" spans="1:11" ht="16.5" x14ac:dyDescent="0.2">
      <c r="A212" s="4" t="s">
        <v>326</v>
      </c>
      <c r="B212">
        <v>2009</v>
      </c>
      <c r="C212" s="14">
        <v>4277.333333333333</v>
      </c>
      <c r="D212" s="14">
        <v>21.333333333333332</v>
      </c>
      <c r="E212" s="14">
        <v>1230</v>
      </c>
      <c r="F212" s="14">
        <v>20076.666666666664</v>
      </c>
      <c r="G212" s="14">
        <v>782</v>
      </c>
      <c r="H212" s="14">
        <v>195.33333333333331</v>
      </c>
      <c r="I212" s="14">
        <v>758</v>
      </c>
      <c r="K212" s="15"/>
    </row>
    <row r="213" spans="1:11" ht="16.5" x14ac:dyDescent="0.2">
      <c r="A213" s="4" t="s">
        <v>326</v>
      </c>
      <c r="B213">
        <v>2010</v>
      </c>
      <c r="C213" s="14">
        <v>4268.6666666666661</v>
      </c>
      <c r="D213" s="14">
        <v>21.999999999999996</v>
      </c>
      <c r="E213" s="14">
        <v>1227.3333333333333</v>
      </c>
      <c r="F213" s="14">
        <v>20063.333333333332</v>
      </c>
      <c r="G213" s="14">
        <v>796.66666666666663</v>
      </c>
      <c r="H213" s="14">
        <v>203.33333333333331</v>
      </c>
      <c r="I213" s="14">
        <v>757.33333333333326</v>
      </c>
    </row>
    <row r="214" spans="1:11" ht="16.5" x14ac:dyDescent="0.2">
      <c r="A214" s="4" t="s">
        <v>326</v>
      </c>
      <c r="B214">
        <v>2011</v>
      </c>
      <c r="C214" s="14">
        <v>4260.6666666666661</v>
      </c>
      <c r="D214" s="14">
        <v>21.999999999999996</v>
      </c>
      <c r="E214" s="14">
        <v>1226.6666666666665</v>
      </c>
      <c r="F214" s="14">
        <v>20057.333333333332</v>
      </c>
      <c r="G214" s="14">
        <v>809.99999999999989</v>
      </c>
      <c r="H214" s="14">
        <v>204.66666666666666</v>
      </c>
      <c r="I214" s="14">
        <v>756.66666666666663</v>
      </c>
      <c r="K214" s="15"/>
    </row>
    <row r="215" spans="1:11" ht="16.5" x14ac:dyDescent="0.2">
      <c r="A215" s="4" t="s">
        <v>326</v>
      </c>
      <c r="B215">
        <v>2012</v>
      </c>
      <c r="C215" s="14">
        <v>4254.666666666667</v>
      </c>
      <c r="D215" s="14">
        <v>21.999999999999996</v>
      </c>
      <c r="E215" s="14">
        <v>1226</v>
      </c>
      <c r="F215" s="14">
        <v>20045.333333333332</v>
      </c>
      <c r="G215" s="14">
        <v>823.99999999999989</v>
      </c>
      <c r="H215" s="14">
        <v>207.33333333333331</v>
      </c>
      <c r="I215" s="14">
        <v>757.33333333333326</v>
      </c>
    </row>
    <row r="216" spans="1:11" ht="16.5" x14ac:dyDescent="0.2">
      <c r="A216" s="4" t="s">
        <v>326</v>
      </c>
      <c r="B216">
        <v>2013</v>
      </c>
      <c r="C216" s="14">
        <v>4258.6666666666661</v>
      </c>
      <c r="D216" s="14">
        <v>21.333333333333332</v>
      </c>
      <c r="E216" s="14">
        <v>1225.3333333333333</v>
      </c>
      <c r="F216" s="14">
        <v>20032.666666666664</v>
      </c>
      <c r="G216" s="14">
        <v>835.33333333333326</v>
      </c>
      <c r="H216" s="14">
        <v>208.66666666666666</v>
      </c>
      <c r="I216" s="14">
        <v>756</v>
      </c>
      <c r="K216" s="15"/>
    </row>
    <row r="217" spans="1:11" ht="16.5" x14ac:dyDescent="0.2">
      <c r="A217" s="4" t="s">
        <v>326</v>
      </c>
      <c r="B217">
        <v>2014</v>
      </c>
      <c r="C217" s="14">
        <v>4257.333333333333</v>
      </c>
      <c r="D217" s="14">
        <v>21.333333333333332</v>
      </c>
      <c r="E217" s="14">
        <v>1223.9999999999998</v>
      </c>
      <c r="F217" s="14">
        <v>20023.333333333332</v>
      </c>
      <c r="G217" s="14">
        <v>846.66666666666674</v>
      </c>
      <c r="H217" s="14">
        <v>210.66666666666666</v>
      </c>
      <c r="I217" s="14">
        <v>756</v>
      </c>
    </row>
    <row r="218" spans="1:11" ht="16.5" x14ac:dyDescent="0.2">
      <c r="A218" s="4" t="s">
        <v>326</v>
      </c>
      <c r="B218">
        <v>2015</v>
      </c>
      <c r="C218" s="14">
        <v>4250.6666666666661</v>
      </c>
      <c r="D218" s="14">
        <v>21.333333333333332</v>
      </c>
      <c r="E218" s="14">
        <v>1223.3333333333333</v>
      </c>
      <c r="F218" s="14">
        <v>20016</v>
      </c>
      <c r="G218" s="14">
        <v>859.99999999999989</v>
      </c>
      <c r="H218" s="14">
        <v>211.33333333333331</v>
      </c>
      <c r="I218" s="14">
        <v>755.33333333333326</v>
      </c>
      <c r="K218" s="15"/>
    </row>
    <row r="219" spans="1:11" ht="16.5" x14ac:dyDescent="0.2">
      <c r="A219" s="4" t="s">
        <v>326</v>
      </c>
      <c r="B219">
        <v>2016</v>
      </c>
      <c r="C219" s="14">
        <v>4244</v>
      </c>
      <c r="D219" s="14">
        <v>21.333333333333332</v>
      </c>
      <c r="E219" s="14">
        <v>1222.6666666666665</v>
      </c>
      <c r="F219" s="14">
        <v>19999.333333333332</v>
      </c>
      <c r="G219" s="14">
        <v>880.66666666666652</v>
      </c>
      <c r="H219" s="14">
        <v>215.99999999999997</v>
      </c>
      <c r="I219" s="14">
        <v>753.99999999999989</v>
      </c>
    </row>
    <row r="220" spans="1:11" ht="16.5" x14ac:dyDescent="0.2">
      <c r="A220" s="4" t="s">
        <v>325</v>
      </c>
      <c r="B220">
        <v>2009</v>
      </c>
      <c r="C220" s="14">
        <v>87.999999999999986</v>
      </c>
      <c r="D220" s="14">
        <v>11.333333333333332</v>
      </c>
      <c r="E220" s="14">
        <v>67.333333333333329</v>
      </c>
      <c r="F220" s="14">
        <v>966</v>
      </c>
      <c r="G220" s="14">
        <v>215.33333333333329</v>
      </c>
      <c r="H220" s="14">
        <v>28</v>
      </c>
      <c r="I220" s="14">
        <v>136.66666666666666</v>
      </c>
      <c r="K220" s="15"/>
    </row>
    <row r="221" spans="1:11" ht="16.5" x14ac:dyDescent="0.2">
      <c r="A221" s="4" t="s">
        <v>325</v>
      </c>
      <c r="B221">
        <v>2010</v>
      </c>
      <c r="C221" s="14">
        <v>86.666666666666657</v>
      </c>
      <c r="D221" s="14">
        <v>10.666666666666666</v>
      </c>
      <c r="E221" s="14">
        <v>66.666666666666657</v>
      </c>
      <c r="F221" s="14">
        <v>956.66666666666663</v>
      </c>
      <c r="G221" s="14">
        <v>222</v>
      </c>
      <c r="H221" s="14">
        <v>29.999999999999996</v>
      </c>
      <c r="I221" s="14">
        <v>138.66666666666666</v>
      </c>
    </row>
    <row r="222" spans="1:11" ht="16.5" x14ac:dyDescent="0.2">
      <c r="A222" s="4" t="s">
        <v>325</v>
      </c>
      <c r="B222">
        <v>2011</v>
      </c>
      <c r="C222" s="14">
        <v>86.666666666666657</v>
      </c>
      <c r="D222" s="14">
        <v>10.666666666666666</v>
      </c>
      <c r="E222" s="14">
        <v>65.333333333333329</v>
      </c>
      <c r="F222" s="14">
        <v>952.66666666666663</v>
      </c>
      <c r="G222" s="14">
        <v>227.33333333333331</v>
      </c>
      <c r="H222" s="14">
        <v>31.333333333333332</v>
      </c>
      <c r="I222" s="14">
        <v>138.66666666666666</v>
      </c>
      <c r="K222" s="15"/>
    </row>
    <row r="223" spans="1:11" ht="16.5" x14ac:dyDescent="0.2">
      <c r="A223" s="4" t="s">
        <v>325</v>
      </c>
      <c r="B223">
        <v>2012</v>
      </c>
      <c r="C223" s="14">
        <v>86</v>
      </c>
      <c r="D223" s="14">
        <v>10.666666666666666</v>
      </c>
      <c r="E223" s="14">
        <v>64.666666666666657</v>
      </c>
      <c r="F223" s="14">
        <v>944.66666666666652</v>
      </c>
      <c r="G223" s="14">
        <v>234.66666666666666</v>
      </c>
      <c r="H223" s="14">
        <v>33.333333333333329</v>
      </c>
      <c r="I223" s="14">
        <v>137.99999999999997</v>
      </c>
    </row>
    <row r="224" spans="1:11" ht="16.5" x14ac:dyDescent="0.2">
      <c r="A224" s="4" t="s">
        <v>325</v>
      </c>
      <c r="B224">
        <v>2013</v>
      </c>
      <c r="C224" s="14">
        <v>83.333333333333329</v>
      </c>
      <c r="D224" s="14">
        <v>10.666666666666666</v>
      </c>
      <c r="E224" s="14">
        <v>64.666666666666657</v>
      </c>
      <c r="F224" s="14">
        <v>942.66666666666663</v>
      </c>
      <c r="G224" s="14">
        <v>239.99999999999997</v>
      </c>
      <c r="H224" s="14">
        <v>34.666666666666664</v>
      </c>
      <c r="I224" s="14">
        <v>137.33333333333334</v>
      </c>
      <c r="K224" s="15"/>
    </row>
    <row r="225" spans="1:11" ht="16.5" x14ac:dyDescent="0.2">
      <c r="A225" s="4" t="s">
        <v>325</v>
      </c>
      <c r="B225">
        <v>2014</v>
      </c>
      <c r="C225" s="14">
        <v>81.333333333333314</v>
      </c>
      <c r="D225" s="14">
        <v>10.666666666666666</v>
      </c>
      <c r="E225" s="14">
        <v>63.999999999999993</v>
      </c>
      <c r="F225" s="14">
        <v>938.66666666666663</v>
      </c>
      <c r="G225" s="14">
        <v>241.33333333333334</v>
      </c>
      <c r="H225" s="14">
        <v>34.666666666666664</v>
      </c>
      <c r="I225" s="14">
        <v>141.33333333333331</v>
      </c>
    </row>
    <row r="226" spans="1:11" ht="16.5" x14ac:dyDescent="0.2">
      <c r="A226" s="4" t="s">
        <v>325</v>
      </c>
      <c r="B226">
        <v>2015</v>
      </c>
      <c r="C226" s="14">
        <v>70.666666666666657</v>
      </c>
      <c r="D226" s="14">
        <v>10</v>
      </c>
      <c r="E226" s="14">
        <v>63.333333333333329</v>
      </c>
      <c r="F226" s="14">
        <v>927.99999999999989</v>
      </c>
      <c r="G226" s="14">
        <v>241.99999999999997</v>
      </c>
      <c r="H226" s="14">
        <v>36.666666666666664</v>
      </c>
      <c r="I226" s="14">
        <v>164</v>
      </c>
      <c r="K226" s="15"/>
    </row>
    <row r="227" spans="1:11" ht="16.5" x14ac:dyDescent="0.2">
      <c r="A227" s="4" t="s">
        <v>325</v>
      </c>
      <c r="B227">
        <v>2016</v>
      </c>
      <c r="C227" s="14">
        <v>70.666666666666657</v>
      </c>
      <c r="D227" s="14">
        <v>10</v>
      </c>
      <c r="E227" s="14">
        <v>63.333333333333329</v>
      </c>
      <c r="F227" s="14">
        <v>924.66666666666652</v>
      </c>
      <c r="G227" s="14">
        <v>245.33333333333329</v>
      </c>
      <c r="H227" s="14">
        <v>38</v>
      </c>
      <c r="I227" s="14">
        <v>164</v>
      </c>
    </row>
    <row r="228" spans="1:11" ht="16.5" x14ac:dyDescent="0.2">
      <c r="A228" s="4" t="s">
        <v>324</v>
      </c>
      <c r="B228">
        <v>2009</v>
      </c>
      <c r="C228" s="14">
        <v>14057.999999999998</v>
      </c>
      <c r="D228" s="14">
        <v>264.66666666666669</v>
      </c>
      <c r="E228" s="14">
        <v>26318.666666666664</v>
      </c>
      <c r="F228" s="14">
        <v>38905.333333333328</v>
      </c>
      <c r="G228" s="14">
        <v>1903.3333333333333</v>
      </c>
      <c r="H228" s="14">
        <v>678</v>
      </c>
      <c r="I228" s="14">
        <v>1697.9999999999998</v>
      </c>
      <c r="K228" s="15"/>
    </row>
    <row r="229" spans="1:11" ht="16.5" x14ac:dyDescent="0.2">
      <c r="A229" s="4" t="s">
        <v>324</v>
      </c>
      <c r="B229">
        <v>2010</v>
      </c>
      <c r="C229" s="14">
        <v>14066.666666666666</v>
      </c>
      <c r="D229" s="14">
        <v>264.66666666666669</v>
      </c>
      <c r="E229" s="14">
        <v>26311.333333333328</v>
      </c>
      <c r="F229" s="14">
        <v>38877.333333333336</v>
      </c>
      <c r="G229" s="14">
        <v>1929.9999999999998</v>
      </c>
      <c r="H229" s="14">
        <v>683.99999999999989</v>
      </c>
      <c r="I229" s="14">
        <v>1696.6666666666665</v>
      </c>
    </row>
    <row r="230" spans="1:11" ht="16.5" x14ac:dyDescent="0.2">
      <c r="A230" s="4" t="s">
        <v>324</v>
      </c>
      <c r="B230">
        <v>2011</v>
      </c>
      <c r="C230" s="14">
        <v>14056.666666666666</v>
      </c>
      <c r="D230" s="14">
        <v>264.66666666666669</v>
      </c>
      <c r="E230" s="14">
        <v>26296</v>
      </c>
      <c r="F230" s="14">
        <v>38856.666666666664</v>
      </c>
      <c r="G230" s="14">
        <v>1952</v>
      </c>
      <c r="H230" s="14">
        <v>689.33333333333326</v>
      </c>
      <c r="I230" s="14">
        <v>1707.9999999999998</v>
      </c>
      <c r="K230" s="15"/>
    </row>
    <row r="231" spans="1:11" ht="16.5" x14ac:dyDescent="0.2">
      <c r="A231" s="4" t="s">
        <v>324</v>
      </c>
      <c r="B231">
        <v>2012</v>
      </c>
      <c r="C231" s="14">
        <v>14059.333333333332</v>
      </c>
      <c r="D231" s="14">
        <v>264.66666666666669</v>
      </c>
      <c r="E231" s="14">
        <v>26285.333333333332</v>
      </c>
      <c r="F231" s="14">
        <v>38835.999999999993</v>
      </c>
      <c r="G231" s="14">
        <v>1970.6666666666667</v>
      </c>
      <c r="H231" s="14">
        <v>696.66666666666663</v>
      </c>
      <c r="I231" s="14">
        <v>1706.6666666666665</v>
      </c>
    </row>
    <row r="232" spans="1:11" ht="16.5" x14ac:dyDescent="0.2">
      <c r="A232" s="4" t="s">
        <v>324</v>
      </c>
      <c r="B232">
        <v>2013</v>
      </c>
      <c r="C232" s="14">
        <v>14098.666666666666</v>
      </c>
      <c r="D232" s="14">
        <v>264</v>
      </c>
      <c r="E232" s="14">
        <v>26240.666666666664</v>
      </c>
      <c r="F232" s="14">
        <v>38815.333333333328</v>
      </c>
      <c r="G232" s="14">
        <v>1989.3333333333335</v>
      </c>
      <c r="H232" s="14">
        <v>699.99999999999989</v>
      </c>
      <c r="I232" s="14">
        <v>1706</v>
      </c>
      <c r="K232" s="15"/>
    </row>
    <row r="233" spans="1:11" ht="16.5" x14ac:dyDescent="0.2">
      <c r="A233" s="4" t="s">
        <v>324</v>
      </c>
      <c r="B233">
        <v>2014</v>
      </c>
      <c r="C233" s="14">
        <v>14099.999999999998</v>
      </c>
      <c r="D233" s="14">
        <v>264</v>
      </c>
      <c r="E233" s="14">
        <v>26233.333333333332</v>
      </c>
      <c r="F233" s="14">
        <v>38803.333333333328</v>
      </c>
      <c r="G233" s="14">
        <v>2004</v>
      </c>
      <c r="H233" s="14">
        <v>702.66666666666663</v>
      </c>
      <c r="I233" s="14">
        <v>1702.6666666666665</v>
      </c>
    </row>
    <row r="234" spans="1:11" ht="16.5" x14ac:dyDescent="0.2">
      <c r="A234" s="4" t="s">
        <v>324</v>
      </c>
      <c r="B234">
        <v>2015</v>
      </c>
      <c r="C234" s="14">
        <v>14106.666666666666</v>
      </c>
      <c r="D234" s="14">
        <v>263.33333333333331</v>
      </c>
      <c r="E234" s="14">
        <v>26227.333333333332</v>
      </c>
      <c r="F234" s="14">
        <v>38787.333333333336</v>
      </c>
      <c r="G234" s="14">
        <v>2015.3333333333333</v>
      </c>
      <c r="H234" s="14">
        <v>709.99999999999989</v>
      </c>
      <c r="I234" s="14">
        <v>1702.6666666666665</v>
      </c>
      <c r="K234" s="15"/>
    </row>
    <row r="235" spans="1:11" ht="16.5" x14ac:dyDescent="0.2">
      <c r="A235" s="4" t="s">
        <v>324</v>
      </c>
      <c r="B235">
        <v>2016</v>
      </c>
      <c r="C235" s="14">
        <v>14174.666666666664</v>
      </c>
      <c r="D235" s="14">
        <v>262.66666666666663</v>
      </c>
      <c r="E235" s="14">
        <v>26198.666666666664</v>
      </c>
      <c r="F235" s="14">
        <v>38729.333333333328</v>
      </c>
      <c r="G235" s="14">
        <v>2029.333333333333</v>
      </c>
      <c r="H235" s="14">
        <v>712.66666666666663</v>
      </c>
      <c r="I235" s="14">
        <v>1702</v>
      </c>
    </row>
    <row r="236" spans="1:11" ht="16.5" x14ac:dyDescent="0.2">
      <c r="A236" s="4" t="s">
        <v>323</v>
      </c>
      <c r="B236">
        <v>2009</v>
      </c>
      <c r="C236" s="14">
        <v>13473.333333333332</v>
      </c>
      <c r="D236" s="14">
        <v>67.333333333333329</v>
      </c>
      <c r="E236" s="14">
        <v>14199.999999999998</v>
      </c>
      <c r="F236" s="14">
        <v>23728.666666666664</v>
      </c>
      <c r="G236" s="14">
        <v>1810.6666666666667</v>
      </c>
      <c r="H236" s="14">
        <v>769.99999999999989</v>
      </c>
      <c r="I236" s="14">
        <v>1386.6666666666665</v>
      </c>
      <c r="K236" s="15"/>
    </row>
    <row r="237" spans="1:11" ht="16.5" x14ac:dyDescent="0.2">
      <c r="A237" s="4" t="s">
        <v>323</v>
      </c>
      <c r="B237">
        <v>2010</v>
      </c>
      <c r="C237" s="14">
        <v>13476.666666666666</v>
      </c>
      <c r="D237" s="14">
        <v>67.333333333333329</v>
      </c>
      <c r="E237" s="14">
        <v>14193.999999999998</v>
      </c>
      <c r="F237" s="14">
        <v>23706.666666666664</v>
      </c>
      <c r="G237" s="14">
        <v>1823.3333333333333</v>
      </c>
      <c r="H237" s="14">
        <v>779.99999999999989</v>
      </c>
      <c r="I237" s="14">
        <v>1386.6666666666665</v>
      </c>
    </row>
    <row r="238" spans="1:11" ht="16.5" x14ac:dyDescent="0.2">
      <c r="A238" s="4" t="s">
        <v>323</v>
      </c>
      <c r="B238">
        <v>2011</v>
      </c>
      <c r="C238" s="14">
        <v>13477.333333333332</v>
      </c>
      <c r="D238" s="14">
        <v>66.666666666666657</v>
      </c>
      <c r="E238" s="14">
        <v>14186.666666666666</v>
      </c>
      <c r="F238" s="14">
        <v>23686</v>
      </c>
      <c r="G238" s="14">
        <v>1839.9999999999998</v>
      </c>
      <c r="H238" s="14">
        <v>784.66666666666663</v>
      </c>
      <c r="I238" s="14">
        <v>1386.6666666666665</v>
      </c>
      <c r="K238" s="15"/>
    </row>
    <row r="239" spans="1:11" ht="16.5" x14ac:dyDescent="0.2">
      <c r="A239" s="4" t="s">
        <v>323</v>
      </c>
      <c r="B239">
        <v>2012</v>
      </c>
      <c r="C239" s="14">
        <v>13479.999999999998</v>
      </c>
      <c r="D239" s="14">
        <v>66.666666666666657</v>
      </c>
      <c r="E239" s="14">
        <v>14176.666666666666</v>
      </c>
      <c r="F239" s="14">
        <v>23653.333333333332</v>
      </c>
      <c r="G239" s="14">
        <v>1859.9999999999998</v>
      </c>
      <c r="H239" s="14">
        <v>788.66666666666663</v>
      </c>
      <c r="I239" s="14">
        <v>1394.6666666666665</v>
      </c>
    </row>
    <row r="240" spans="1:11" ht="16.5" x14ac:dyDescent="0.2">
      <c r="A240" s="4" t="s">
        <v>323</v>
      </c>
      <c r="B240">
        <v>2013</v>
      </c>
      <c r="C240" s="14">
        <v>13508.666666666666</v>
      </c>
      <c r="D240" s="14">
        <v>66</v>
      </c>
      <c r="E240" s="14">
        <v>14166.666666666666</v>
      </c>
      <c r="F240" s="14">
        <v>23640.666666666664</v>
      </c>
      <c r="G240" s="14">
        <v>1873.9999999999995</v>
      </c>
      <c r="H240" s="14">
        <v>799.99999999999989</v>
      </c>
      <c r="I240" s="14">
        <v>1365.3333333333333</v>
      </c>
      <c r="K240" s="15"/>
    </row>
    <row r="241" spans="1:11" ht="16.5" x14ac:dyDescent="0.2">
      <c r="A241" s="4" t="s">
        <v>323</v>
      </c>
      <c r="B241">
        <v>2014</v>
      </c>
      <c r="C241" s="14">
        <v>13722.666666666666</v>
      </c>
      <c r="D241" s="14">
        <v>64.666666666666657</v>
      </c>
      <c r="E241" s="14">
        <v>14077.999999999998</v>
      </c>
      <c r="F241" s="14">
        <v>23492.666666666664</v>
      </c>
      <c r="G241" s="14">
        <v>1894.6666666666665</v>
      </c>
      <c r="H241" s="14">
        <v>803.33333333333326</v>
      </c>
      <c r="I241" s="14">
        <v>1357.3333333333333</v>
      </c>
    </row>
    <row r="242" spans="1:11" ht="16.5" x14ac:dyDescent="0.2">
      <c r="A242" s="4" t="s">
        <v>323</v>
      </c>
      <c r="B242">
        <v>2015</v>
      </c>
      <c r="C242" s="14">
        <v>13806.666666666666</v>
      </c>
      <c r="D242" s="14">
        <v>63.999999999999993</v>
      </c>
      <c r="E242" s="14">
        <v>14073.333333333332</v>
      </c>
      <c r="F242" s="14">
        <v>23397.333333333332</v>
      </c>
      <c r="G242" s="14">
        <v>1909.9999999999998</v>
      </c>
      <c r="H242" s="14">
        <v>805.33333333333326</v>
      </c>
      <c r="I242" s="14">
        <v>1355.3333333333333</v>
      </c>
      <c r="K242" s="15"/>
    </row>
    <row r="243" spans="1:11" ht="16.5" x14ac:dyDescent="0.2">
      <c r="A243" s="4" t="s">
        <v>323</v>
      </c>
      <c r="B243">
        <v>2016</v>
      </c>
      <c r="C243" s="14">
        <v>13892</v>
      </c>
      <c r="D243" s="14">
        <v>63.999999999999993</v>
      </c>
      <c r="E243" s="14">
        <v>14050.666666666664</v>
      </c>
      <c r="F243" s="14">
        <v>23319.333333333332</v>
      </c>
      <c r="G243" s="14">
        <v>1928.6666666666663</v>
      </c>
      <c r="H243" s="14">
        <v>809.33333333333326</v>
      </c>
      <c r="I243" s="14">
        <v>1354.6666666666665</v>
      </c>
    </row>
    <row r="244" spans="1:11" ht="16.5" x14ac:dyDescent="0.2">
      <c r="A244" s="4" t="s">
        <v>322</v>
      </c>
      <c r="B244">
        <v>2009</v>
      </c>
      <c r="C244" s="14">
        <v>4070.6666666666665</v>
      </c>
      <c r="D244" s="14">
        <v>24</v>
      </c>
      <c r="E244" s="14">
        <v>13136</v>
      </c>
      <c r="F244" s="14">
        <v>53896.666666666664</v>
      </c>
      <c r="G244" s="14">
        <v>1012</v>
      </c>
      <c r="H244" s="14">
        <v>533.99999999999989</v>
      </c>
      <c r="I244" s="14">
        <v>1659.3333333333333</v>
      </c>
      <c r="K244" s="15"/>
    </row>
    <row r="245" spans="1:11" ht="16.5" x14ac:dyDescent="0.2">
      <c r="A245" s="4" t="s">
        <v>322</v>
      </c>
      <c r="B245">
        <v>2010</v>
      </c>
      <c r="C245" s="14">
        <v>4069.9999999999995</v>
      </c>
      <c r="D245" s="14">
        <v>24</v>
      </c>
      <c r="E245" s="14">
        <v>13091.333333333332</v>
      </c>
      <c r="F245" s="14">
        <v>53816.666666666664</v>
      </c>
      <c r="G245" s="14">
        <v>1087.3333333333335</v>
      </c>
      <c r="H245" s="14">
        <v>584.66666666666663</v>
      </c>
      <c r="I245" s="14">
        <v>1662</v>
      </c>
    </row>
    <row r="246" spans="1:11" ht="16.5" x14ac:dyDescent="0.2">
      <c r="A246" s="4" t="s">
        <v>322</v>
      </c>
      <c r="B246">
        <v>2011</v>
      </c>
      <c r="C246" s="14">
        <v>4080.6666666666665</v>
      </c>
      <c r="D246" s="14">
        <v>24</v>
      </c>
      <c r="E246" s="14">
        <v>13075.333333333332</v>
      </c>
      <c r="F246" s="14">
        <v>53749.999999999993</v>
      </c>
      <c r="G246" s="14">
        <v>1140</v>
      </c>
      <c r="H246" s="14">
        <v>604.66666666666663</v>
      </c>
      <c r="I246" s="14">
        <v>1660.6666666666665</v>
      </c>
      <c r="K246" s="15"/>
    </row>
    <row r="247" spans="1:11" ht="16.5" x14ac:dyDescent="0.2">
      <c r="A247" s="4" t="s">
        <v>322</v>
      </c>
      <c r="B247">
        <v>2012</v>
      </c>
      <c r="C247" s="14">
        <v>4080.6666666666665</v>
      </c>
      <c r="D247" s="14">
        <v>24</v>
      </c>
      <c r="E247" s="14">
        <v>13042.666666666666</v>
      </c>
      <c r="F247" s="14">
        <v>53737.999999999993</v>
      </c>
      <c r="G247" s="14">
        <v>1170</v>
      </c>
      <c r="H247" s="14">
        <v>628</v>
      </c>
      <c r="I247" s="14">
        <v>1658.6666666666665</v>
      </c>
    </row>
    <row r="248" spans="1:11" ht="16.5" x14ac:dyDescent="0.2">
      <c r="A248" s="4" t="s">
        <v>322</v>
      </c>
      <c r="B248">
        <v>2013</v>
      </c>
      <c r="C248" s="14">
        <v>4114.666666666667</v>
      </c>
      <c r="D248" s="14">
        <v>24</v>
      </c>
      <c r="E248" s="14">
        <v>13027.333333333332</v>
      </c>
      <c r="F248" s="14">
        <v>53668.666666666664</v>
      </c>
      <c r="G248" s="14">
        <v>1210.6666666666665</v>
      </c>
      <c r="H248" s="14">
        <v>639.33333333333337</v>
      </c>
      <c r="I248" s="14">
        <v>1662.6666666666665</v>
      </c>
      <c r="K248" s="15"/>
    </row>
    <row r="249" spans="1:11" ht="16.5" x14ac:dyDescent="0.2">
      <c r="A249" s="4" t="s">
        <v>322</v>
      </c>
      <c r="B249">
        <v>2014</v>
      </c>
      <c r="C249" s="14">
        <v>4125.333333333333</v>
      </c>
      <c r="D249" s="14">
        <v>23.333333333333332</v>
      </c>
      <c r="E249" s="14">
        <v>13017.333333333332</v>
      </c>
      <c r="F249" s="14">
        <v>53620.666666666664</v>
      </c>
      <c r="G249" s="14">
        <v>1246.6666666666665</v>
      </c>
      <c r="H249" s="14">
        <v>646.66666666666663</v>
      </c>
      <c r="I249" s="14">
        <v>1667.9999999999998</v>
      </c>
    </row>
    <row r="250" spans="1:11" ht="16.5" x14ac:dyDescent="0.2">
      <c r="A250" s="4" t="s">
        <v>322</v>
      </c>
      <c r="B250">
        <v>2015</v>
      </c>
      <c r="C250" s="14">
        <v>4122.6666666666661</v>
      </c>
      <c r="D250" s="14">
        <v>23.333333333333332</v>
      </c>
      <c r="E250" s="14">
        <v>13010.666666666664</v>
      </c>
      <c r="F250" s="14">
        <v>53595.333333333328</v>
      </c>
      <c r="G250" s="14">
        <v>1269.9999999999998</v>
      </c>
      <c r="H250" s="14">
        <v>649.99999999999989</v>
      </c>
      <c r="I250" s="14">
        <v>1671.333333333333</v>
      </c>
      <c r="K250" s="15"/>
    </row>
    <row r="251" spans="1:11" ht="16.5" x14ac:dyDescent="0.2">
      <c r="A251" s="4" t="s">
        <v>322</v>
      </c>
      <c r="B251">
        <v>2016</v>
      </c>
      <c r="C251" s="14">
        <v>4131.333333333333</v>
      </c>
      <c r="D251" s="14">
        <v>23.333333333333332</v>
      </c>
      <c r="E251" s="14">
        <v>12995.333333333332</v>
      </c>
      <c r="F251" s="14">
        <v>53547.333333333328</v>
      </c>
      <c r="G251" s="14">
        <v>1296</v>
      </c>
      <c r="H251" s="14">
        <v>685.33333333333326</v>
      </c>
      <c r="I251" s="14">
        <v>1674.6666666666665</v>
      </c>
    </row>
    <row r="252" spans="1:11" ht="16.5" x14ac:dyDescent="0.2">
      <c r="A252" s="4" t="s">
        <v>321</v>
      </c>
      <c r="B252">
        <v>2009</v>
      </c>
      <c r="C252" s="14">
        <v>18546.666666666664</v>
      </c>
      <c r="D252" s="14">
        <v>34.666666666666664</v>
      </c>
      <c r="E252" s="14">
        <v>134258</v>
      </c>
      <c r="F252" s="14">
        <v>80614</v>
      </c>
      <c r="G252" s="14">
        <v>1592</v>
      </c>
      <c r="H252" s="14">
        <v>1017.9999999999999</v>
      </c>
      <c r="I252" s="14">
        <v>4926.6666666666661</v>
      </c>
      <c r="K252" s="15"/>
    </row>
    <row r="253" spans="1:11" ht="16.5" x14ac:dyDescent="0.2">
      <c r="A253" s="4" t="s">
        <v>321</v>
      </c>
      <c r="B253">
        <v>2010</v>
      </c>
      <c r="C253" s="14">
        <v>18545.333333333332</v>
      </c>
      <c r="D253" s="14">
        <v>34.666666666666664</v>
      </c>
      <c r="E253" s="14">
        <v>134261.33333333331</v>
      </c>
      <c r="F253" s="14">
        <v>80588.666666666657</v>
      </c>
      <c r="G253" s="14">
        <v>1613.3333333333333</v>
      </c>
      <c r="H253" s="14">
        <v>1022.6666666666666</v>
      </c>
      <c r="I253" s="14">
        <v>4925.333333333333</v>
      </c>
    </row>
    <row r="254" spans="1:11" ht="16.5" x14ac:dyDescent="0.2">
      <c r="A254" s="4" t="s">
        <v>321</v>
      </c>
      <c r="B254">
        <v>2011</v>
      </c>
      <c r="C254" s="14">
        <v>18577.333333333332</v>
      </c>
      <c r="D254" s="14">
        <v>34.666666666666664</v>
      </c>
      <c r="E254" s="14">
        <v>134221.99999999997</v>
      </c>
      <c r="F254" s="14">
        <v>80571.999999999985</v>
      </c>
      <c r="G254" s="14">
        <v>1631.3333333333333</v>
      </c>
      <c r="H254" s="14">
        <v>1033.3333333333333</v>
      </c>
      <c r="I254" s="14">
        <v>4930</v>
      </c>
      <c r="K254" s="15"/>
    </row>
    <row r="255" spans="1:11" ht="16.5" x14ac:dyDescent="0.2">
      <c r="A255" s="4" t="s">
        <v>321</v>
      </c>
      <c r="B255">
        <v>2012</v>
      </c>
      <c r="C255" s="14">
        <v>18595.333333333332</v>
      </c>
      <c r="D255" s="14">
        <v>34.666666666666664</v>
      </c>
      <c r="E255" s="14">
        <v>134217.33333333331</v>
      </c>
      <c r="F255" s="14">
        <v>80525.999999999985</v>
      </c>
      <c r="G255" s="14">
        <v>1650.6666666666665</v>
      </c>
      <c r="H255" s="14">
        <v>1036.6666666666665</v>
      </c>
      <c r="I255" s="14">
        <v>4935.9999999999991</v>
      </c>
    </row>
    <row r="256" spans="1:11" ht="16.5" x14ac:dyDescent="0.2">
      <c r="A256" s="4" t="s">
        <v>321</v>
      </c>
      <c r="B256">
        <v>2013</v>
      </c>
      <c r="C256" s="14">
        <v>18626</v>
      </c>
      <c r="D256" s="14">
        <v>34.666666666666664</v>
      </c>
      <c r="E256" s="14">
        <v>134212.66666666666</v>
      </c>
      <c r="F256" s="14">
        <v>80481.999999999985</v>
      </c>
      <c r="G256" s="14">
        <v>1659.9999999999998</v>
      </c>
      <c r="H256" s="14">
        <v>1043.3333333333333</v>
      </c>
      <c r="I256" s="14">
        <v>4935.9999999999991</v>
      </c>
      <c r="K256" s="15"/>
    </row>
    <row r="257" spans="1:11" ht="16.5" x14ac:dyDescent="0.2">
      <c r="A257" s="4" t="s">
        <v>321</v>
      </c>
      <c r="B257">
        <v>2014</v>
      </c>
      <c r="C257" s="14">
        <v>18654.666666666664</v>
      </c>
      <c r="D257" s="14">
        <v>34.666666666666664</v>
      </c>
      <c r="E257" s="14">
        <v>134173.33333333331</v>
      </c>
      <c r="F257" s="14">
        <v>80452.666666666657</v>
      </c>
      <c r="G257" s="14">
        <v>1674.6666666666665</v>
      </c>
      <c r="H257" s="14">
        <v>1064.6666666666665</v>
      </c>
      <c r="I257" s="14">
        <v>4938</v>
      </c>
    </row>
    <row r="258" spans="1:11" ht="16.5" x14ac:dyDescent="0.2">
      <c r="A258" s="4" t="s">
        <v>321</v>
      </c>
      <c r="B258">
        <v>2015</v>
      </c>
      <c r="C258" s="14">
        <v>18651.333333333332</v>
      </c>
      <c r="D258" s="14">
        <v>34.666666666666664</v>
      </c>
      <c r="E258" s="14">
        <v>134172.66666666666</v>
      </c>
      <c r="F258" s="14">
        <v>80440</v>
      </c>
      <c r="G258" s="14">
        <v>1686.6666666666665</v>
      </c>
      <c r="H258" s="14">
        <v>1070.6666666666665</v>
      </c>
      <c r="I258" s="14">
        <v>4935.333333333333</v>
      </c>
      <c r="K258" s="15"/>
    </row>
    <row r="259" spans="1:11" ht="16.5" x14ac:dyDescent="0.2">
      <c r="A259" s="4" t="s">
        <v>321</v>
      </c>
      <c r="B259">
        <v>2016</v>
      </c>
      <c r="C259" s="14">
        <v>18664.666666666664</v>
      </c>
      <c r="D259" s="14">
        <v>34.666666666666664</v>
      </c>
      <c r="E259" s="14">
        <v>134171.99999999997</v>
      </c>
      <c r="F259" s="14">
        <v>80390.666666666657</v>
      </c>
      <c r="G259" s="14">
        <v>1719.9999999999998</v>
      </c>
      <c r="H259" s="14">
        <v>1077.3333333333333</v>
      </c>
      <c r="I259" s="14">
        <v>4936.6666666666661</v>
      </c>
    </row>
    <row r="260" spans="1:11" ht="16.5" x14ac:dyDescent="0.2">
      <c r="A260" s="4" t="s">
        <v>320</v>
      </c>
      <c r="B260">
        <v>2009</v>
      </c>
      <c r="C260" s="14">
        <v>7023.333333333333</v>
      </c>
      <c r="D260" s="14">
        <v>46</v>
      </c>
      <c r="E260" s="14">
        <v>1601.333333333333</v>
      </c>
      <c r="F260" s="14">
        <v>42805.999999999993</v>
      </c>
      <c r="G260" s="14">
        <v>903.33333333333326</v>
      </c>
      <c r="H260" s="14">
        <v>368.66666666666663</v>
      </c>
      <c r="I260" s="14">
        <v>2860.6666666666665</v>
      </c>
      <c r="K260" s="15"/>
    </row>
    <row r="261" spans="1:11" ht="16.5" x14ac:dyDescent="0.2">
      <c r="A261" s="4" t="s">
        <v>320</v>
      </c>
      <c r="B261">
        <v>2010</v>
      </c>
      <c r="C261" s="14">
        <v>7013.9999999999991</v>
      </c>
      <c r="D261" s="14">
        <v>46</v>
      </c>
      <c r="E261" s="14">
        <v>1599.3333333333333</v>
      </c>
      <c r="F261" s="14">
        <v>42784.666666666664</v>
      </c>
      <c r="G261" s="14">
        <v>932.66666666666663</v>
      </c>
      <c r="H261" s="14">
        <v>380.66666666666663</v>
      </c>
      <c r="I261" s="14">
        <v>2860.6666666666665</v>
      </c>
    </row>
    <row r="262" spans="1:11" ht="16.5" x14ac:dyDescent="0.2">
      <c r="A262" s="4" t="s">
        <v>320</v>
      </c>
      <c r="B262">
        <v>2011</v>
      </c>
      <c r="C262" s="14">
        <v>7033.333333333333</v>
      </c>
      <c r="D262" s="14">
        <v>45.333333333333329</v>
      </c>
      <c r="E262" s="14">
        <v>1597.3333333333333</v>
      </c>
      <c r="F262" s="14">
        <v>42767.333333333328</v>
      </c>
      <c r="G262" s="14">
        <v>952.66666666666663</v>
      </c>
      <c r="H262" s="14">
        <v>381.99999999999994</v>
      </c>
      <c r="I262" s="14">
        <v>2860.6666666666665</v>
      </c>
      <c r="K262" s="15"/>
    </row>
    <row r="263" spans="1:11" ht="16.5" x14ac:dyDescent="0.2">
      <c r="A263" s="4" t="s">
        <v>320</v>
      </c>
      <c r="B263">
        <v>2012</v>
      </c>
      <c r="C263" s="14">
        <v>7055.3333333333321</v>
      </c>
      <c r="D263" s="14">
        <v>46</v>
      </c>
      <c r="E263" s="14">
        <v>1596</v>
      </c>
      <c r="F263" s="14">
        <v>42752.666666666657</v>
      </c>
      <c r="G263" s="14">
        <v>965.33333333333337</v>
      </c>
      <c r="H263" s="14">
        <v>385.99999999999994</v>
      </c>
      <c r="I263" s="14">
        <v>2859.9999999999995</v>
      </c>
    </row>
    <row r="264" spans="1:11" ht="16.5" x14ac:dyDescent="0.2">
      <c r="A264" s="4" t="s">
        <v>320</v>
      </c>
      <c r="B264">
        <v>2013</v>
      </c>
      <c r="C264" s="14">
        <v>7064.6666666666661</v>
      </c>
      <c r="D264" s="14">
        <v>46</v>
      </c>
      <c r="E264" s="14">
        <v>1596</v>
      </c>
      <c r="F264" s="14">
        <v>42744</v>
      </c>
      <c r="G264" s="14">
        <v>973.33333333333326</v>
      </c>
      <c r="H264" s="14">
        <v>389.99999999999994</v>
      </c>
      <c r="I264" s="14">
        <v>2858.6666666666665</v>
      </c>
      <c r="K264" s="15"/>
    </row>
    <row r="265" spans="1:11" ht="16.5" x14ac:dyDescent="0.2">
      <c r="A265" s="4" t="s">
        <v>320</v>
      </c>
      <c r="B265">
        <v>2014</v>
      </c>
      <c r="C265" s="14">
        <v>7130.6666666666652</v>
      </c>
      <c r="D265" s="14">
        <v>46</v>
      </c>
      <c r="E265" s="14">
        <v>1594.6666666666665</v>
      </c>
      <c r="F265" s="14">
        <v>42719.333333333328</v>
      </c>
      <c r="G265" s="14">
        <v>980.66666666666674</v>
      </c>
      <c r="H265" s="14">
        <v>395.33333333333326</v>
      </c>
      <c r="I265" s="14">
        <v>2857.9999999999995</v>
      </c>
    </row>
    <row r="266" spans="1:11" ht="16.5" x14ac:dyDescent="0.2">
      <c r="A266" s="4" t="s">
        <v>320</v>
      </c>
      <c r="B266">
        <v>2015</v>
      </c>
      <c r="C266" s="14">
        <v>7150.6666666666652</v>
      </c>
      <c r="D266" s="14">
        <v>46</v>
      </c>
      <c r="E266" s="14">
        <v>1594.6666666666665</v>
      </c>
      <c r="F266" s="14">
        <v>42714</v>
      </c>
      <c r="G266" s="14">
        <v>987.99999999999989</v>
      </c>
      <c r="H266" s="14">
        <v>397.33333333333331</v>
      </c>
      <c r="I266" s="14">
        <v>2855.333333333333</v>
      </c>
      <c r="K266" s="15"/>
    </row>
    <row r="267" spans="1:11" ht="16.5" x14ac:dyDescent="0.2">
      <c r="A267" s="4" t="s">
        <v>320</v>
      </c>
      <c r="B267">
        <v>2016</v>
      </c>
      <c r="C267" s="14">
        <v>7194.6666666666661</v>
      </c>
      <c r="D267" s="14">
        <v>45.333333333333329</v>
      </c>
      <c r="E267" s="14">
        <v>1593.3333333333333</v>
      </c>
      <c r="F267" s="14">
        <v>42682.666666666657</v>
      </c>
      <c r="G267" s="14">
        <v>997.33333333333326</v>
      </c>
      <c r="H267" s="14">
        <v>403.33333333333331</v>
      </c>
      <c r="I267" s="14">
        <v>2853.333333333333</v>
      </c>
    </row>
    <row r="268" spans="1:11" ht="16.5" x14ac:dyDescent="0.2">
      <c r="A268" s="4" t="s">
        <v>319</v>
      </c>
      <c r="B268">
        <v>2009</v>
      </c>
      <c r="C268" s="14">
        <v>9137.3333333333321</v>
      </c>
      <c r="D268" s="14">
        <v>12</v>
      </c>
      <c r="E268" s="14">
        <v>7403.333333333333</v>
      </c>
      <c r="F268" s="14">
        <v>34247.333333333336</v>
      </c>
      <c r="G268" s="14">
        <v>909.33333333333326</v>
      </c>
      <c r="H268" s="14">
        <v>365.33333333333326</v>
      </c>
      <c r="I268" s="14">
        <v>877.99999999999989</v>
      </c>
      <c r="K268" s="15"/>
    </row>
    <row r="269" spans="1:11" ht="16.5" x14ac:dyDescent="0.2">
      <c r="A269" s="4" t="s">
        <v>319</v>
      </c>
      <c r="B269">
        <v>2010</v>
      </c>
      <c r="C269" s="14">
        <v>9132.6666666666661</v>
      </c>
      <c r="D269" s="14">
        <v>12</v>
      </c>
      <c r="E269" s="14">
        <v>7399.333333333333</v>
      </c>
      <c r="F269" s="14">
        <v>34237.333333333336</v>
      </c>
      <c r="G269" s="14">
        <v>922.66666666666663</v>
      </c>
      <c r="H269" s="14">
        <v>370.66666666666663</v>
      </c>
      <c r="I269" s="14">
        <v>877.99999999999989</v>
      </c>
    </row>
    <row r="270" spans="1:11" ht="16.5" x14ac:dyDescent="0.2">
      <c r="A270" s="4" t="s">
        <v>319</v>
      </c>
      <c r="B270">
        <v>2011</v>
      </c>
      <c r="C270" s="14">
        <v>9121.9999999999982</v>
      </c>
      <c r="D270" s="14">
        <v>12</v>
      </c>
      <c r="E270" s="14">
        <v>7393.333333333333</v>
      </c>
      <c r="F270" s="14">
        <v>34225.999999999993</v>
      </c>
      <c r="G270" s="14">
        <v>939.99999999999989</v>
      </c>
      <c r="H270" s="14">
        <v>379.99999999999994</v>
      </c>
      <c r="I270" s="14">
        <v>877.33333333333326</v>
      </c>
      <c r="K270" s="15"/>
    </row>
    <row r="271" spans="1:11" ht="16.5" x14ac:dyDescent="0.2">
      <c r="A271" s="4" t="s">
        <v>319</v>
      </c>
      <c r="B271">
        <v>2012</v>
      </c>
      <c r="C271" s="14">
        <v>9097.3333333333321</v>
      </c>
      <c r="D271" s="14">
        <v>12</v>
      </c>
      <c r="E271" s="14">
        <v>7386.6666666666661</v>
      </c>
      <c r="F271" s="14">
        <v>34240.666666666664</v>
      </c>
      <c r="G271" s="14">
        <v>956.66666666666663</v>
      </c>
      <c r="H271" s="14">
        <v>387.33333333333331</v>
      </c>
      <c r="I271" s="14">
        <v>876.66666666666663</v>
      </c>
    </row>
    <row r="272" spans="1:11" ht="16.5" x14ac:dyDescent="0.2">
      <c r="A272" s="4" t="s">
        <v>319</v>
      </c>
      <c r="B272">
        <v>2013</v>
      </c>
      <c r="C272" s="14">
        <v>9083.3333333333321</v>
      </c>
      <c r="D272" s="14">
        <v>12</v>
      </c>
      <c r="E272" s="14">
        <v>7377.3333333333321</v>
      </c>
      <c r="F272" s="14">
        <v>34214</v>
      </c>
      <c r="G272" s="14">
        <v>983.99999999999989</v>
      </c>
      <c r="H272" s="14">
        <v>405.99999999999994</v>
      </c>
      <c r="I272" s="14">
        <v>876</v>
      </c>
      <c r="K272" s="15"/>
    </row>
    <row r="273" spans="1:11" ht="16.5" x14ac:dyDescent="0.2">
      <c r="A273" s="4" t="s">
        <v>319</v>
      </c>
      <c r="B273">
        <v>2014</v>
      </c>
      <c r="C273" s="14">
        <v>9084.6666666666661</v>
      </c>
      <c r="D273" s="14">
        <v>12</v>
      </c>
      <c r="E273" s="14">
        <v>7368</v>
      </c>
      <c r="F273" s="14">
        <v>34191.333333333328</v>
      </c>
      <c r="G273" s="14">
        <v>1002.6666666666664</v>
      </c>
      <c r="H273" s="14">
        <v>417.33333333333331</v>
      </c>
      <c r="I273" s="14">
        <v>875.33333333333337</v>
      </c>
    </row>
    <row r="274" spans="1:11" ht="16.5" x14ac:dyDescent="0.2">
      <c r="A274" s="4" t="s">
        <v>319</v>
      </c>
      <c r="B274">
        <v>2015</v>
      </c>
      <c r="C274" s="14">
        <v>9076</v>
      </c>
      <c r="D274" s="14">
        <v>12</v>
      </c>
      <c r="E274" s="14">
        <v>7363.333333333333</v>
      </c>
      <c r="F274" s="14">
        <v>34182</v>
      </c>
      <c r="G274" s="14">
        <v>1018.6666666666665</v>
      </c>
      <c r="H274" s="14">
        <v>423.33333333333331</v>
      </c>
      <c r="I274" s="14">
        <v>875.33333333333337</v>
      </c>
      <c r="K274" s="15"/>
    </row>
    <row r="275" spans="1:11" ht="16.5" x14ac:dyDescent="0.2">
      <c r="A275" s="4" t="s">
        <v>319</v>
      </c>
      <c r="B275">
        <v>2016</v>
      </c>
      <c r="C275" s="14">
        <v>9070.6666666666661</v>
      </c>
      <c r="D275" s="14">
        <v>12</v>
      </c>
      <c r="E275" s="14">
        <v>7357.3333333333321</v>
      </c>
      <c r="F275" s="14">
        <v>34168.666666666664</v>
      </c>
      <c r="G275" s="14">
        <v>1034.6666666666665</v>
      </c>
      <c r="H275" s="14">
        <v>430.66666666666657</v>
      </c>
      <c r="I275" s="14">
        <v>874.66666666666652</v>
      </c>
    </row>
    <row r="276" spans="1:11" ht="16.5" x14ac:dyDescent="0.2">
      <c r="A276" s="4" t="s">
        <v>318</v>
      </c>
      <c r="B276">
        <v>2009</v>
      </c>
      <c r="C276" s="14">
        <v>12692.666666666666</v>
      </c>
      <c r="D276" s="14">
        <v>38.666666666666664</v>
      </c>
      <c r="E276" s="14">
        <v>17159.333333333332</v>
      </c>
      <c r="F276" s="14">
        <v>21774.666666666664</v>
      </c>
      <c r="G276" s="14">
        <v>966</v>
      </c>
      <c r="H276" s="14">
        <v>449.99999999999994</v>
      </c>
      <c r="I276" s="14">
        <v>997.33333333333326</v>
      </c>
      <c r="K276" s="15"/>
    </row>
    <row r="277" spans="1:11" ht="16.5" x14ac:dyDescent="0.2">
      <c r="A277" s="4" t="s">
        <v>318</v>
      </c>
      <c r="B277">
        <v>2010</v>
      </c>
      <c r="C277" s="14">
        <v>12691.333333333332</v>
      </c>
      <c r="D277" s="14">
        <v>38</v>
      </c>
      <c r="E277" s="14">
        <v>17172</v>
      </c>
      <c r="F277" s="14">
        <v>21759.333333333332</v>
      </c>
      <c r="G277" s="14">
        <v>972.66666666666663</v>
      </c>
      <c r="H277" s="14">
        <v>451.33333333333331</v>
      </c>
      <c r="I277" s="14">
        <v>995.33333333333337</v>
      </c>
    </row>
    <row r="278" spans="1:11" ht="16.5" x14ac:dyDescent="0.2">
      <c r="A278" s="4" t="s">
        <v>318</v>
      </c>
      <c r="B278">
        <v>2011</v>
      </c>
      <c r="C278" s="14">
        <v>12678.666666666666</v>
      </c>
      <c r="D278" s="14">
        <v>38</v>
      </c>
      <c r="E278" s="14">
        <v>17171.333333333332</v>
      </c>
      <c r="F278" s="14">
        <v>21749.999999999996</v>
      </c>
      <c r="G278" s="14">
        <v>989.33333333333326</v>
      </c>
      <c r="H278" s="14">
        <v>452.66666666666669</v>
      </c>
      <c r="I278" s="14">
        <v>996</v>
      </c>
      <c r="K278" s="15"/>
    </row>
    <row r="279" spans="1:11" ht="16.5" x14ac:dyDescent="0.2">
      <c r="A279" s="4" t="s">
        <v>318</v>
      </c>
      <c r="B279">
        <v>2012</v>
      </c>
      <c r="C279" s="14">
        <v>12662.666666666666</v>
      </c>
      <c r="D279" s="14">
        <v>38</v>
      </c>
      <c r="E279" s="14">
        <v>17167.999999999996</v>
      </c>
      <c r="F279" s="14">
        <v>21739.333333333332</v>
      </c>
      <c r="G279" s="14">
        <v>1008.6666666666666</v>
      </c>
      <c r="H279" s="14">
        <v>458</v>
      </c>
      <c r="I279" s="14">
        <v>997.33333333333326</v>
      </c>
    </row>
    <row r="280" spans="1:11" ht="16.5" x14ac:dyDescent="0.2">
      <c r="A280" s="4" t="s">
        <v>318</v>
      </c>
      <c r="B280">
        <v>2013</v>
      </c>
      <c r="C280" s="14">
        <v>12650.666666666664</v>
      </c>
      <c r="D280" s="14">
        <v>38</v>
      </c>
      <c r="E280" s="14">
        <v>17182.666666666664</v>
      </c>
      <c r="F280" s="14">
        <v>21729.999999999996</v>
      </c>
      <c r="G280" s="14">
        <v>1009.9999999999999</v>
      </c>
      <c r="H280" s="14">
        <v>461.99999999999994</v>
      </c>
      <c r="I280" s="14">
        <v>998.66666666666663</v>
      </c>
      <c r="K280" s="15"/>
    </row>
    <row r="281" spans="1:11" ht="16.5" x14ac:dyDescent="0.2">
      <c r="A281" s="4" t="s">
        <v>318</v>
      </c>
      <c r="B281">
        <v>2014</v>
      </c>
      <c r="C281" s="14">
        <v>12642.666666666666</v>
      </c>
      <c r="D281" s="14">
        <v>38</v>
      </c>
      <c r="E281" s="14">
        <v>17180</v>
      </c>
      <c r="F281" s="14">
        <v>21719.333333333332</v>
      </c>
      <c r="G281" s="14">
        <v>1021.3333333333334</v>
      </c>
      <c r="H281" s="14">
        <v>467.33333333333326</v>
      </c>
      <c r="I281" s="14">
        <v>998.66666666666663</v>
      </c>
    </row>
    <row r="282" spans="1:11" ht="16.5" x14ac:dyDescent="0.2">
      <c r="A282" s="4" t="s">
        <v>318</v>
      </c>
      <c r="B282">
        <v>2015</v>
      </c>
      <c r="C282" s="14">
        <v>12636.666666666666</v>
      </c>
      <c r="D282" s="14">
        <v>37.333333333333329</v>
      </c>
      <c r="E282" s="14">
        <v>17177.333333333332</v>
      </c>
      <c r="F282" s="14">
        <v>21709.999999999996</v>
      </c>
      <c r="G282" s="14">
        <v>1026.6666666666665</v>
      </c>
      <c r="H282" s="14">
        <v>475.33333333333326</v>
      </c>
      <c r="I282" s="14">
        <v>998.66666666666663</v>
      </c>
      <c r="K282" s="15"/>
    </row>
    <row r="283" spans="1:11" ht="16.5" x14ac:dyDescent="0.2">
      <c r="A283" s="4" t="s">
        <v>318</v>
      </c>
      <c r="B283">
        <v>2016</v>
      </c>
      <c r="C283" s="14">
        <v>12633.999999999998</v>
      </c>
      <c r="D283" s="14">
        <v>37.333333333333329</v>
      </c>
      <c r="E283" s="14">
        <v>17176.666666666664</v>
      </c>
      <c r="F283" s="14">
        <v>21703.333333333332</v>
      </c>
      <c r="G283" s="14">
        <v>1036</v>
      </c>
      <c r="H283" s="14">
        <v>476.66666666666663</v>
      </c>
      <c r="I283" s="14">
        <v>998.66666666666663</v>
      </c>
    </row>
    <row r="284" spans="1:11" ht="16.5" x14ac:dyDescent="0.2">
      <c r="A284" s="4" t="s">
        <v>317</v>
      </c>
      <c r="B284">
        <v>2009</v>
      </c>
      <c r="C284" s="14">
        <v>2411.333333333333</v>
      </c>
      <c r="D284" s="14">
        <v>3.9999999999999996</v>
      </c>
      <c r="E284" s="14">
        <v>6195.3333333333321</v>
      </c>
      <c r="F284" s="14">
        <v>179661.33333333331</v>
      </c>
      <c r="G284" s="14">
        <v>744</v>
      </c>
      <c r="H284" s="14">
        <v>613.33333333333326</v>
      </c>
      <c r="I284" s="14">
        <v>4871.9999999999991</v>
      </c>
      <c r="K284" s="15"/>
    </row>
    <row r="285" spans="1:11" ht="16.5" x14ac:dyDescent="0.2">
      <c r="A285" s="4" t="s">
        <v>317</v>
      </c>
      <c r="B285">
        <v>2010</v>
      </c>
      <c r="C285" s="14">
        <v>2413.333333333333</v>
      </c>
      <c r="D285" s="14">
        <v>3.9999999999999996</v>
      </c>
      <c r="E285" s="14">
        <v>6191.9999999999991</v>
      </c>
      <c r="F285" s="14">
        <v>179603.33333333331</v>
      </c>
      <c r="G285" s="14">
        <v>773.99999999999989</v>
      </c>
      <c r="H285" s="14">
        <v>643.99999999999989</v>
      </c>
      <c r="I285" s="14">
        <v>4870</v>
      </c>
    </row>
    <row r="286" spans="1:11" ht="16.5" x14ac:dyDescent="0.2">
      <c r="A286" s="4" t="s">
        <v>317</v>
      </c>
      <c r="B286">
        <v>2011</v>
      </c>
      <c r="C286" s="14">
        <v>2412.6666666666665</v>
      </c>
      <c r="D286" s="14">
        <v>3.9999999999999996</v>
      </c>
      <c r="E286" s="14">
        <v>6190.6666666666661</v>
      </c>
      <c r="F286" s="14">
        <v>179575.33333333331</v>
      </c>
      <c r="G286" s="14">
        <v>794.66666666666663</v>
      </c>
      <c r="H286" s="14">
        <v>649.99999999999989</v>
      </c>
      <c r="I286" s="14">
        <v>4870</v>
      </c>
      <c r="K286" s="15"/>
    </row>
    <row r="287" spans="1:11" ht="16.5" x14ac:dyDescent="0.2">
      <c r="A287" s="4" t="s">
        <v>317</v>
      </c>
      <c r="B287">
        <v>2012</v>
      </c>
      <c r="C287" s="14">
        <v>2419.333333333333</v>
      </c>
      <c r="D287" s="14">
        <v>3.9999999999999996</v>
      </c>
      <c r="E287" s="14">
        <v>6188</v>
      </c>
      <c r="F287" s="14">
        <v>179544.66666666666</v>
      </c>
      <c r="G287" s="14">
        <v>812.66666666666663</v>
      </c>
      <c r="H287" s="14">
        <v>655.33333333333326</v>
      </c>
      <c r="I287" s="14">
        <v>4870</v>
      </c>
    </row>
    <row r="288" spans="1:11" ht="16.5" x14ac:dyDescent="0.2">
      <c r="A288" s="4" t="s">
        <v>317</v>
      </c>
      <c r="B288">
        <v>2013</v>
      </c>
      <c r="C288" s="14">
        <v>2425.333333333333</v>
      </c>
      <c r="D288" s="14">
        <v>3.9999999999999996</v>
      </c>
      <c r="E288" s="14">
        <v>6183.333333333333</v>
      </c>
      <c r="F288" s="14">
        <v>179520.66666666663</v>
      </c>
      <c r="G288" s="14">
        <v>816</v>
      </c>
      <c r="H288" s="14">
        <v>677.33333333333326</v>
      </c>
      <c r="I288" s="14">
        <v>4865.9999999999991</v>
      </c>
      <c r="K288" s="15"/>
    </row>
    <row r="289" spans="1:11" ht="16.5" x14ac:dyDescent="0.2">
      <c r="A289" s="4" t="s">
        <v>317</v>
      </c>
      <c r="B289">
        <v>2014</v>
      </c>
      <c r="C289" s="14">
        <v>2428.6666666666665</v>
      </c>
      <c r="D289" s="14">
        <v>3.9999999999999996</v>
      </c>
      <c r="E289" s="14">
        <v>6181.9999999999991</v>
      </c>
      <c r="F289" s="14">
        <v>179490.66666666663</v>
      </c>
      <c r="G289" s="14">
        <v>827.99999999999989</v>
      </c>
      <c r="H289" s="14">
        <v>687.33333333333326</v>
      </c>
      <c r="I289" s="14">
        <v>4865.9999999999991</v>
      </c>
    </row>
    <row r="290" spans="1:11" ht="16.5" x14ac:dyDescent="0.2">
      <c r="A290" s="4" t="s">
        <v>317</v>
      </c>
      <c r="B290">
        <v>2015</v>
      </c>
      <c r="C290" s="14">
        <v>2432.6666666666665</v>
      </c>
      <c r="D290" s="14">
        <v>3.9999999999999996</v>
      </c>
      <c r="E290" s="14">
        <v>6181.333333333333</v>
      </c>
      <c r="F290" s="14">
        <v>179468.66666666666</v>
      </c>
      <c r="G290" s="14">
        <v>837.33333333333326</v>
      </c>
      <c r="H290" s="14">
        <v>690.66666666666652</v>
      </c>
      <c r="I290" s="14">
        <v>4866.6666666666661</v>
      </c>
      <c r="K290" s="15"/>
    </row>
    <row r="291" spans="1:11" ht="16.5" x14ac:dyDescent="0.2">
      <c r="A291" s="4" t="s">
        <v>317</v>
      </c>
      <c r="B291">
        <v>2016</v>
      </c>
      <c r="C291" s="14">
        <v>2434</v>
      </c>
      <c r="D291" s="14">
        <v>3.333333333333333</v>
      </c>
      <c r="E291" s="14">
        <v>6179.9999999999991</v>
      </c>
      <c r="F291" s="14">
        <v>179446</v>
      </c>
      <c r="G291" s="14">
        <v>850.66666666666652</v>
      </c>
      <c r="H291" s="14">
        <v>701.99999999999989</v>
      </c>
      <c r="I291" s="14">
        <v>4866.6666666666661</v>
      </c>
    </row>
    <row r="292" spans="1:11" ht="16.5" x14ac:dyDescent="0.2">
      <c r="A292" s="4" t="s">
        <v>316</v>
      </c>
      <c r="B292">
        <v>2009</v>
      </c>
      <c r="C292" s="14">
        <v>460.66666666666657</v>
      </c>
      <c r="D292" s="14">
        <v>2.6666666666666665</v>
      </c>
      <c r="E292" s="14">
        <v>7641.9999999999991</v>
      </c>
      <c r="F292" s="14">
        <v>88908</v>
      </c>
      <c r="G292" s="14">
        <v>292.66666666666669</v>
      </c>
      <c r="H292" s="14">
        <v>103.33333333333333</v>
      </c>
      <c r="I292" s="14">
        <v>416.66666666666663</v>
      </c>
      <c r="K292" s="15"/>
    </row>
    <row r="293" spans="1:11" ht="16.5" x14ac:dyDescent="0.2">
      <c r="A293" s="4" t="s">
        <v>316</v>
      </c>
      <c r="B293">
        <v>2010</v>
      </c>
      <c r="C293" s="14">
        <v>460.66666666666657</v>
      </c>
      <c r="D293" s="14">
        <v>2.6666666666666665</v>
      </c>
      <c r="E293" s="14">
        <v>7641.9999999999991</v>
      </c>
      <c r="F293" s="14">
        <v>88895.999999999985</v>
      </c>
      <c r="G293" s="14">
        <v>313.33333333333331</v>
      </c>
      <c r="H293" s="14">
        <v>107.33333333333333</v>
      </c>
      <c r="I293" s="14">
        <v>417.33333333333331</v>
      </c>
    </row>
    <row r="294" spans="1:11" ht="16.5" x14ac:dyDescent="0.2">
      <c r="A294" s="4" t="s">
        <v>316</v>
      </c>
      <c r="B294">
        <v>2011</v>
      </c>
      <c r="C294" s="14">
        <v>461.99999999999994</v>
      </c>
      <c r="D294" s="14">
        <v>2.6666666666666665</v>
      </c>
      <c r="E294" s="14">
        <v>7639.9999999999991</v>
      </c>
      <c r="F294" s="14">
        <v>88889.333333333328</v>
      </c>
      <c r="G294" s="14">
        <v>326</v>
      </c>
      <c r="H294" s="14">
        <v>107.99999999999999</v>
      </c>
      <c r="I294" s="14">
        <v>424</v>
      </c>
      <c r="K294" s="15"/>
    </row>
    <row r="295" spans="1:11" ht="16.5" x14ac:dyDescent="0.2">
      <c r="A295" s="4" t="s">
        <v>316</v>
      </c>
      <c r="B295">
        <v>2012</v>
      </c>
      <c r="C295" s="14">
        <v>461.99999999999994</v>
      </c>
      <c r="D295" s="14">
        <v>2.6666666666666665</v>
      </c>
      <c r="E295" s="14">
        <v>7639.333333333333</v>
      </c>
      <c r="F295" s="14">
        <v>88882.666666666657</v>
      </c>
      <c r="G295" s="14">
        <v>333.33333333333331</v>
      </c>
      <c r="H295" s="14">
        <v>117.99999999999999</v>
      </c>
      <c r="I295" s="14">
        <v>424</v>
      </c>
    </row>
    <row r="296" spans="1:11" ht="16.5" x14ac:dyDescent="0.2">
      <c r="A296" s="4" t="s">
        <v>316</v>
      </c>
      <c r="B296">
        <v>2013</v>
      </c>
      <c r="C296" s="14">
        <v>473.33333333333331</v>
      </c>
      <c r="D296" s="14">
        <v>2.6666666666666665</v>
      </c>
      <c r="E296" s="14">
        <v>7617.3333333333321</v>
      </c>
      <c r="F296" s="14">
        <v>88885.999999999985</v>
      </c>
      <c r="G296" s="14">
        <v>333.33333333333331</v>
      </c>
      <c r="H296" s="14">
        <v>122.66666666666664</v>
      </c>
      <c r="I296" s="14">
        <v>428</v>
      </c>
      <c r="K296" s="15"/>
    </row>
    <row r="297" spans="1:11" ht="16.5" x14ac:dyDescent="0.2">
      <c r="A297" s="4" t="s">
        <v>316</v>
      </c>
      <c r="B297">
        <v>2014</v>
      </c>
      <c r="C297" s="14">
        <v>473.33333333333331</v>
      </c>
      <c r="D297" s="14">
        <v>2.6666666666666665</v>
      </c>
      <c r="E297" s="14">
        <v>7617.3333333333321</v>
      </c>
      <c r="F297" s="14">
        <v>88883.333333333328</v>
      </c>
      <c r="G297" s="14">
        <v>333.99999999999994</v>
      </c>
      <c r="H297" s="14">
        <v>128.66666666666666</v>
      </c>
      <c r="I297" s="14">
        <v>428.66666666666663</v>
      </c>
    </row>
    <row r="298" spans="1:11" ht="16.5" x14ac:dyDescent="0.2">
      <c r="A298" s="4" t="s">
        <v>316</v>
      </c>
      <c r="B298">
        <v>2015</v>
      </c>
      <c r="C298" s="14">
        <v>472.66666666666669</v>
      </c>
      <c r="D298" s="14">
        <v>2.6666666666666665</v>
      </c>
      <c r="E298" s="14">
        <v>7616.6666666666661</v>
      </c>
      <c r="F298" s="14">
        <v>88869.999999999985</v>
      </c>
      <c r="G298" s="14">
        <v>340.66666666666663</v>
      </c>
      <c r="H298" s="14">
        <v>144</v>
      </c>
      <c r="I298" s="14">
        <v>428.66666666666663</v>
      </c>
      <c r="K298" s="15"/>
    </row>
    <row r="299" spans="1:11" ht="16.5" x14ac:dyDescent="0.2">
      <c r="A299" s="4" t="s">
        <v>316</v>
      </c>
      <c r="B299">
        <v>2016</v>
      </c>
      <c r="C299" s="14">
        <v>472.66666666666669</v>
      </c>
      <c r="D299" s="14">
        <v>2.6666666666666665</v>
      </c>
      <c r="E299" s="14">
        <v>7615.3333333333321</v>
      </c>
      <c r="F299" s="14">
        <v>88831.333333333328</v>
      </c>
      <c r="G299" s="14">
        <v>347.33333333333326</v>
      </c>
      <c r="H299" s="14">
        <v>211.33333333333331</v>
      </c>
      <c r="I299" s="14">
        <v>428.66666666666663</v>
      </c>
    </row>
    <row r="300" spans="1:11" ht="16.5" x14ac:dyDescent="0.2">
      <c r="A300" s="4" t="s">
        <v>315</v>
      </c>
      <c r="B300">
        <v>2009</v>
      </c>
      <c r="C300" s="14">
        <v>50419.333333333328</v>
      </c>
      <c r="D300" s="14">
        <v>4777.333333333333</v>
      </c>
      <c r="E300" s="14">
        <v>56352.666666666657</v>
      </c>
      <c r="F300" s="14">
        <v>10978</v>
      </c>
      <c r="G300" s="14">
        <v>11962.666666666666</v>
      </c>
      <c r="H300" s="14">
        <v>3232.6666666666661</v>
      </c>
      <c r="I300" s="14">
        <v>9638.6666666666661</v>
      </c>
      <c r="K300" s="15"/>
    </row>
    <row r="301" spans="1:11" ht="16.5" x14ac:dyDescent="0.2">
      <c r="A301" s="4" t="s">
        <v>315</v>
      </c>
      <c r="B301">
        <v>2010</v>
      </c>
      <c r="C301" s="14">
        <v>50312</v>
      </c>
      <c r="D301" s="14">
        <v>4758</v>
      </c>
      <c r="E301" s="14">
        <v>56307.333333333328</v>
      </c>
      <c r="F301" s="14">
        <v>10930.666666666664</v>
      </c>
      <c r="G301" s="14">
        <v>12253.999999999998</v>
      </c>
      <c r="H301" s="14">
        <v>3265.9999999999995</v>
      </c>
      <c r="I301" s="14">
        <v>9523.9999999999982</v>
      </c>
    </row>
    <row r="302" spans="1:11" ht="16.5" x14ac:dyDescent="0.2">
      <c r="A302" s="4" t="s">
        <v>315</v>
      </c>
      <c r="B302">
        <v>2011</v>
      </c>
      <c r="C302" s="14">
        <v>50132</v>
      </c>
      <c r="D302" s="14">
        <v>4738.6666666666661</v>
      </c>
      <c r="E302" s="14">
        <v>56265.999999999993</v>
      </c>
      <c r="F302" s="14">
        <v>10862.666666666666</v>
      </c>
      <c r="G302" s="14">
        <v>12489.333333333332</v>
      </c>
      <c r="H302" s="14">
        <v>3311.333333333333</v>
      </c>
      <c r="I302" s="14">
        <v>9589.3333333333339</v>
      </c>
      <c r="K302" s="15"/>
    </row>
    <row r="303" spans="1:11" ht="16.5" x14ac:dyDescent="0.2">
      <c r="A303" s="4" t="s">
        <v>315</v>
      </c>
      <c r="B303">
        <v>2012</v>
      </c>
      <c r="C303" s="14">
        <v>49988.666666666664</v>
      </c>
      <c r="D303" s="14">
        <v>4721.333333333333</v>
      </c>
      <c r="E303" s="14">
        <v>56235.999999999993</v>
      </c>
      <c r="F303" s="14">
        <v>10843.999999999998</v>
      </c>
      <c r="G303" s="14">
        <v>12678.666666666666</v>
      </c>
      <c r="H303" s="14">
        <v>3347.9999999999995</v>
      </c>
      <c r="I303" s="14">
        <v>9568.6666666666661</v>
      </c>
    </row>
    <row r="304" spans="1:11" ht="16.5" x14ac:dyDescent="0.2">
      <c r="A304" s="4" t="s">
        <v>315</v>
      </c>
      <c r="B304">
        <v>2013</v>
      </c>
      <c r="C304" s="14">
        <v>49898.666666666664</v>
      </c>
      <c r="D304" s="14">
        <v>4707.333333333333</v>
      </c>
      <c r="E304" s="14">
        <v>56208</v>
      </c>
      <c r="F304" s="14">
        <v>10822.666666666666</v>
      </c>
      <c r="G304" s="14">
        <v>12786.666666666666</v>
      </c>
      <c r="H304" s="14">
        <v>3370.6666666666665</v>
      </c>
      <c r="I304" s="14">
        <v>9578</v>
      </c>
      <c r="K304" s="15"/>
    </row>
    <row r="305" spans="1:11" ht="16.5" x14ac:dyDescent="0.2">
      <c r="A305" s="4" t="s">
        <v>315</v>
      </c>
      <c r="B305">
        <v>2014</v>
      </c>
      <c r="C305" s="14">
        <v>49816.666666666664</v>
      </c>
      <c r="D305" s="14">
        <v>4693.333333333333</v>
      </c>
      <c r="E305" s="14">
        <v>56186.666666666664</v>
      </c>
      <c r="F305" s="14">
        <v>10806.666666666666</v>
      </c>
      <c r="G305" s="14">
        <v>12891.333333333332</v>
      </c>
      <c r="H305" s="14">
        <v>3403.333333333333</v>
      </c>
      <c r="I305" s="14">
        <v>9557.3333333333321</v>
      </c>
    </row>
    <row r="306" spans="1:11" ht="16.5" x14ac:dyDescent="0.2">
      <c r="A306" s="4" t="s">
        <v>315</v>
      </c>
      <c r="B306">
        <v>2015</v>
      </c>
      <c r="C306" s="14">
        <v>49774</v>
      </c>
      <c r="D306" s="14">
        <v>4685.9999999999991</v>
      </c>
      <c r="E306" s="14">
        <v>56170.666666666664</v>
      </c>
      <c r="F306" s="14">
        <v>10788</v>
      </c>
      <c r="G306" s="14">
        <v>12974.666666666664</v>
      </c>
      <c r="H306" s="14">
        <v>3435.3333333333326</v>
      </c>
      <c r="I306" s="14">
        <v>9525.3333333333321</v>
      </c>
      <c r="K306" s="15"/>
    </row>
    <row r="307" spans="1:11" ht="16.5" x14ac:dyDescent="0.2">
      <c r="A307" s="4" t="s">
        <v>315</v>
      </c>
      <c r="B307">
        <v>2016</v>
      </c>
      <c r="C307" s="14">
        <v>49745.333333333328</v>
      </c>
      <c r="D307" s="14">
        <v>4681.9999999999991</v>
      </c>
      <c r="E307" s="14">
        <v>56158.666666666657</v>
      </c>
      <c r="F307" s="14">
        <v>10779.333333333332</v>
      </c>
      <c r="G307" s="14">
        <v>13019.333333333332</v>
      </c>
      <c r="H307" s="14">
        <v>3455.9999999999995</v>
      </c>
      <c r="I307" s="14">
        <v>9503.9999999999982</v>
      </c>
    </row>
    <row r="308" spans="1:11" ht="16.5" x14ac:dyDescent="0.2">
      <c r="A308" s="4" t="s">
        <v>314</v>
      </c>
      <c r="B308">
        <v>2009</v>
      </c>
      <c r="C308" s="14">
        <v>7723.9999999999991</v>
      </c>
      <c r="D308" s="14">
        <v>92.666666666666657</v>
      </c>
      <c r="E308" s="14">
        <v>1547.9999999999998</v>
      </c>
      <c r="F308" s="14">
        <v>216.66666666666666</v>
      </c>
      <c r="G308" s="14">
        <v>1688.6666666666665</v>
      </c>
      <c r="H308" s="14">
        <v>464.66666666666663</v>
      </c>
      <c r="I308" s="14">
        <v>1012.6666666666666</v>
      </c>
      <c r="K308" s="15"/>
    </row>
    <row r="309" spans="1:11" ht="16.5" x14ac:dyDescent="0.2">
      <c r="A309" s="4" t="s">
        <v>314</v>
      </c>
      <c r="B309">
        <v>2010</v>
      </c>
      <c r="C309" s="14">
        <v>7718.6666666666661</v>
      </c>
      <c r="D309" s="14">
        <v>92</v>
      </c>
      <c r="E309" s="14">
        <v>1545.3333333333333</v>
      </c>
      <c r="F309" s="14">
        <v>202.66666666666663</v>
      </c>
      <c r="G309" s="14">
        <v>1727.3333333333333</v>
      </c>
      <c r="H309" s="14">
        <v>466</v>
      </c>
      <c r="I309" s="14">
        <v>998.66666666666663</v>
      </c>
    </row>
    <row r="310" spans="1:11" ht="16.5" x14ac:dyDescent="0.2">
      <c r="A310" s="4" t="s">
        <v>314</v>
      </c>
      <c r="B310">
        <v>2011</v>
      </c>
      <c r="C310" s="14">
        <v>7667.3333333333321</v>
      </c>
      <c r="D310" s="14">
        <v>90.666666666666657</v>
      </c>
      <c r="E310" s="14">
        <v>1541.333333333333</v>
      </c>
      <c r="F310" s="14">
        <v>193.33333333333331</v>
      </c>
      <c r="G310" s="14">
        <v>1766.6666666666665</v>
      </c>
      <c r="H310" s="14">
        <v>479.99999999999994</v>
      </c>
      <c r="I310" s="14">
        <v>1009.3333333333333</v>
      </c>
      <c r="K310" s="15"/>
    </row>
    <row r="311" spans="1:11" ht="16.5" x14ac:dyDescent="0.2">
      <c r="A311" s="4" t="s">
        <v>314</v>
      </c>
      <c r="B311">
        <v>2012</v>
      </c>
      <c r="C311" s="14">
        <v>7626</v>
      </c>
      <c r="D311" s="14">
        <v>87.999999999999986</v>
      </c>
      <c r="E311" s="14">
        <v>1535.3333333333333</v>
      </c>
      <c r="F311" s="14">
        <v>195.99999999999997</v>
      </c>
      <c r="G311" s="14">
        <v>1811.3333333333335</v>
      </c>
      <c r="H311" s="14">
        <v>486.66666666666663</v>
      </c>
      <c r="I311" s="14">
        <v>1004.6666666666665</v>
      </c>
    </row>
    <row r="312" spans="1:11" ht="16.5" x14ac:dyDescent="0.2">
      <c r="A312" s="4" t="s">
        <v>314</v>
      </c>
      <c r="B312">
        <v>2013</v>
      </c>
      <c r="C312" s="14">
        <v>7606</v>
      </c>
      <c r="D312" s="14">
        <v>87.333333333333329</v>
      </c>
      <c r="E312" s="14">
        <v>1532.6666666666665</v>
      </c>
      <c r="F312" s="14">
        <v>197.33333333333331</v>
      </c>
      <c r="G312" s="14">
        <v>1826.6666666666665</v>
      </c>
      <c r="H312" s="14">
        <v>493.33333333333331</v>
      </c>
      <c r="I312" s="14">
        <v>1003.3333333333333</v>
      </c>
      <c r="K312" s="15"/>
    </row>
    <row r="313" spans="1:11" ht="16.5" x14ac:dyDescent="0.2">
      <c r="A313" s="4" t="s">
        <v>314</v>
      </c>
      <c r="B313">
        <v>2014</v>
      </c>
      <c r="C313" s="14">
        <v>7583.333333333333</v>
      </c>
      <c r="D313" s="14">
        <v>86.666666666666657</v>
      </c>
      <c r="E313" s="14">
        <v>1530.6666666666665</v>
      </c>
      <c r="F313" s="14">
        <v>194.66666666666666</v>
      </c>
      <c r="G313" s="14">
        <v>1847.3333333333333</v>
      </c>
      <c r="H313" s="14">
        <v>496</v>
      </c>
      <c r="I313" s="14">
        <v>1002.6666666666666</v>
      </c>
    </row>
    <row r="314" spans="1:11" ht="16.5" x14ac:dyDescent="0.2">
      <c r="A314" s="4" t="s">
        <v>314</v>
      </c>
      <c r="B314">
        <v>2015</v>
      </c>
      <c r="C314" s="14">
        <v>7567.3333333333321</v>
      </c>
      <c r="D314" s="14">
        <v>85.333333333333329</v>
      </c>
      <c r="E314" s="14">
        <v>1528.6666666666665</v>
      </c>
      <c r="F314" s="14">
        <v>193.33333333333331</v>
      </c>
      <c r="G314" s="14">
        <v>1868.6666666666665</v>
      </c>
      <c r="H314" s="14">
        <v>497.33333333333326</v>
      </c>
      <c r="I314" s="14">
        <v>1001.3333333333331</v>
      </c>
      <c r="K314" s="15"/>
    </row>
    <row r="315" spans="1:11" ht="16.5" x14ac:dyDescent="0.2">
      <c r="A315" s="4" t="s">
        <v>314</v>
      </c>
      <c r="B315">
        <v>2016</v>
      </c>
      <c r="C315" s="14">
        <v>7558.6666666666661</v>
      </c>
      <c r="D315" s="14">
        <v>85.333333333333329</v>
      </c>
      <c r="E315" s="14">
        <v>1526.6666666666665</v>
      </c>
      <c r="F315" s="14">
        <v>192</v>
      </c>
      <c r="G315" s="14">
        <v>1878.666666666667</v>
      </c>
      <c r="H315" s="14">
        <v>500.66666666666657</v>
      </c>
      <c r="I315" s="14">
        <v>999.99999999999989</v>
      </c>
    </row>
    <row r="316" spans="1:11" ht="16.5" x14ac:dyDescent="0.2">
      <c r="A316" s="4" t="s">
        <v>313</v>
      </c>
      <c r="B316">
        <v>2009</v>
      </c>
      <c r="C316" s="14">
        <v>4218.6666666666661</v>
      </c>
      <c r="D316" s="14">
        <v>887.99999999999989</v>
      </c>
      <c r="E316" s="14">
        <v>3777.333333333333</v>
      </c>
      <c r="F316" s="14">
        <v>803.33333333333326</v>
      </c>
      <c r="G316" s="14">
        <v>1811.9999999999995</v>
      </c>
      <c r="H316" s="14">
        <v>394</v>
      </c>
      <c r="I316" s="14">
        <v>1528.6666666666665</v>
      </c>
      <c r="K316" s="15"/>
    </row>
    <row r="317" spans="1:11" ht="16.5" x14ac:dyDescent="0.2">
      <c r="A317" s="4" t="s">
        <v>313</v>
      </c>
      <c r="B317">
        <v>2010</v>
      </c>
      <c r="C317" s="14">
        <v>4204.666666666667</v>
      </c>
      <c r="D317" s="14">
        <v>881.33333333333314</v>
      </c>
      <c r="E317" s="14">
        <v>3768.6666666666661</v>
      </c>
      <c r="F317" s="14">
        <v>795.33333333333326</v>
      </c>
      <c r="G317" s="14">
        <v>1850.6666666666667</v>
      </c>
      <c r="H317" s="14">
        <v>398</v>
      </c>
      <c r="I317" s="14">
        <v>1526</v>
      </c>
    </row>
    <row r="318" spans="1:11" ht="16.5" x14ac:dyDescent="0.2">
      <c r="A318" s="4" t="s">
        <v>313</v>
      </c>
      <c r="B318">
        <v>2011</v>
      </c>
      <c r="C318" s="14">
        <v>4188</v>
      </c>
      <c r="D318" s="14">
        <v>874.66666666666652</v>
      </c>
      <c r="E318" s="14">
        <v>3758.6666666666661</v>
      </c>
      <c r="F318" s="14">
        <v>788</v>
      </c>
      <c r="G318" s="14">
        <v>1896.6666666666665</v>
      </c>
      <c r="H318" s="14">
        <v>410.66666666666663</v>
      </c>
      <c r="I318" s="14">
        <v>1522</v>
      </c>
      <c r="K318" s="15"/>
    </row>
    <row r="319" spans="1:11" ht="16.5" x14ac:dyDescent="0.2">
      <c r="A319" s="4" t="s">
        <v>313</v>
      </c>
      <c r="B319">
        <v>2012</v>
      </c>
      <c r="C319" s="14">
        <v>4174.666666666667</v>
      </c>
      <c r="D319" s="14">
        <v>869.33333333333326</v>
      </c>
      <c r="E319" s="14">
        <v>3754</v>
      </c>
      <c r="F319" s="14">
        <v>779.99999999999989</v>
      </c>
      <c r="G319" s="14">
        <v>1934.6666666666665</v>
      </c>
      <c r="H319" s="14">
        <v>415.99999999999994</v>
      </c>
      <c r="I319" s="14">
        <v>1512</v>
      </c>
    </row>
    <row r="320" spans="1:11" ht="16.5" x14ac:dyDescent="0.2">
      <c r="A320" s="4" t="s">
        <v>313</v>
      </c>
      <c r="B320">
        <v>2013</v>
      </c>
      <c r="C320" s="14">
        <v>4162.6666666666661</v>
      </c>
      <c r="D320" s="14">
        <v>863.99999999999989</v>
      </c>
      <c r="E320" s="14">
        <v>3749.333333333333</v>
      </c>
      <c r="F320" s="14">
        <v>773.33333333333326</v>
      </c>
      <c r="G320" s="14">
        <v>1963.3333333333333</v>
      </c>
      <c r="H320" s="14">
        <v>418</v>
      </c>
      <c r="I320" s="14">
        <v>1507.9999999999998</v>
      </c>
      <c r="K320" s="15"/>
    </row>
    <row r="321" spans="1:11" ht="16.5" x14ac:dyDescent="0.2">
      <c r="A321" s="4" t="s">
        <v>313</v>
      </c>
      <c r="B321">
        <v>2014</v>
      </c>
      <c r="C321" s="14">
        <v>4154.666666666667</v>
      </c>
      <c r="D321" s="14">
        <v>862</v>
      </c>
      <c r="E321" s="14">
        <v>3747.333333333333</v>
      </c>
      <c r="F321" s="14">
        <v>771.33333333333326</v>
      </c>
      <c r="G321" s="14">
        <v>1972</v>
      </c>
      <c r="H321" s="14">
        <v>425.33333333333326</v>
      </c>
      <c r="I321" s="14">
        <v>1505.3333333333333</v>
      </c>
    </row>
    <row r="322" spans="1:11" ht="16.5" x14ac:dyDescent="0.2">
      <c r="A322" s="4" t="s">
        <v>313</v>
      </c>
      <c r="B322">
        <v>2015</v>
      </c>
      <c r="C322" s="14">
        <v>4154</v>
      </c>
      <c r="D322" s="14">
        <v>859.99999999999989</v>
      </c>
      <c r="E322" s="14">
        <v>3744.6666666666665</v>
      </c>
      <c r="F322" s="14">
        <v>765.33333333333326</v>
      </c>
      <c r="G322" s="14">
        <v>1981.333333333333</v>
      </c>
      <c r="H322" s="14">
        <v>429.99999999999994</v>
      </c>
      <c r="I322" s="14">
        <v>1502.6666666666665</v>
      </c>
      <c r="K322" s="15"/>
    </row>
    <row r="323" spans="1:11" ht="16.5" x14ac:dyDescent="0.2">
      <c r="A323" s="4" t="s">
        <v>313</v>
      </c>
      <c r="B323">
        <v>2016</v>
      </c>
      <c r="C323" s="14">
        <v>4152.6666666666661</v>
      </c>
      <c r="D323" s="14">
        <v>859.33333333333326</v>
      </c>
      <c r="E323" s="14">
        <v>3744</v>
      </c>
      <c r="F323" s="14">
        <v>762.66666666666663</v>
      </c>
      <c r="G323" s="14">
        <v>1986.6666666666665</v>
      </c>
      <c r="H323" s="14">
        <v>431.33333333333331</v>
      </c>
      <c r="I323" s="14">
        <v>1501.333333333333</v>
      </c>
    </row>
    <row r="324" spans="1:11" ht="16.5" x14ac:dyDescent="0.2">
      <c r="A324" s="4" t="s">
        <v>312</v>
      </c>
      <c r="B324">
        <v>2009</v>
      </c>
      <c r="C324" s="14">
        <v>3045.9999999999995</v>
      </c>
      <c r="D324" s="14">
        <v>395.99999999999994</v>
      </c>
      <c r="E324" s="14">
        <v>4125.333333333333</v>
      </c>
      <c r="F324" s="14">
        <v>189.99999999999997</v>
      </c>
      <c r="G324" s="14">
        <v>908.66666666666663</v>
      </c>
      <c r="H324" s="14">
        <v>169.33333333333331</v>
      </c>
      <c r="I324" s="14">
        <v>374</v>
      </c>
      <c r="K324" s="15"/>
    </row>
    <row r="325" spans="1:11" ht="16.5" x14ac:dyDescent="0.2">
      <c r="A325" s="4" t="s">
        <v>312</v>
      </c>
      <c r="B325">
        <v>2010</v>
      </c>
      <c r="C325" s="14">
        <v>3039.9999999999995</v>
      </c>
      <c r="D325" s="14">
        <v>395.33333333333326</v>
      </c>
      <c r="E325" s="14">
        <v>4121.9999999999991</v>
      </c>
      <c r="F325" s="14">
        <v>189.99999999999997</v>
      </c>
      <c r="G325" s="14">
        <v>920.66666666666674</v>
      </c>
      <c r="H325" s="14">
        <v>169.33333333333331</v>
      </c>
      <c r="I325" s="14">
        <v>373.33333333333331</v>
      </c>
    </row>
    <row r="326" spans="1:11" ht="16.5" x14ac:dyDescent="0.2">
      <c r="A326" s="4" t="s">
        <v>312</v>
      </c>
      <c r="B326">
        <v>2011</v>
      </c>
      <c r="C326" s="14">
        <v>3032.6666666666661</v>
      </c>
      <c r="D326" s="14">
        <v>394.66666666666663</v>
      </c>
      <c r="E326" s="14">
        <v>4120.6666666666661</v>
      </c>
      <c r="F326" s="14">
        <v>189.33333333333331</v>
      </c>
      <c r="G326" s="14">
        <v>929.99999999999989</v>
      </c>
      <c r="H326" s="14">
        <v>169.99999999999997</v>
      </c>
      <c r="I326" s="14">
        <v>373.33333333333331</v>
      </c>
      <c r="K326" s="15"/>
    </row>
    <row r="327" spans="1:11" ht="16.5" x14ac:dyDescent="0.2">
      <c r="A327" s="4" t="s">
        <v>312</v>
      </c>
      <c r="B327">
        <v>2012</v>
      </c>
      <c r="C327" s="14">
        <v>3025.333333333333</v>
      </c>
      <c r="D327" s="14">
        <v>394</v>
      </c>
      <c r="E327" s="14">
        <v>4119.333333333333</v>
      </c>
      <c r="F327" s="14">
        <v>190.66666666666666</v>
      </c>
      <c r="G327" s="14">
        <v>936.66666666666663</v>
      </c>
      <c r="H327" s="14">
        <v>171.33333333333331</v>
      </c>
      <c r="I327" s="14">
        <v>372.66666666666663</v>
      </c>
    </row>
    <row r="328" spans="1:11" ht="16.5" x14ac:dyDescent="0.2">
      <c r="A328" s="4" t="s">
        <v>312</v>
      </c>
      <c r="B328">
        <v>2013</v>
      </c>
      <c r="C328" s="14">
        <v>3020.6666666666665</v>
      </c>
      <c r="D328" s="14">
        <v>393.33333333333331</v>
      </c>
      <c r="E328" s="14">
        <v>4118</v>
      </c>
      <c r="F328" s="14">
        <v>189.99999999999997</v>
      </c>
      <c r="G328" s="14">
        <v>942.66666666666663</v>
      </c>
      <c r="H328" s="14">
        <v>173.33333333333331</v>
      </c>
      <c r="I328" s="14">
        <v>371.33333333333331</v>
      </c>
      <c r="K328" s="15"/>
    </row>
    <row r="329" spans="1:11" ht="16.5" x14ac:dyDescent="0.2">
      <c r="A329" s="4" t="s">
        <v>312</v>
      </c>
      <c r="B329">
        <v>2014</v>
      </c>
      <c r="C329" s="14">
        <v>3014</v>
      </c>
      <c r="D329" s="14">
        <v>390.66666666666663</v>
      </c>
      <c r="E329" s="14">
        <v>4112.6666666666661</v>
      </c>
      <c r="F329" s="14">
        <v>187.99999999999997</v>
      </c>
      <c r="G329" s="14">
        <v>957.33333333333326</v>
      </c>
      <c r="H329" s="14">
        <v>175.33333333333331</v>
      </c>
      <c r="I329" s="14">
        <v>370.66666666666663</v>
      </c>
    </row>
    <row r="330" spans="1:11" ht="16.5" x14ac:dyDescent="0.2">
      <c r="A330" s="4" t="s">
        <v>312</v>
      </c>
      <c r="B330">
        <v>2015</v>
      </c>
      <c r="C330" s="14">
        <v>3007.9999999999995</v>
      </c>
      <c r="D330" s="14">
        <v>389.99999999999994</v>
      </c>
      <c r="E330" s="14">
        <v>4111.333333333333</v>
      </c>
      <c r="F330" s="14">
        <v>187.33333333333331</v>
      </c>
      <c r="G330" s="14">
        <v>965.33333333333337</v>
      </c>
      <c r="H330" s="14">
        <v>175.99999999999997</v>
      </c>
      <c r="I330" s="14">
        <v>369.99999999999994</v>
      </c>
      <c r="K330" s="15"/>
    </row>
    <row r="331" spans="1:11" ht="16.5" x14ac:dyDescent="0.2">
      <c r="A331" s="4" t="s">
        <v>312</v>
      </c>
      <c r="B331">
        <v>2016</v>
      </c>
      <c r="C331" s="14">
        <v>3005.333333333333</v>
      </c>
      <c r="D331" s="14">
        <v>389.33333333333331</v>
      </c>
      <c r="E331" s="14">
        <v>4110.6666666666661</v>
      </c>
      <c r="F331" s="14">
        <v>187.33333333333331</v>
      </c>
      <c r="G331" s="14">
        <v>968.66666666666663</v>
      </c>
      <c r="H331" s="14">
        <v>175.99999999999997</v>
      </c>
      <c r="I331" s="14">
        <v>369.99999999999994</v>
      </c>
    </row>
    <row r="332" spans="1:11" ht="16.5" x14ac:dyDescent="0.2">
      <c r="A332" s="4" t="s">
        <v>311</v>
      </c>
      <c r="B332">
        <v>2009</v>
      </c>
      <c r="C332" s="14">
        <v>1882</v>
      </c>
      <c r="D332" s="14">
        <v>60.666666666666657</v>
      </c>
      <c r="E332" s="14">
        <v>8177.3333333333321</v>
      </c>
      <c r="F332" s="14">
        <v>177.33333333333331</v>
      </c>
      <c r="G332" s="14">
        <v>462.66666666666669</v>
      </c>
      <c r="H332" s="14">
        <v>155.33333333333331</v>
      </c>
      <c r="I332" s="14">
        <v>333.33333333333331</v>
      </c>
      <c r="K332" s="15"/>
    </row>
    <row r="333" spans="1:11" ht="16.5" x14ac:dyDescent="0.2">
      <c r="A333" s="4" t="s">
        <v>311</v>
      </c>
      <c r="B333">
        <v>2010</v>
      </c>
      <c r="C333" s="14">
        <v>1875.9999999999998</v>
      </c>
      <c r="D333" s="14">
        <v>60.666666666666657</v>
      </c>
      <c r="E333" s="14">
        <v>8174.6666666666661</v>
      </c>
      <c r="F333" s="14">
        <v>176.66666666666666</v>
      </c>
      <c r="G333" s="14">
        <v>469.99999999999994</v>
      </c>
      <c r="H333" s="14">
        <v>155.33333333333331</v>
      </c>
      <c r="I333" s="14">
        <v>333.33333333333331</v>
      </c>
    </row>
    <row r="334" spans="1:11" ht="16.5" x14ac:dyDescent="0.2">
      <c r="A334" s="4" t="s">
        <v>311</v>
      </c>
      <c r="B334">
        <v>2011</v>
      </c>
      <c r="C334" s="14">
        <v>1867.3333333333333</v>
      </c>
      <c r="D334" s="14">
        <v>59.999999999999993</v>
      </c>
      <c r="E334" s="14">
        <v>8173.333333333333</v>
      </c>
      <c r="F334" s="14">
        <v>175.99999999999997</v>
      </c>
      <c r="G334" s="14">
        <v>481.3333333333332</v>
      </c>
      <c r="H334" s="14">
        <v>155.33333333333331</v>
      </c>
      <c r="I334" s="14">
        <v>333.33333333333331</v>
      </c>
      <c r="K334" s="15"/>
    </row>
    <row r="335" spans="1:11" ht="16.5" x14ac:dyDescent="0.2">
      <c r="A335" s="4" t="s">
        <v>311</v>
      </c>
      <c r="B335">
        <v>2012</v>
      </c>
      <c r="C335" s="14">
        <v>1857.9999999999998</v>
      </c>
      <c r="D335" s="14">
        <v>59.999999999999993</v>
      </c>
      <c r="E335" s="14">
        <v>8171.9999999999991</v>
      </c>
      <c r="F335" s="14">
        <v>177.33333333333331</v>
      </c>
      <c r="G335" s="14">
        <v>491.33333333333331</v>
      </c>
      <c r="H335" s="14">
        <v>155.33333333333331</v>
      </c>
      <c r="I335" s="14">
        <v>332.66666666666663</v>
      </c>
    </row>
    <row r="336" spans="1:11" ht="16.5" x14ac:dyDescent="0.2">
      <c r="A336" s="4" t="s">
        <v>311</v>
      </c>
      <c r="B336">
        <v>2013</v>
      </c>
      <c r="C336" s="14">
        <v>1854.6666666666665</v>
      </c>
      <c r="D336" s="14">
        <v>59.999999999999993</v>
      </c>
      <c r="E336" s="14">
        <v>8171.333333333333</v>
      </c>
      <c r="F336" s="14">
        <v>175.99999999999997</v>
      </c>
      <c r="G336" s="14">
        <v>496.66666666666674</v>
      </c>
      <c r="H336" s="14">
        <v>155.99999999999997</v>
      </c>
      <c r="I336" s="14">
        <v>331.99999999999994</v>
      </c>
      <c r="K336" s="15"/>
    </row>
    <row r="337" spans="1:11" ht="16.5" x14ac:dyDescent="0.2">
      <c r="A337" s="4" t="s">
        <v>311</v>
      </c>
      <c r="B337">
        <v>2014</v>
      </c>
      <c r="C337" s="14">
        <v>1851.333333333333</v>
      </c>
      <c r="D337" s="14">
        <v>59.999999999999993</v>
      </c>
      <c r="E337" s="14">
        <v>8170.6666666666652</v>
      </c>
      <c r="F337" s="14">
        <v>175.99999999999997</v>
      </c>
      <c r="G337" s="14">
        <v>500.66666666666669</v>
      </c>
      <c r="H337" s="14">
        <v>155.99999999999997</v>
      </c>
      <c r="I337" s="14">
        <v>331.99999999999994</v>
      </c>
    </row>
    <row r="338" spans="1:11" ht="16.5" x14ac:dyDescent="0.2">
      <c r="A338" s="4" t="s">
        <v>311</v>
      </c>
      <c r="B338">
        <v>2015</v>
      </c>
      <c r="C338" s="14">
        <v>1849.9999999999998</v>
      </c>
      <c r="D338" s="14">
        <v>59.999999999999993</v>
      </c>
      <c r="E338" s="14">
        <v>8170.6666666666652</v>
      </c>
      <c r="F338" s="14">
        <v>175.33333333333331</v>
      </c>
      <c r="G338" s="14">
        <v>502.66666666666669</v>
      </c>
      <c r="H338" s="14">
        <v>156.66666666666666</v>
      </c>
      <c r="I338" s="14">
        <v>331.33333333333331</v>
      </c>
      <c r="K338" s="15"/>
    </row>
    <row r="339" spans="1:11" ht="16.5" x14ac:dyDescent="0.2">
      <c r="A339" s="4" t="s">
        <v>311</v>
      </c>
      <c r="B339">
        <v>2016</v>
      </c>
      <c r="C339" s="14">
        <v>1845.9999999999998</v>
      </c>
      <c r="D339" s="14">
        <v>59.333333333333329</v>
      </c>
      <c r="E339" s="14">
        <v>8168.6666666666661</v>
      </c>
      <c r="F339" s="14">
        <v>175.33333333333331</v>
      </c>
      <c r="G339" s="14">
        <v>504</v>
      </c>
      <c r="H339" s="14">
        <v>162</v>
      </c>
      <c r="I339" s="14">
        <v>331.33333333333331</v>
      </c>
    </row>
    <row r="340" spans="1:11" ht="16.5" x14ac:dyDescent="0.2">
      <c r="A340" s="4" t="s">
        <v>310</v>
      </c>
      <c r="B340">
        <v>2009</v>
      </c>
      <c r="C340" s="14">
        <v>861.33333333333314</v>
      </c>
      <c r="D340" s="14">
        <v>79.333333333333329</v>
      </c>
      <c r="E340" s="14">
        <v>6614.6666666666661</v>
      </c>
      <c r="F340" s="14">
        <v>108.66666666666666</v>
      </c>
      <c r="G340" s="14">
        <v>330.66666666666657</v>
      </c>
      <c r="H340" s="14">
        <v>99.333333333333329</v>
      </c>
      <c r="I340" s="14">
        <v>302.66666666666663</v>
      </c>
      <c r="K340" s="15"/>
    </row>
    <row r="341" spans="1:11" ht="16.5" x14ac:dyDescent="0.2">
      <c r="A341" s="4" t="s">
        <v>310</v>
      </c>
      <c r="B341">
        <v>2010</v>
      </c>
      <c r="C341" s="14">
        <v>857.33333333333326</v>
      </c>
      <c r="D341" s="14">
        <v>78.666666666666671</v>
      </c>
      <c r="E341" s="14">
        <v>6614</v>
      </c>
      <c r="F341" s="14">
        <v>108.66666666666666</v>
      </c>
      <c r="G341" s="14">
        <v>336.66666666666663</v>
      </c>
      <c r="H341" s="14">
        <v>99.333333333333329</v>
      </c>
      <c r="I341" s="14">
        <v>301.99999999999994</v>
      </c>
    </row>
    <row r="342" spans="1:11" ht="16.5" x14ac:dyDescent="0.2">
      <c r="A342" s="4" t="s">
        <v>310</v>
      </c>
      <c r="B342">
        <v>2011</v>
      </c>
      <c r="C342" s="14">
        <v>853.33333333333326</v>
      </c>
      <c r="D342" s="14">
        <v>78.666666666666671</v>
      </c>
      <c r="E342" s="14">
        <v>6612.6666666666661</v>
      </c>
      <c r="F342" s="14">
        <v>106</v>
      </c>
      <c r="G342" s="14">
        <v>343.99999999999994</v>
      </c>
      <c r="H342" s="14">
        <v>99.999999999999986</v>
      </c>
      <c r="I342" s="14">
        <v>301.99999999999994</v>
      </c>
      <c r="K342" s="15"/>
    </row>
    <row r="343" spans="1:11" ht="16.5" x14ac:dyDescent="0.2">
      <c r="A343" s="4" t="s">
        <v>310</v>
      </c>
      <c r="B343">
        <v>2012</v>
      </c>
      <c r="C343" s="14">
        <v>849.33333333333326</v>
      </c>
      <c r="D343" s="14">
        <v>78.666666666666671</v>
      </c>
      <c r="E343" s="14">
        <v>6610.6666666666661</v>
      </c>
      <c r="F343" s="14">
        <v>105.33333333333333</v>
      </c>
      <c r="G343" s="14">
        <v>349.99999999999994</v>
      </c>
      <c r="H343" s="14">
        <v>101.33333333333331</v>
      </c>
      <c r="I343" s="14">
        <v>301.99999999999994</v>
      </c>
    </row>
    <row r="344" spans="1:11" ht="16.5" x14ac:dyDescent="0.2">
      <c r="A344" s="4" t="s">
        <v>310</v>
      </c>
      <c r="B344">
        <v>2013</v>
      </c>
      <c r="C344" s="14">
        <v>846</v>
      </c>
      <c r="D344" s="14">
        <v>78.666666666666671</v>
      </c>
      <c r="E344" s="14">
        <v>6607.333333333333</v>
      </c>
      <c r="F344" s="14">
        <v>105.33333333333333</v>
      </c>
      <c r="G344" s="14">
        <v>356</v>
      </c>
      <c r="H344" s="14">
        <v>101.33333333333331</v>
      </c>
      <c r="I344" s="14">
        <v>301.99999999999994</v>
      </c>
      <c r="K344" s="15"/>
    </row>
    <row r="345" spans="1:11" ht="16.5" x14ac:dyDescent="0.2">
      <c r="A345" s="4" t="s">
        <v>310</v>
      </c>
      <c r="B345">
        <v>2014</v>
      </c>
      <c r="C345" s="14">
        <v>844.66666666666663</v>
      </c>
      <c r="D345" s="14">
        <v>77.999999999999986</v>
      </c>
      <c r="E345" s="14">
        <v>6605.9999999999991</v>
      </c>
      <c r="F345" s="14">
        <v>104.66666666666666</v>
      </c>
      <c r="G345" s="14">
        <v>358.66666666666669</v>
      </c>
      <c r="H345" s="14">
        <v>101.33333333333331</v>
      </c>
      <c r="I345" s="14">
        <v>301.99999999999994</v>
      </c>
    </row>
    <row r="346" spans="1:11" ht="16.5" x14ac:dyDescent="0.2">
      <c r="A346" s="4" t="s">
        <v>310</v>
      </c>
      <c r="B346">
        <v>2015</v>
      </c>
      <c r="C346" s="14">
        <v>842.66666666666663</v>
      </c>
      <c r="D346" s="14">
        <v>77.999999999999986</v>
      </c>
      <c r="E346" s="14">
        <v>6604.6666666666661</v>
      </c>
      <c r="F346" s="14">
        <v>104.66666666666666</v>
      </c>
      <c r="G346" s="14">
        <v>361.99999999999994</v>
      </c>
      <c r="H346" s="14">
        <v>102.66666666666666</v>
      </c>
      <c r="I346" s="14">
        <v>301.33333333333331</v>
      </c>
      <c r="K346" s="15"/>
    </row>
    <row r="347" spans="1:11" ht="16.5" x14ac:dyDescent="0.2">
      <c r="A347" s="4" t="s">
        <v>310</v>
      </c>
      <c r="B347">
        <v>2016</v>
      </c>
      <c r="C347" s="14">
        <v>839.99999999999989</v>
      </c>
      <c r="D347" s="14">
        <v>77.999999999999986</v>
      </c>
      <c r="E347" s="14">
        <v>6603.333333333333</v>
      </c>
      <c r="F347" s="14">
        <v>104.66666666666666</v>
      </c>
      <c r="G347" s="14">
        <v>363.33333333333331</v>
      </c>
      <c r="H347" s="14">
        <v>105.33333333333333</v>
      </c>
      <c r="I347" s="14">
        <v>301.33333333333331</v>
      </c>
    </row>
    <row r="348" spans="1:11" ht="16.5" x14ac:dyDescent="0.2">
      <c r="A348" s="4" t="s">
        <v>309</v>
      </c>
      <c r="B348">
        <v>2009</v>
      </c>
      <c r="C348" s="14">
        <v>2488.6666666666665</v>
      </c>
      <c r="D348" s="14">
        <v>387.33333333333331</v>
      </c>
      <c r="E348" s="14">
        <v>9809.3333333333339</v>
      </c>
      <c r="F348" s="14">
        <v>293.33333333333331</v>
      </c>
      <c r="G348" s="14">
        <v>633.33333333333326</v>
      </c>
      <c r="H348" s="14">
        <v>244.66666666666666</v>
      </c>
      <c r="I348" s="14">
        <v>1363.9999999999998</v>
      </c>
      <c r="K348" s="15"/>
    </row>
    <row r="349" spans="1:11" ht="16.5" x14ac:dyDescent="0.2">
      <c r="A349" s="4" t="s">
        <v>309</v>
      </c>
      <c r="B349">
        <v>2010</v>
      </c>
      <c r="C349" s="14">
        <v>2483.333333333333</v>
      </c>
      <c r="D349" s="14">
        <v>387.33333333333331</v>
      </c>
      <c r="E349" s="14">
        <v>9808</v>
      </c>
      <c r="F349" s="14">
        <v>288.66666666666663</v>
      </c>
      <c r="G349" s="14">
        <v>646</v>
      </c>
      <c r="H349" s="14">
        <v>245.99999999999997</v>
      </c>
      <c r="I349" s="14">
        <v>1362.6666666666665</v>
      </c>
    </row>
    <row r="350" spans="1:11" ht="16.5" x14ac:dyDescent="0.2">
      <c r="A350" s="4" t="s">
        <v>309</v>
      </c>
      <c r="B350">
        <v>2011</v>
      </c>
      <c r="C350" s="14">
        <v>2477.3333333333335</v>
      </c>
      <c r="D350" s="14">
        <v>386.66666666666663</v>
      </c>
      <c r="E350" s="14">
        <v>9807.3333333333321</v>
      </c>
      <c r="F350" s="14">
        <v>288</v>
      </c>
      <c r="G350" s="14">
        <v>653.33333333333326</v>
      </c>
      <c r="H350" s="14">
        <v>247.33333333333331</v>
      </c>
      <c r="I350" s="14">
        <v>1362</v>
      </c>
      <c r="K350" s="15"/>
    </row>
    <row r="351" spans="1:11" ht="16.5" x14ac:dyDescent="0.2">
      <c r="A351" s="4" t="s">
        <v>309</v>
      </c>
      <c r="B351">
        <v>2012</v>
      </c>
      <c r="C351" s="14">
        <v>2463.333333333333</v>
      </c>
      <c r="D351" s="14">
        <v>385.99999999999994</v>
      </c>
      <c r="E351" s="14">
        <v>9802.6666666666661</v>
      </c>
      <c r="F351" s="14">
        <v>286.66666666666663</v>
      </c>
      <c r="G351" s="14">
        <v>658.66666666666663</v>
      </c>
      <c r="H351" s="14">
        <v>255.99999999999997</v>
      </c>
      <c r="I351" s="14">
        <v>1364.6666666666665</v>
      </c>
    </row>
    <row r="352" spans="1:11" ht="16.5" x14ac:dyDescent="0.2">
      <c r="A352" s="4" t="s">
        <v>309</v>
      </c>
      <c r="B352">
        <v>2013</v>
      </c>
      <c r="C352" s="14">
        <v>2461.333333333333</v>
      </c>
      <c r="D352" s="14">
        <v>385.99999999999994</v>
      </c>
      <c r="E352" s="14">
        <v>9801.9999999999982</v>
      </c>
      <c r="F352" s="14">
        <v>284.66666666666669</v>
      </c>
      <c r="G352" s="14">
        <v>662.66666666666663</v>
      </c>
      <c r="H352" s="14">
        <v>258</v>
      </c>
      <c r="I352" s="14">
        <v>1362.6666666666665</v>
      </c>
      <c r="K352" s="15"/>
    </row>
    <row r="353" spans="1:11" ht="16.5" x14ac:dyDescent="0.2">
      <c r="A353" s="4" t="s">
        <v>309</v>
      </c>
      <c r="B353">
        <v>2014</v>
      </c>
      <c r="C353" s="14">
        <v>2458.6666666666665</v>
      </c>
      <c r="D353" s="14">
        <v>385.99999999999994</v>
      </c>
      <c r="E353" s="14">
        <v>9801.3333333333321</v>
      </c>
      <c r="F353" s="14">
        <v>284.66666666666669</v>
      </c>
      <c r="G353" s="14">
        <v>666.66666666666663</v>
      </c>
      <c r="H353" s="14">
        <v>260.66666666666663</v>
      </c>
      <c r="I353" s="14">
        <v>1359.9999999999998</v>
      </c>
    </row>
    <row r="354" spans="1:11" ht="16.5" x14ac:dyDescent="0.2">
      <c r="A354" s="4" t="s">
        <v>309</v>
      </c>
      <c r="B354">
        <v>2015</v>
      </c>
      <c r="C354" s="14">
        <v>2454.6666666666665</v>
      </c>
      <c r="D354" s="14">
        <v>385.33333333333326</v>
      </c>
      <c r="E354" s="14">
        <v>9800.6666666666661</v>
      </c>
      <c r="F354" s="14">
        <v>282.66666666666663</v>
      </c>
      <c r="G354" s="14">
        <v>672</v>
      </c>
      <c r="H354" s="14">
        <v>274.66666666666669</v>
      </c>
      <c r="I354" s="14">
        <v>1346.6666666666665</v>
      </c>
      <c r="K354" s="15"/>
    </row>
    <row r="355" spans="1:11" ht="16.5" x14ac:dyDescent="0.2">
      <c r="A355" s="4" t="s">
        <v>309</v>
      </c>
      <c r="B355">
        <v>2016</v>
      </c>
      <c r="C355" s="14">
        <v>2452</v>
      </c>
      <c r="D355" s="14">
        <v>385.33333333333326</v>
      </c>
      <c r="E355" s="14">
        <v>9800</v>
      </c>
      <c r="F355" s="14">
        <v>281.99999999999994</v>
      </c>
      <c r="G355" s="14">
        <v>675.33333333333326</v>
      </c>
      <c r="H355" s="14">
        <v>275.33333333333331</v>
      </c>
      <c r="I355" s="14">
        <v>1346</v>
      </c>
    </row>
    <row r="356" spans="1:11" ht="16.5" x14ac:dyDescent="0.2">
      <c r="A356" s="4" t="s">
        <v>308</v>
      </c>
      <c r="B356">
        <v>2009</v>
      </c>
      <c r="C356" s="14">
        <v>5121.333333333333</v>
      </c>
      <c r="D356" s="14">
        <v>328.66666666666663</v>
      </c>
      <c r="E356" s="14">
        <v>1805.9999999999998</v>
      </c>
      <c r="F356" s="14">
        <v>763.99999999999989</v>
      </c>
      <c r="G356" s="14">
        <v>925.33333333333337</v>
      </c>
      <c r="H356" s="14">
        <v>290.66666666666663</v>
      </c>
      <c r="I356" s="14">
        <v>624.66666666666663</v>
      </c>
      <c r="K356" s="15"/>
    </row>
    <row r="357" spans="1:11" ht="16.5" x14ac:dyDescent="0.2">
      <c r="A357" s="4" t="s">
        <v>308</v>
      </c>
      <c r="B357">
        <v>2010</v>
      </c>
      <c r="C357" s="14">
        <v>5117.333333333333</v>
      </c>
      <c r="D357" s="14">
        <v>328.66666666666663</v>
      </c>
      <c r="E357" s="14">
        <v>1805.3333333333333</v>
      </c>
      <c r="F357" s="14">
        <v>761.33333333333326</v>
      </c>
      <c r="G357" s="14">
        <v>969.33333333333314</v>
      </c>
      <c r="H357" s="14">
        <v>290.66666666666663</v>
      </c>
      <c r="I357" s="14">
        <v>586.66666666666663</v>
      </c>
    </row>
    <row r="358" spans="1:11" ht="16.5" x14ac:dyDescent="0.2">
      <c r="A358" s="4" t="s">
        <v>308</v>
      </c>
      <c r="B358">
        <v>2011</v>
      </c>
      <c r="C358" s="14">
        <v>5080</v>
      </c>
      <c r="D358" s="14">
        <v>327.33333333333331</v>
      </c>
      <c r="E358" s="14">
        <v>1794</v>
      </c>
      <c r="F358" s="14">
        <v>740.66666666666652</v>
      </c>
      <c r="G358" s="14">
        <v>994.00000000000011</v>
      </c>
      <c r="H358" s="14">
        <v>290</v>
      </c>
      <c r="I358" s="14">
        <v>643.99999999999989</v>
      </c>
      <c r="K358" s="15"/>
    </row>
    <row r="359" spans="1:11" ht="16.5" x14ac:dyDescent="0.2">
      <c r="A359" s="4" t="s">
        <v>308</v>
      </c>
      <c r="B359">
        <v>2012</v>
      </c>
      <c r="C359" s="14">
        <v>5074</v>
      </c>
      <c r="D359" s="14">
        <v>326.66666666666663</v>
      </c>
      <c r="E359" s="14">
        <v>1793.3333333333333</v>
      </c>
      <c r="F359" s="14">
        <v>739.99999999999989</v>
      </c>
      <c r="G359" s="14">
        <v>1000.6666666666667</v>
      </c>
      <c r="H359" s="14">
        <v>290.66666666666663</v>
      </c>
      <c r="I359" s="14">
        <v>643.33333333333326</v>
      </c>
    </row>
    <row r="360" spans="1:11" ht="16.5" x14ac:dyDescent="0.2">
      <c r="A360" s="4" t="s">
        <v>308</v>
      </c>
      <c r="B360">
        <v>2013</v>
      </c>
      <c r="C360" s="14">
        <v>5070.6666666666661</v>
      </c>
      <c r="D360" s="14">
        <v>326.66666666666663</v>
      </c>
      <c r="E360" s="14">
        <v>1791.333333333333</v>
      </c>
      <c r="F360" s="14">
        <v>738</v>
      </c>
      <c r="G360" s="14">
        <v>1005.3333333333331</v>
      </c>
      <c r="H360" s="14">
        <v>290.66666666666663</v>
      </c>
      <c r="I360" s="14">
        <v>643.33333333333326</v>
      </c>
      <c r="K360" s="15"/>
    </row>
    <row r="361" spans="1:11" ht="16.5" x14ac:dyDescent="0.2">
      <c r="A361" s="4" t="s">
        <v>308</v>
      </c>
      <c r="B361">
        <v>2014</v>
      </c>
      <c r="C361" s="14">
        <v>5065.333333333333</v>
      </c>
      <c r="D361" s="14">
        <v>325.99999999999994</v>
      </c>
      <c r="E361" s="14">
        <v>1789.9999999999998</v>
      </c>
      <c r="F361" s="14">
        <v>737.33333333333326</v>
      </c>
      <c r="G361" s="14">
        <v>1016.6666666666666</v>
      </c>
      <c r="H361" s="14">
        <v>291.33333333333331</v>
      </c>
      <c r="I361" s="14">
        <v>638</v>
      </c>
    </row>
    <row r="362" spans="1:11" ht="16.5" x14ac:dyDescent="0.2">
      <c r="A362" s="4" t="s">
        <v>308</v>
      </c>
      <c r="B362">
        <v>2015</v>
      </c>
      <c r="C362" s="14">
        <v>5060</v>
      </c>
      <c r="D362" s="14">
        <v>325.99999999999994</v>
      </c>
      <c r="E362" s="14">
        <v>1788.6666666666665</v>
      </c>
      <c r="F362" s="14">
        <v>736</v>
      </c>
      <c r="G362" s="14">
        <v>1024</v>
      </c>
      <c r="H362" s="14">
        <v>291.99999999999994</v>
      </c>
      <c r="I362" s="14">
        <v>637.33333333333326</v>
      </c>
      <c r="K362" s="15"/>
    </row>
    <row r="363" spans="1:11" ht="16.5" x14ac:dyDescent="0.2">
      <c r="A363" s="4" t="s">
        <v>308</v>
      </c>
      <c r="B363">
        <v>2016</v>
      </c>
      <c r="C363" s="14">
        <v>5058</v>
      </c>
      <c r="D363" s="14">
        <v>325.33333333333326</v>
      </c>
      <c r="E363" s="14">
        <v>1787.9999999999998</v>
      </c>
      <c r="F363" s="14">
        <v>736.66666666666663</v>
      </c>
      <c r="G363" s="14">
        <v>1026.6666666666665</v>
      </c>
      <c r="H363" s="14">
        <v>292.66666666666663</v>
      </c>
      <c r="I363" s="14">
        <v>637.33333333333326</v>
      </c>
    </row>
    <row r="364" spans="1:11" ht="16.5" x14ac:dyDescent="0.2">
      <c r="A364" s="4" t="s">
        <v>307</v>
      </c>
      <c r="B364">
        <v>2009</v>
      </c>
      <c r="C364" s="14">
        <v>1220.6666666666665</v>
      </c>
      <c r="D364" s="14">
        <v>644.66666666666663</v>
      </c>
      <c r="E364" s="14">
        <v>2025.9999999999998</v>
      </c>
      <c r="F364" s="14">
        <v>122.66666666666664</v>
      </c>
      <c r="G364" s="14">
        <v>807.33333333333326</v>
      </c>
      <c r="H364" s="14">
        <v>145.99999999999997</v>
      </c>
      <c r="I364" s="14">
        <v>402.66666666666663</v>
      </c>
      <c r="K364" s="15"/>
    </row>
    <row r="365" spans="1:11" ht="16.5" x14ac:dyDescent="0.2">
      <c r="A365" s="4" t="s">
        <v>307</v>
      </c>
      <c r="B365">
        <v>2010</v>
      </c>
      <c r="C365" s="14">
        <v>1214.6666666666665</v>
      </c>
      <c r="D365" s="14">
        <v>638.66666666666663</v>
      </c>
      <c r="E365" s="14">
        <v>2023.3333333333333</v>
      </c>
      <c r="F365" s="14">
        <v>121.33333333333331</v>
      </c>
      <c r="G365" s="14">
        <v>818.66666666666663</v>
      </c>
      <c r="H365" s="14">
        <v>150</v>
      </c>
      <c r="I365" s="14">
        <v>400.66666666666663</v>
      </c>
    </row>
    <row r="366" spans="1:11" ht="16.5" x14ac:dyDescent="0.2">
      <c r="A366" s="4" t="s">
        <v>307</v>
      </c>
      <c r="B366">
        <v>2011</v>
      </c>
      <c r="C366" s="14">
        <v>1205.3333333333333</v>
      </c>
      <c r="D366" s="14">
        <v>633.99999999999989</v>
      </c>
      <c r="E366" s="14">
        <v>2022</v>
      </c>
      <c r="F366" s="14">
        <v>119.99999999999999</v>
      </c>
      <c r="G366" s="14">
        <v>833.99999999999989</v>
      </c>
      <c r="H366" s="14">
        <v>156.66666666666666</v>
      </c>
      <c r="I366" s="14">
        <v>409.99999999999994</v>
      </c>
      <c r="K366" s="15"/>
    </row>
    <row r="367" spans="1:11" ht="16.5" x14ac:dyDescent="0.2">
      <c r="A367" s="4" t="s">
        <v>307</v>
      </c>
      <c r="B367">
        <v>2012</v>
      </c>
      <c r="C367" s="14">
        <v>1202</v>
      </c>
      <c r="D367" s="14">
        <v>629.33333333333337</v>
      </c>
      <c r="E367" s="14">
        <v>2022</v>
      </c>
      <c r="F367" s="14">
        <v>119.33333333333331</v>
      </c>
      <c r="G367" s="14">
        <v>845.33333333333326</v>
      </c>
      <c r="H367" s="14">
        <v>157.33333333333334</v>
      </c>
      <c r="I367" s="14">
        <v>408</v>
      </c>
    </row>
    <row r="368" spans="1:11" ht="16.5" x14ac:dyDescent="0.2">
      <c r="A368" s="4" t="s">
        <v>307</v>
      </c>
      <c r="B368">
        <v>2013</v>
      </c>
      <c r="C368" s="14">
        <v>1197.9999999999998</v>
      </c>
      <c r="D368" s="14">
        <v>626</v>
      </c>
      <c r="E368" s="14">
        <v>2021.333333333333</v>
      </c>
      <c r="F368" s="14">
        <v>119.33333333333331</v>
      </c>
      <c r="G368" s="14">
        <v>853.33333333333326</v>
      </c>
      <c r="H368" s="14">
        <v>157.99999999999997</v>
      </c>
      <c r="I368" s="14">
        <v>406.66666666666663</v>
      </c>
      <c r="K368" s="15"/>
    </row>
    <row r="369" spans="1:11" ht="16.5" x14ac:dyDescent="0.2">
      <c r="A369" s="4" t="s">
        <v>307</v>
      </c>
      <c r="B369">
        <v>2014</v>
      </c>
      <c r="C369" s="14">
        <v>1194.6666666666665</v>
      </c>
      <c r="D369" s="14">
        <v>621.33333333333326</v>
      </c>
      <c r="E369" s="14">
        <v>2020.6666666666667</v>
      </c>
      <c r="F369" s="14">
        <v>118.66666666666666</v>
      </c>
      <c r="G369" s="14">
        <v>863.33333333333326</v>
      </c>
      <c r="H369" s="14">
        <v>160</v>
      </c>
      <c r="I369" s="14">
        <v>405.33333333333326</v>
      </c>
    </row>
    <row r="370" spans="1:11" ht="16.5" x14ac:dyDescent="0.2">
      <c r="A370" s="4" t="s">
        <v>307</v>
      </c>
      <c r="B370">
        <v>2015</v>
      </c>
      <c r="C370" s="14">
        <v>1193.3333333333333</v>
      </c>
      <c r="D370" s="14">
        <v>620</v>
      </c>
      <c r="E370" s="14">
        <v>2019.9999999999998</v>
      </c>
      <c r="F370" s="14">
        <v>117.99999999999999</v>
      </c>
      <c r="G370" s="14">
        <v>866.66666666666663</v>
      </c>
      <c r="H370" s="14">
        <v>160</v>
      </c>
      <c r="I370" s="14">
        <v>404.66666666666663</v>
      </c>
      <c r="K370" s="15"/>
    </row>
    <row r="371" spans="1:11" ht="16.5" x14ac:dyDescent="0.2">
      <c r="A371" s="4" t="s">
        <v>307</v>
      </c>
      <c r="B371">
        <v>2016</v>
      </c>
      <c r="C371" s="14">
        <v>1192</v>
      </c>
      <c r="D371" s="14">
        <v>619.33333333333337</v>
      </c>
      <c r="E371" s="14">
        <v>2019.333333333333</v>
      </c>
      <c r="F371" s="14">
        <v>117.99999999999999</v>
      </c>
      <c r="G371" s="14">
        <v>867.99999999999989</v>
      </c>
      <c r="H371" s="14">
        <v>160.66666666666666</v>
      </c>
      <c r="I371" s="14">
        <v>404</v>
      </c>
    </row>
    <row r="372" spans="1:11" ht="16.5" x14ac:dyDescent="0.2">
      <c r="A372" s="4" t="s">
        <v>306</v>
      </c>
      <c r="B372">
        <v>2009</v>
      </c>
      <c r="C372" s="14">
        <v>5211.9999999999991</v>
      </c>
      <c r="D372" s="14">
        <v>162.66666666666663</v>
      </c>
      <c r="E372" s="14">
        <v>2805.333333333333</v>
      </c>
      <c r="F372" s="14">
        <v>827.33333333333326</v>
      </c>
      <c r="G372" s="14">
        <v>775.33333333333326</v>
      </c>
      <c r="H372" s="14">
        <v>230.66666666666666</v>
      </c>
      <c r="I372" s="14">
        <v>278</v>
      </c>
      <c r="K372" s="15"/>
    </row>
    <row r="373" spans="1:11" ht="16.5" x14ac:dyDescent="0.2">
      <c r="A373" s="4" t="s">
        <v>306</v>
      </c>
      <c r="B373">
        <v>2010</v>
      </c>
      <c r="C373" s="14">
        <v>5203.333333333333</v>
      </c>
      <c r="D373" s="14">
        <v>162.66666666666663</v>
      </c>
      <c r="E373" s="14">
        <v>2802</v>
      </c>
      <c r="F373" s="14">
        <v>826</v>
      </c>
      <c r="G373" s="14">
        <v>784</v>
      </c>
      <c r="H373" s="14">
        <v>235.33333333333329</v>
      </c>
      <c r="I373" s="14">
        <v>277.33333333333331</v>
      </c>
    </row>
    <row r="374" spans="1:11" ht="16.5" x14ac:dyDescent="0.2">
      <c r="A374" s="4" t="s">
        <v>306</v>
      </c>
      <c r="B374">
        <v>2011</v>
      </c>
      <c r="C374" s="14">
        <v>5196.6666666666661</v>
      </c>
      <c r="D374" s="14">
        <v>162</v>
      </c>
      <c r="E374" s="14">
        <v>2799.333333333333</v>
      </c>
      <c r="F374" s="14">
        <v>819.33333333333326</v>
      </c>
      <c r="G374" s="14">
        <v>799.33333333333326</v>
      </c>
      <c r="H374" s="14">
        <v>235.99999999999997</v>
      </c>
      <c r="I374" s="14">
        <v>277.33333333333331</v>
      </c>
      <c r="K374" s="15"/>
    </row>
    <row r="375" spans="1:11" ht="16.5" x14ac:dyDescent="0.2">
      <c r="A375" s="4" t="s">
        <v>306</v>
      </c>
      <c r="B375">
        <v>2012</v>
      </c>
      <c r="C375" s="14">
        <v>5189.9999999999991</v>
      </c>
      <c r="D375" s="14">
        <v>162</v>
      </c>
      <c r="E375" s="14">
        <v>2797.333333333333</v>
      </c>
      <c r="F375" s="14">
        <v>818.66666666666663</v>
      </c>
      <c r="G375" s="14">
        <v>806.66666666666663</v>
      </c>
      <c r="H375" s="14">
        <v>237.33333333333331</v>
      </c>
      <c r="I375" s="14">
        <v>277.33333333333331</v>
      </c>
    </row>
    <row r="376" spans="1:11" ht="16.5" x14ac:dyDescent="0.2">
      <c r="A376" s="4" t="s">
        <v>306</v>
      </c>
      <c r="B376">
        <v>2013</v>
      </c>
      <c r="C376" s="14">
        <v>5187.333333333333</v>
      </c>
      <c r="D376" s="14">
        <v>162</v>
      </c>
      <c r="E376" s="14">
        <v>2796.6666666666665</v>
      </c>
      <c r="F376" s="14">
        <v>818</v>
      </c>
      <c r="G376" s="14">
        <v>809.99999999999989</v>
      </c>
      <c r="H376" s="14">
        <v>238</v>
      </c>
      <c r="I376" s="14">
        <v>276.66666666666663</v>
      </c>
      <c r="K376" s="15"/>
    </row>
    <row r="377" spans="1:11" ht="16.5" x14ac:dyDescent="0.2">
      <c r="A377" s="4" t="s">
        <v>306</v>
      </c>
      <c r="B377">
        <v>2014</v>
      </c>
      <c r="C377" s="14">
        <v>5178.6666666666661</v>
      </c>
      <c r="D377" s="14">
        <v>162</v>
      </c>
      <c r="E377" s="14">
        <v>2794.6666666666665</v>
      </c>
      <c r="F377" s="14">
        <v>817.33333333333326</v>
      </c>
      <c r="G377" s="14">
        <v>813.99999999999989</v>
      </c>
      <c r="H377" s="14">
        <v>240.66666666666666</v>
      </c>
      <c r="I377" s="14">
        <v>276.66666666666663</v>
      </c>
    </row>
    <row r="378" spans="1:11" ht="16.5" x14ac:dyDescent="0.2">
      <c r="A378" s="4" t="s">
        <v>306</v>
      </c>
      <c r="B378">
        <v>2015</v>
      </c>
      <c r="C378" s="14">
        <v>5175.9999999999991</v>
      </c>
      <c r="D378" s="14">
        <v>161.33333333333331</v>
      </c>
      <c r="E378" s="14">
        <v>2793.333333333333</v>
      </c>
      <c r="F378" s="14">
        <v>816.66666666666663</v>
      </c>
      <c r="G378" s="14">
        <v>815.99999999999989</v>
      </c>
      <c r="H378" s="14">
        <v>244</v>
      </c>
      <c r="I378" s="14">
        <v>276.66666666666663</v>
      </c>
      <c r="K378" s="15"/>
    </row>
    <row r="379" spans="1:11" ht="16.5" x14ac:dyDescent="0.2">
      <c r="A379" s="4" t="s">
        <v>306</v>
      </c>
      <c r="B379">
        <v>2016</v>
      </c>
      <c r="C379" s="14">
        <v>5175.3333333333321</v>
      </c>
      <c r="D379" s="14">
        <v>161.33333333333331</v>
      </c>
      <c r="E379" s="14">
        <v>2793.333333333333</v>
      </c>
      <c r="F379" s="14">
        <v>815.33333333333326</v>
      </c>
      <c r="G379" s="14">
        <v>818</v>
      </c>
      <c r="H379" s="14">
        <v>244.66666666666666</v>
      </c>
      <c r="I379" s="14">
        <v>275.99999999999994</v>
      </c>
    </row>
    <row r="380" spans="1:11" ht="16.5" x14ac:dyDescent="0.2">
      <c r="A380" s="4" t="s">
        <v>305</v>
      </c>
      <c r="B380">
        <v>2009</v>
      </c>
      <c r="C380" s="14">
        <v>1892</v>
      </c>
      <c r="D380" s="14">
        <v>72</v>
      </c>
      <c r="E380" s="14">
        <v>1740.6666666666667</v>
      </c>
      <c r="F380" s="14">
        <v>90.666666666666657</v>
      </c>
      <c r="G380" s="14">
        <v>583.33333333333326</v>
      </c>
      <c r="H380" s="14">
        <v>84.666666666666657</v>
      </c>
      <c r="I380" s="14">
        <v>250.66666666666666</v>
      </c>
      <c r="K380" s="15"/>
    </row>
    <row r="381" spans="1:11" ht="16.5" x14ac:dyDescent="0.2">
      <c r="A381" s="4" t="s">
        <v>305</v>
      </c>
      <c r="B381">
        <v>2010</v>
      </c>
      <c r="C381" s="14">
        <v>1887.3333333333333</v>
      </c>
      <c r="D381" s="14">
        <v>72</v>
      </c>
      <c r="E381" s="14">
        <v>1739.9999999999998</v>
      </c>
      <c r="F381" s="14">
        <v>90.666666666666657</v>
      </c>
      <c r="G381" s="14">
        <v>587.33333333333326</v>
      </c>
      <c r="H381" s="14">
        <v>86.666666666666657</v>
      </c>
      <c r="I381" s="14">
        <v>249.99999999999997</v>
      </c>
    </row>
    <row r="382" spans="1:11" ht="16.5" x14ac:dyDescent="0.2">
      <c r="A382" s="4" t="s">
        <v>305</v>
      </c>
      <c r="B382">
        <v>2011</v>
      </c>
      <c r="C382" s="14">
        <v>1879.333333333333</v>
      </c>
      <c r="D382" s="14">
        <v>71.333333333333329</v>
      </c>
      <c r="E382" s="14">
        <v>1739.9999999999998</v>
      </c>
      <c r="F382" s="14">
        <v>89.999999999999986</v>
      </c>
      <c r="G382" s="14">
        <v>596.66666666666663</v>
      </c>
      <c r="H382" s="14">
        <v>86.666666666666657</v>
      </c>
      <c r="I382" s="14">
        <v>249.99999999999997</v>
      </c>
      <c r="K382" s="15"/>
    </row>
    <row r="383" spans="1:11" ht="16.5" x14ac:dyDescent="0.2">
      <c r="A383" s="4" t="s">
        <v>305</v>
      </c>
      <c r="B383">
        <v>2012</v>
      </c>
      <c r="C383" s="14">
        <v>1871.333333333333</v>
      </c>
      <c r="D383" s="14">
        <v>71.333333333333329</v>
      </c>
      <c r="E383" s="14">
        <v>1739.333333333333</v>
      </c>
      <c r="F383" s="14">
        <v>89.999999999999986</v>
      </c>
      <c r="G383" s="14">
        <v>603.99999999999989</v>
      </c>
      <c r="H383" s="14">
        <v>87.333333333333329</v>
      </c>
      <c r="I383" s="14">
        <v>250.66666666666666</v>
      </c>
    </row>
    <row r="384" spans="1:11" ht="16.5" x14ac:dyDescent="0.2">
      <c r="A384" s="4" t="s">
        <v>305</v>
      </c>
      <c r="B384">
        <v>2013</v>
      </c>
      <c r="C384" s="14">
        <v>1864</v>
      </c>
      <c r="D384" s="14">
        <v>71.333333333333329</v>
      </c>
      <c r="E384" s="14">
        <v>1739.333333333333</v>
      </c>
      <c r="F384" s="14">
        <v>89.333333333333329</v>
      </c>
      <c r="G384" s="14">
        <v>609.33333333333337</v>
      </c>
      <c r="H384" s="14">
        <v>89.999999999999986</v>
      </c>
      <c r="I384" s="14">
        <v>250.66666666666666</v>
      </c>
      <c r="K384" s="15"/>
    </row>
    <row r="385" spans="1:11" ht="16.5" x14ac:dyDescent="0.2">
      <c r="A385" s="4" t="s">
        <v>305</v>
      </c>
      <c r="B385">
        <v>2014</v>
      </c>
      <c r="C385" s="14">
        <v>1860.6666666666667</v>
      </c>
      <c r="D385" s="14">
        <v>71.333333333333329</v>
      </c>
      <c r="E385" s="14">
        <v>1738.6666666666665</v>
      </c>
      <c r="F385" s="14">
        <v>89.333333333333329</v>
      </c>
      <c r="G385" s="14">
        <v>613.33333333333326</v>
      </c>
      <c r="H385" s="14">
        <v>89.999999999999986</v>
      </c>
      <c r="I385" s="14">
        <v>249.99999999999997</v>
      </c>
    </row>
    <row r="386" spans="1:11" ht="16.5" x14ac:dyDescent="0.2">
      <c r="A386" s="4" t="s">
        <v>305</v>
      </c>
      <c r="B386">
        <v>2015</v>
      </c>
      <c r="C386" s="14">
        <v>1857.9999999999998</v>
      </c>
      <c r="D386" s="14">
        <v>70.666666666666657</v>
      </c>
      <c r="E386" s="14">
        <v>1737.9999999999998</v>
      </c>
      <c r="F386" s="14">
        <v>89.333333333333329</v>
      </c>
      <c r="G386" s="14">
        <v>616</v>
      </c>
      <c r="H386" s="14">
        <v>91.333333333333314</v>
      </c>
      <c r="I386" s="14">
        <v>249.99999999999997</v>
      </c>
      <c r="K386" s="15"/>
    </row>
    <row r="387" spans="1:11" ht="16.5" x14ac:dyDescent="0.2">
      <c r="A387" s="4" t="s">
        <v>305</v>
      </c>
      <c r="B387">
        <v>2016</v>
      </c>
      <c r="C387" s="14">
        <v>1858.6666666666665</v>
      </c>
      <c r="D387" s="14">
        <v>70.666666666666657</v>
      </c>
      <c r="E387" s="14">
        <v>1737.9999999999998</v>
      </c>
      <c r="F387" s="14">
        <v>87.999999999999986</v>
      </c>
      <c r="G387" s="14">
        <v>617.33333333333337</v>
      </c>
      <c r="H387" s="14">
        <v>91.333333333333314</v>
      </c>
      <c r="I387" s="14">
        <v>248.66666666666663</v>
      </c>
    </row>
    <row r="388" spans="1:11" ht="16.5" x14ac:dyDescent="0.2">
      <c r="A388" s="4" t="s">
        <v>304</v>
      </c>
      <c r="B388">
        <v>2009</v>
      </c>
      <c r="C388" s="14">
        <v>1589.9999999999998</v>
      </c>
      <c r="D388" s="14">
        <v>2.6666666666666665</v>
      </c>
      <c r="E388" s="14">
        <v>52.666666666666664</v>
      </c>
      <c r="F388" s="14">
        <v>43.333333333333329</v>
      </c>
      <c r="G388" s="14">
        <v>407.33333333333331</v>
      </c>
      <c r="H388" s="14">
        <v>121.33333333333331</v>
      </c>
      <c r="I388" s="14">
        <v>1832</v>
      </c>
      <c r="K388" s="15"/>
    </row>
    <row r="389" spans="1:11" ht="16.5" x14ac:dyDescent="0.2">
      <c r="A389" s="4" t="s">
        <v>304</v>
      </c>
      <c r="B389">
        <v>2010</v>
      </c>
      <c r="C389" s="14">
        <v>1588.6666666666665</v>
      </c>
      <c r="D389" s="14">
        <v>2.6666666666666665</v>
      </c>
      <c r="E389" s="14">
        <v>52.666666666666664</v>
      </c>
      <c r="F389" s="14">
        <v>41.999999999999993</v>
      </c>
      <c r="G389" s="14">
        <v>459.99999999999994</v>
      </c>
      <c r="H389" s="14">
        <v>124</v>
      </c>
      <c r="I389" s="14">
        <v>1779.333333333333</v>
      </c>
    </row>
    <row r="390" spans="1:11" ht="16.5" x14ac:dyDescent="0.2">
      <c r="A390" s="4" t="s">
        <v>304</v>
      </c>
      <c r="B390">
        <v>2011</v>
      </c>
      <c r="C390" s="14">
        <v>1584.6666666666665</v>
      </c>
      <c r="D390" s="14">
        <v>2.6666666666666665</v>
      </c>
      <c r="E390" s="14">
        <v>51.333333333333329</v>
      </c>
      <c r="F390" s="14">
        <v>40.666666666666657</v>
      </c>
      <c r="G390" s="14">
        <v>473.99999999999994</v>
      </c>
      <c r="H390" s="14">
        <v>127.33333333333333</v>
      </c>
      <c r="I390" s="14">
        <v>1767.9999999999998</v>
      </c>
      <c r="K390" s="15"/>
    </row>
    <row r="391" spans="1:11" ht="16.5" x14ac:dyDescent="0.2">
      <c r="A391" s="4" t="s">
        <v>304</v>
      </c>
      <c r="B391">
        <v>2012</v>
      </c>
      <c r="C391" s="14">
        <v>1570.6666666666665</v>
      </c>
      <c r="D391" s="14">
        <v>2.6666666666666665</v>
      </c>
      <c r="E391" s="14">
        <v>50.666666666666657</v>
      </c>
      <c r="F391" s="14">
        <v>37.333333333333329</v>
      </c>
      <c r="G391" s="14">
        <v>493.33333333333331</v>
      </c>
      <c r="H391" s="14">
        <v>130</v>
      </c>
      <c r="I391" s="14">
        <v>1763.3333333333333</v>
      </c>
    </row>
    <row r="392" spans="1:11" ht="16.5" x14ac:dyDescent="0.2">
      <c r="A392" s="4" t="s">
        <v>304</v>
      </c>
      <c r="B392">
        <v>2013</v>
      </c>
      <c r="C392" s="14">
        <v>1566</v>
      </c>
      <c r="D392" s="14">
        <v>2.6666666666666665</v>
      </c>
      <c r="E392" s="14">
        <v>50.666666666666657</v>
      </c>
      <c r="F392" s="14">
        <v>37.333333333333329</v>
      </c>
      <c r="G392" s="14">
        <v>498.66666666666663</v>
      </c>
      <c r="H392" s="14">
        <v>132</v>
      </c>
      <c r="I392" s="14">
        <v>1760.6666666666667</v>
      </c>
      <c r="K392" s="15"/>
    </row>
    <row r="393" spans="1:11" ht="16.5" x14ac:dyDescent="0.2">
      <c r="A393" s="4" t="s">
        <v>304</v>
      </c>
      <c r="B393">
        <v>2014</v>
      </c>
      <c r="C393" s="14">
        <v>1563.9999999999998</v>
      </c>
      <c r="D393" s="14">
        <v>2.6666666666666665</v>
      </c>
      <c r="E393" s="14">
        <v>50.666666666666657</v>
      </c>
      <c r="F393" s="14">
        <v>36.666666666666664</v>
      </c>
      <c r="G393" s="14">
        <v>505.33333333333326</v>
      </c>
      <c r="H393" s="14">
        <v>132.66666666666666</v>
      </c>
      <c r="I393" s="14">
        <v>1754.6666666666665</v>
      </c>
    </row>
    <row r="394" spans="1:11" ht="16.5" x14ac:dyDescent="0.2">
      <c r="A394" s="4" t="s">
        <v>304</v>
      </c>
      <c r="B394">
        <v>2015</v>
      </c>
      <c r="C394" s="14">
        <v>1568.6666666666665</v>
      </c>
      <c r="D394" s="14">
        <v>1.9999999999999998</v>
      </c>
      <c r="E394" s="14">
        <v>49.999999999999993</v>
      </c>
      <c r="F394" s="14">
        <v>36</v>
      </c>
      <c r="G394" s="14">
        <v>511.33333333333331</v>
      </c>
      <c r="H394" s="14">
        <v>133.33333333333331</v>
      </c>
      <c r="I394" s="14">
        <v>1745.3333333333333</v>
      </c>
      <c r="K394" s="15"/>
    </row>
    <row r="395" spans="1:11" ht="16.5" x14ac:dyDescent="0.2">
      <c r="A395" s="4" t="s">
        <v>304</v>
      </c>
      <c r="B395">
        <v>2016</v>
      </c>
      <c r="C395" s="14">
        <v>1573.9999999999998</v>
      </c>
      <c r="D395" s="14">
        <v>1.9999999999999998</v>
      </c>
      <c r="E395" s="14">
        <v>49.999999999999993</v>
      </c>
      <c r="F395" s="14">
        <v>35.333333333333329</v>
      </c>
      <c r="G395" s="14">
        <v>518.66666666666663</v>
      </c>
      <c r="H395" s="14">
        <v>134</v>
      </c>
      <c r="I395" s="14">
        <v>1731.333333333333</v>
      </c>
    </row>
    <row r="396" spans="1:11" ht="16.5" x14ac:dyDescent="0.2">
      <c r="A396" s="4" t="s">
        <v>303</v>
      </c>
      <c r="B396">
        <v>2009</v>
      </c>
      <c r="C396" s="14">
        <v>6704</v>
      </c>
      <c r="D396" s="14">
        <v>122</v>
      </c>
      <c r="E396" s="14">
        <v>4325.9999999999991</v>
      </c>
      <c r="F396" s="14">
        <v>196.66666666666666</v>
      </c>
      <c r="G396" s="14">
        <v>858.66666666666652</v>
      </c>
      <c r="H396" s="14">
        <v>280.66666666666663</v>
      </c>
      <c r="I396" s="14">
        <v>446</v>
      </c>
      <c r="K396" s="15"/>
    </row>
    <row r="397" spans="1:11" ht="16.5" x14ac:dyDescent="0.2">
      <c r="A397" s="4" t="s">
        <v>303</v>
      </c>
      <c r="B397">
        <v>2010</v>
      </c>
      <c r="C397" s="14">
        <v>6678</v>
      </c>
      <c r="D397" s="14">
        <v>122</v>
      </c>
      <c r="E397" s="14">
        <v>4323.333333333333</v>
      </c>
      <c r="F397" s="14">
        <v>195.33333333333331</v>
      </c>
      <c r="G397" s="14">
        <v>882</v>
      </c>
      <c r="H397" s="14">
        <v>286.66666666666663</v>
      </c>
      <c r="I397" s="14">
        <v>446.66666666666663</v>
      </c>
    </row>
    <row r="398" spans="1:11" ht="16.5" x14ac:dyDescent="0.2">
      <c r="A398" s="4" t="s">
        <v>303</v>
      </c>
      <c r="B398">
        <v>2011</v>
      </c>
      <c r="C398" s="14">
        <v>6664.6666666666661</v>
      </c>
      <c r="D398" s="14">
        <v>122</v>
      </c>
      <c r="E398" s="14">
        <v>4322.6666666666661</v>
      </c>
      <c r="F398" s="14">
        <v>188.66666666666666</v>
      </c>
      <c r="G398" s="14">
        <v>898.66666666666663</v>
      </c>
      <c r="H398" s="14">
        <v>288</v>
      </c>
      <c r="I398" s="14">
        <v>449.33333333333331</v>
      </c>
      <c r="K398" s="15"/>
    </row>
    <row r="399" spans="1:11" ht="16.5" x14ac:dyDescent="0.2">
      <c r="A399" s="4" t="s">
        <v>303</v>
      </c>
      <c r="B399">
        <v>2012</v>
      </c>
      <c r="C399" s="14">
        <v>6653.333333333333</v>
      </c>
      <c r="D399" s="14">
        <v>122</v>
      </c>
      <c r="E399" s="14">
        <v>4322.6666666666661</v>
      </c>
      <c r="F399" s="14">
        <v>188.66666666666666</v>
      </c>
      <c r="G399" s="14">
        <v>906</v>
      </c>
      <c r="H399" s="14">
        <v>289.33333333333331</v>
      </c>
      <c r="I399" s="14">
        <v>451.99999999999994</v>
      </c>
    </row>
    <row r="400" spans="1:11" ht="16.5" x14ac:dyDescent="0.2">
      <c r="A400" s="4" t="s">
        <v>303</v>
      </c>
      <c r="B400">
        <v>2013</v>
      </c>
      <c r="C400" s="14">
        <v>6645.9999999999991</v>
      </c>
      <c r="D400" s="14">
        <v>122.66666666666664</v>
      </c>
      <c r="E400" s="14">
        <v>4321.9999999999991</v>
      </c>
      <c r="F400" s="14">
        <v>186.66666666666666</v>
      </c>
      <c r="G400" s="14">
        <v>909.99999999999989</v>
      </c>
      <c r="H400" s="14">
        <v>291.99999999999994</v>
      </c>
      <c r="I400" s="14">
        <v>452.66666666666669</v>
      </c>
      <c r="K400" s="15"/>
    </row>
    <row r="401" spans="1:11" ht="16.5" x14ac:dyDescent="0.2">
      <c r="A401" s="4" t="s">
        <v>303</v>
      </c>
      <c r="B401">
        <v>2014</v>
      </c>
      <c r="C401" s="14">
        <v>6635.9999999999991</v>
      </c>
      <c r="D401" s="14">
        <v>122</v>
      </c>
      <c r="E401" s="14">
        <v>4321.333333333333</v>
      </c>
      <c r="F401" s="14">
        <v>186.66666666666666</v>
      </c>
      <c r="G401" s="14">
        <v>916.66666666666663</v>
      </c>
      <c r="H401" s="14">
        <v>294.66666666666669</v>
      </c>
      <c r="I401" s="14">
        <v>451.99999999999994</v>
      </c>
    </row>
    <row r="402" spans="1:11" ht="16.5" x14ac:dyDescent="0.2">
      <c r="A402" s="4" t="s">
        <v>303</v>
      </c>
      <c r="B402">
        <v>2015</v>
      </c>
      <c r="C402" s="14">
        <v>6634.6666666666661</v>
      </c>
      <c r="D402" s="14">
        <v>122</v>
      </c>
      <c r="E402" s="14">
        <v>4320.6666666666661</v>
      </c>
      <c r="F402" s="14">
        <v>186.66666666666666</v>
      </c>
      <c r="G402" s="14">
        <v>919.99999999999989</v>
      </c>
      <c r="H402" s="14">
        <v>295.33333333333331</v>
      </c>
      <c r="I402" s="14">
        <v>450.66666666666657</v>
      </c>
      <c r="K402" s="15"/>
    </row>
    <row r="403" spans="1:11" ht="16.5" x14ac:dyDescent="0.2">
      <c r="A403" s="4" t="s">
        <v>303</v>
      </c>
      <c r="B403">
        <v>2016</v>
      </c>
      <c r="C403" s="14">
        <v>6630.6666666666661</v>
      </c>
      <c r="D403" s="14">
        <v>122</v>
      </c>
      <c r="E403" s="14">
        <v>4320</v>
      </c>
      <c r="F403" s="14">
        <v>186.66666666666666</v>
      </c>
      <c r="G403" s="14">
        <v>922</v>
      </c>
      <c r="H403" s="14">
        <v>298</v>
      </c>
      <c r="I403" s="14">
        <v>450.66666666666657</v>
      </c>
    </row>
    <row r="404" spans="1:11" ht="16.5" x14ac:dyDescent="0.2">
      <c r="A404" s="4" t="s">
        <v>302</v>
      </c>
      <c r="B404">
        <v>2009</v>
      </c>
      <c r="C404" s="14">
        <v>5515.9999999999991</v>
      </c>
      <c r="D404" s="14">
        <v>825.33333333333326</v>
      </c>
      <c r="E404" s="14">
        <v>5881.333333333333</v>
      </c>
      <c r="F404" s="14">
        <v>5515.9999999999991</v>
      </c>
      <c r="G404" s="14">
        <v>1047.3333333333333</v>
      </c>
      <c r="H404" s="14">
        <v>356.66666666666663</v>
      </c>
      <c r="I404" s="14">
        <v>436.66666666666663</v>
      </c>
      <c r="K404" s="15"/>
    </row>
    <row r="405" spans="1:11" ht="16.5" x14ac:dyDescent="0.2">
      <c r="A405" s="4" t="s">
        <v>302</v>
      </c>
      <c r="B405">
        <v>2010</v>
      </c>
      <c r="C405" s="14">
        <v>5505.3333333333321</v>
      </c>
      <c r="D405" s="14">
        <v>823.33333333333326</v>
      </c>
      <c r="E405" s="14">
        <v>5869.333333333333</v>
      </c>
      <c r="F405" s="14">
        <v>5508.6666666666661</v>
      </c>
      <c r="G405" s="14">
        <v>1063.9999999999998</v>
      </c>
      <c r="H405" s="14">
        <v>363.33333333333331</v>
      </c>
      <c r="I405" s="14">
        <v>438.66666666666663</v>
      </c>
    </row>
    <row r="406" spans="1:11" ht="16.5" x14ac:dyDescent="0.2">
      <c r="A406" s="4" t="s">
        <v>302</v>
      </c>
      <c r="B406">
        <v>2011</v>
      </c>
      <c r="C406" s="14">
        <v>5498</v>
      </c>
      <c r="D406" s="14">
        <v>821.99999999999989</v>
      </c>
      <c r="E406" s="14">
        <v>5866.6666666666661</v>
      </c>
      <c r="F406" s="14">
        <v>5505.3333333333321</v>
      </c>
      <c r="G406" s="14">
        <v>1072.6666666666665</v>
      </c>
      <c r="H406" s="14">
        <v>365.99999999999994</v>
      </c>
      <c r="I406" s="14">
        <v>438.66666666666663</v>
      </c>
      <c r="K406" s="15"/>
    </row>
    <row r="407" spans="1:11" ht="16.5" x14ac:dyDescent="0.2">
      <c r="A407" s="4" t="s">
        <v>302</v>
      </c>
      <c r="B407">
        <v>2012</v>
      </c>
      <c r="C407" s="14">
        <v>5499.9999999999991</v>
      </c>
      <c r="D407" s="14">
        <v>821.33333333333326</v>
      </c>
      <c r="E407" s="14">
        <v>5864</v>
      </c>
      <c r="F407" s="14">
        <v>5501.333333333333</v>
      </c>
      <c r="G407" s="14">
        <v>1077.3333333333333</v>
      </c>
      <c r="H407" s="14">
        <v>366.66666666666663</v>
      </c>
      <c r="I407" s="14">
        <v>438</v>
      </c>
    </row>
    <row r="408" spans="1:11" ht="16.5" x14ac:dyDescent="0.2">
      <c r="A408" s="4" t="s">
        <v>302</v>
      </c>
      <c r="B408">
        <v>2013</v>
      </c>
      <c r="C408" s="14">
        <v>5497.333333333333</v>
      </c>
      <c r="D408" s="14">
        <v>819.99999999999989</v>
      </c>
      <c r="E408" s="14">
        <v>5861.9999999999991</v>
      </c>
      <c r="F408" s="14">
        <v>5497.333333333333</v>
      </c>
      <c r="G408" s="14">
        <v>1084</v>
      </c>
      <c r="H408" s="14">
        <v>367.33333333333331</v>
      </c>
      <c r="I408" s="14">
        <v>438</v>
      </c>
      <c r="K408" s="15"/>
    </row>
    <row r="409" spans="1:11" ht="16.5" x14ac:dyDescent="0.2">
      <c r="A409" s="4" t="s">
        <v>302</v>
      </c>
      <c r="B409">
        <v>2014</v>
      </c>
      <c r="C409" s="14">
        <v>5493.333333333333</v>
      </c>
      <c r="D409" s="14">
        <v>818.66666666666663</v>
      </c>
      <c r="E409" s="14">
        <v>5858.6666666666661</v>
      </c>
      <c r="F409" s="14">
        <v>5491.9999999999991</v>
      </c>
      <c r="G409" s="14">
        <v>1090</v>
      </c>
      <c r="H409" s="14">
        <v>375.33333333333326</v>
      </c>
      <c r="I409" s="14">
        <v>437.33333333333326</v>
      </c>
    </row>
    <row r="410" spans="1:11" ht="16.5" x14ac:dyDescent="0.2">
      <c r="A410" s="4" t="s">
        <v>302</v>
      </c>
      <c r="B410">
        <v>2015</v>
      </c>
      <c r="C410" s="14">
        <v>5492.6666666666661</v>
      </c>
      <c r="D410" s="14">
        <v>818</v>
      </c>
      <c r="E410" s="14">
        <v>5856.6666666666661</v>
      </c>
      <c r="F410" s="14">
        <v>5488.6666666666661</v>
      </c>
      <c r="G410" s="14">
        <v>1094.6666666666667</v>
      </c>
      <c r="H410" s="14">
        <v>375.99999999999994</v>
      </c>
      <c r="I410" s="14">
        <v>437.33333333333326</v>
      </c>
      <c r="K410" s="15"/>
    </row>
    <row r="411" spans="1:11" ht="16.5" x14ac:dyDescent="0.2">
      <c r="A411" s="4" t="s">
        <v>302</v>
      </c>
      <c r="B411">
        <v>2016</v>
      </c>
      <c r="C411" s="14">
        <v>5489.9999999999991</v>
      </c>
      <c r="D411" s="14">
        <v>817.33333333333326</v>
      </c>
      <c r="E411" s="14">
        <v>5855.9999999999991</v>
      </c>
      <c r="F411" s="14">
        <v>5487.333333333333</v>
      </c>
      <c r="G411" s="14">
        <v>1098.6666666666665</v>
      </c>
      <c r="H411" s="14">
        <v>376.66666666666663</v>
      </c>
      <c r="I411" s="14">
        <v>436.66666666666663</v>
      </c>
    </row>
    <row r="412" spans="1:11" ht="16.5" x14ac:dyDescent="0.2">
      <c r="A412" s="4" t="s">
        <v>301</v>
      </c>
      <c r="B412">
        <v>2009</v>
      </c>
      <c r="C412" s="14">
        <v>2942</v>
      </c>
      <c r="D412" s="14">
        <v>715.33333333333326</v>
      </c>
      <c r="E412" s="14">
        <v>3661.3333333333335</v>
      </c>
      <c r="F412" s="14">
        <v>1626.6666666666665</v>
      </c>
      <c r="G412" s="14">
        <v>722</v>
      </c>
      <c r="H412" s="14">
        <v>195.33333333333331</v>
      </c>
      <c r="I412" s="14">
        <v>453.33333333333331</v>
      </c>
      <c r="K412" s="15"/>
    </row>
    <row r="413" spans="1:11" ht="16.5" x14ac:dyDescent="0.2">
      <c r="A413" s="4" t="s">
        <v>301</v>
      </c>
      <c r="B413">
        <v>2010</v>
      </c>
      <c r="C413" s="14">
        <v>2937.9999999999995</v>
      </c>
      <c r="D413" s="14">
        <v>713.33333333333326</v>
      </c>
      <c r="E413" s="14">
        <v>3658</v>
      </c>
      <c r="F413" s="14">
        <v>1623.9999999999998</v>
      </c>
      <c r="G413" s="14">
        <v>737.33333333333326</v>
      </c>
      <c r="H413" s="14">
        <v>195.99999999999997</v>
      </c>
      <c r="I413" s="14">
        <v>448</v>
      </c>
    </row>
    <row r="414" spans="1:11" ht="16.5" x14ac:dyDescent="0.2">
      <c r="A414" s="4" t="s">
        <v>301</v>
      </c>
      <c r="B414">
        <v>2011</v>
      </c>
      <c r="C414" s="14">
        <v>2937.333333333333</v>
      </c>
      <c r="D414" s="14">
        <v>712.66666666666663</v>
      </c>
      <c r="E414" s="14">
        <v>3655.9999999999995</v>
      </c>
      <c r="F414" s="14">
        <v>1617.3333333333333</v>
      </c>
      <c r="G414" s="14">
        <v>748.66666666666663</v>
      </c>
      <c r="H414" s="14">
        <v>196.66666666666666</v>
      </c>
      <c r="I414" s="14">
        <v>451.99999999999994</v>
      </c>
      <c r="K414" s="15"/>
    </row>
    <row r="415" spans="1:11" ht="16.5" x14ac:dyDescent="0.2">
      <c r="A415" s="4" t="s">
        <v>301</v>
      </c>
      <c r="B415">
        <v>2012</v>
      </c>
      <c r="C415" s="14">
        <v>2930.6666666666665</v>
      </c>
      <c r="D415" s="14">
        <v>710.66666666666652</v>
      </c>
      <c r="E415" s="14">
        <v>3653.333333333333</v>
      </c>
      <c r="F415" s="14">
        <v>1612.6666666666665</v>
      </c>
      <c r="G415" s="14">
        <v>761.99999999999989</v>
      </c>
      <c r="H415" s="14">
        <v>203.33333333333331</v>
      </c>
      <c r="I415" s="14">
        <v>447.33333333333326</v>
      </c>
    </row>
    <row r="416" spans="1:11" ht="16.5" x14ac:dyDescent="0.2">
      <c r="A416" s="4" t="s">
        <v>301</v>
      </c>
      <c r="B416">
        <v>2013</v>
      </c>
      <c r="C416" s="14">
        <v>2917.333333333333</v>
      </c>
      <c r="D416" s="14">
        <v>707.33333333333326</v>
      </c>
      <c r="E416" s="14">
        <v>3644.6666666666665</v>
      </c>
      <c r="F416" s="14">
        <v>1609.3333333333333</v>
      </c>
      <c r="G416" s="14">
        <v>767.33333333333326</v>
      </c>
      <c r="H416" s="14">
        <v>204</v>
      </c>
      <c r="I416" s="14">
        <v>471.33333333333331</v>
      </c>
      <c r="K416" s="15"/>
    </row>
    <row r="417" spans="1:11" ht="16.5" x14ac:dyDescent="0.2">
      <c r="A417" s="4" t="s">
        <v>301</v>
      </c>
      <c r="B417">
        <v>2014</v>
      </c>
      <c r="C417" s="14">
        <v>2916.6666666666665</v>
      </c>
      <c r="D417" s="14">
        <v>707.33333333333326</v>
      </c>
      <c r="E417" s="14">
        <v>3643.333333333333</v>
      </c>
      <c r="F417" s="14">
        <v>1609.3333333333333</v>
      </c>
      <c r="G417" s="14">
        <v>769.99999999999989</v>
      </c>
      <c r="H417" s="14">
        <v>204.66666666666666</v>
      </c>
      <c r="I417" s="14">
        <v>470.66666666666657</v>
      </c>
    </row>
    <row r="418" spans="1:11" ht="16.5" x14ac:dyDescent="0.2">
      <c r="A418" s="4" t="s">
        <v>301</v>
      </c>
      <c r="B418">
        <v>2015</v>
      </c>
      <c r="C418" s="14">
        <v>2914</v>
      </c>
      <c r="D418" s="14">
        <v>706.66666666666663</v>
      </c>
      <c r="E418" s="14">
        <v>3641.9999999999995</v>
      </c>
      <c r="F418" s="14">
        <v>1607.9999999999998</v>
      </c>
      <c r="G418" s="14">
        <v>773.99999999999989</v>
      </c>
      <c r="H418" s="14">
        <v>205.99999999999997</v>
      </c>
      <c r="I418" s="14">
        <v>469.99999999999994</v>
      </c>
      <c r="K418" s="15"/>
    </row>
    <row r="419" spans="1:11" ht="16.5" x14ac:dyDescent="0.2">
      <c r="A419" s="4" t="s">
        <v>301</v>
      </c>
      <c r="B419">
        <v>2016</v>
      </c>
      <c r="C419" s="14">
        <v>2912</v>
      </c>
      <c r="D419" s="14">
        <v>706</v>
      </c>
      <c r="E419" s="14">
        <v>3640.6666666666665</v>
      </c>
      <c r="F419" s="14">
        <v>1607.3333333333333</v>
      </c>
      <c r="G419" s="14">
        <v>776</v>
      </c>
      <c r="H419" s="14">
        <v>207.33333333333331</v>
      </c>
      <c r="I419" s="14">
        <v>469.99999999999994</v>
      </c>
    </row>
    <row r="420" spans="1:11" ht="16.5" x14ac:dyDescent="0.2">
      <c r="A420" s="4" t="s">
        <v>300</v>
      </c>
      <c r="B420">
        <v>2009</v>
      </c>
      <c r="C420" s="14">
        <v>70304.666666666672</v>
      </c>
      <c r="D420" s="14">
        <v>680.66666666666652</v>
      </c>
      <c r="E420" s="14">
        <v>88638</v>
      </c>
      <c r="F420" s="14">
        <v>6911.333333333333</v>
      </c>
      <c r="G420" s="14">
        <v>7947.3333333333321</v>
      </c>
      <c r="H420" s="14">
        <v>3038.6666666666665</v>
      </c>
      <c r="I420" s="14">
        <v>7161.9999999999991</v>
      </c>
      <c r="K420" s="15"/>
    </row>
    <row r="421" spans="1:11" ht="16.5" x14ac:dyDescent="0.2">
      <c r="A421" s="4" t="s">
        <v>300</v>
      </c>
      <c r="B421">
        <v>2010</v>
      </c>
      <c r="C421" s="14">
        <v>70174</v>
      </c>
      <c r="D421" s="14">
        <v>679.99999999999989</v>
      </c>
      <c r="E421" s="14">
        <v>88627.333333333328</v>
      </c>
      <c r="F421" s="14">
        <v>6860.6666666666652</v>
      </c>
      <c r="G421" s="14">
        <v>8019.9999999999991</v>
      </c>
      <c r="H421" s="14">
        <v>3047.333333333333</v>
      </c>
      <c r="I421" s="14">
        <v>7186.6666666666661</v>
      </c>
    </row>
    <row r="422" spans="1:11" ht="16.5" x14ac:dyDescent="0.2">
      <c r="A422" s="4" t="s">
        <v>300</v>
      </c>
      <c r="B422">
        <v>2011</v>
      </c>
      <c r="C422" s="14">
        <v>70211.999999999985</v>
      </c>
      <c r="D422" s="14">
        <v>662.66666666666663</v>
      </c>
      <c r="E422" s="14">
        <v>88611.333333333328</v>
      </c>
      <c r="F422" s="14">
        <v>6815.9999999999991</v>
      </c>
      <c r="G422" s="14">
        <v>8147.9999999999982</v>
      </c>
      <c r="H422" s="14">
        <v>3077.333333333333</v>
      </c>
      <c r="I422" s="14">
        <v>7188.6666666666661</v>
      </c>
      <c r="K422" s="15"/>
    </row>
    <row r="423" spans="1:11" ht="16.5" x14ac:dyDescent="0.2">
      <c r="A423" s="4" t="s">
        <v>300</v>
      </c>
      <c r="B423">
        <v>2012</v>
      </c>
      <c r="C423" s="14">
        <v>70136.666666666657</v>
      </c>
      <c r="D423" s="14">
        <v>660.66666666666652</v>
      </c>
      <c r="E423" s="14">
        <v>88601.333333333328</v>
      </c>
      <c r="F423" s="14">
        <v>6798.6666666666661</v>
      </c>
      <c r="G423" s="14">
        <v>8251.3333333333321</v>
      </c>
      <c r="H423" s="14">
        <v>3086.6666666666665</v>
      </c>
      <c r="I423" s="14">
        <v>7183.9999999999991</v>
      </c>
    </row>
    <row r="424" spans="1:11" ht="16.5" x14ac:dyDescent="0.2">
      <c r="A424" s="4" t="s">
        <v>300</v>
      </c>
      <c r="B424">
        <v>2013</v>
      </c>
      <c r="C424" s="14">
        <v>70064.666666666672</v>
      </c>
      <c r="D424" s="14">
        <v>659.33333333333326</v>
      </c>
      <c r="E424" s="14">
        <v>88585.999999999985</v>
      </c>
      <c r="F424" s="14">
        <v>6774.6666666666661</v>
      </c>
      <c r="G424" s="14">
        <v>8328</v>
      </c>
      <c r="H424" s="14">
        <v>3113.333333333333</v>
      </c>
      <c r="I424" s="14">
        <v>7201.333333333333</v>
      </c>
      <c r="K424" s="15"/>
    </row>
    <row r="425" spans="1:11" ht="16.5" x14ac:dyDescent="0.2">
      <c r="A425" s="4" t="s">
        <v>300</v>
      </c>
      <c r="B425">
        <v>2014</v>
      </c>
      <c r="C425" s="14">
        <v>70013.333333333328</v>
      </c>
      <c r="D425" s="14">
        <v>658.66666666666663</v>
      </c>
      <c r="E425" s="14">
        <v>88559.333333333328</v>
      </c>
      <c r="F425" s="14">
        <v>6761.9999999999991</v>
      </c>
      <c r="G425" s="14">
        <v>8385.3333333333321</v>
      </c>
      <c r="H425" s="14">
        <v>3148.6666666666665</v>
      </c>
      <c r="I425" s="14">
        <v>7201.333333333333</v>
      </c>
    </row>
    <row r="426" spans="1:11" ht="16.5" x14ac:dyDescent="0.2">
      <c r="A426" s="4" t="s">
        <v>300</v>
      </c>
      <c r="B426">
        <v>2015</v>
      </c>
      <c r="C426" s="14">
        <v>69991.999999999985</v>
      </c>
      <c r="D426" s="14">
        <v>658.66666666666663</v>
      </c>
      <c r="E426" s="14">
        <v>88548.666666666657</v>
      </c>
      <c r="F426" s="14">
        <v>6754.6666666666661</v>
      </c>
      <c r="G426" s="14">
        <v>8428.6666666666679</v>
      </c>
      <c r="H426" s="14">
        <v>3159.9999999999995</v>
      </c>
      <c r="I426" s="14">
        <v>7198.6666666666661</v>
      </c>
      <c r="K426" s="15"/>
    </row>
    <row r="427" spans="1:11" ht="16.5" x14ac:dyDescent="0.2">
      <c r="A427" s="4" t="s">
        <v>300</v>
      </c>
      <c r="B427">
        <v>2016</v>
      </c>
      <c r="C427" s="14">
        <v>69934</v>
      </c>
      <c r="D427" s="14">
        <v>658.66666666666663</v>
      </c>
      <c r="E427" s="14">
        <v>88532.666666666657</v>
      </c>
      <c r="F427" s="14">
        <v>6750.6666666666661</v>
      </c>
      <c r="G427" s="14">
        <v>8470</v>
      </c>
      <c r="H427" s="14">
        <v>3180.6666666666665</v>
      </c>
      <c r="I427" s="14">
        <v>7211.333333333333</v>
      </c>
    </row>
    <row r="428" spans="1:11" ht="16.5" x14ac:dyDescent="0.2">
      <c r="A428" s="4" t="s">
        <v>299</v>
      </c>
      <c r="B428">
        <v>2009</v>
      </c>
      <c r="C428" s="14">
        <v>14629.333333333332</v>
      </c>
      <c r="D428" s="14">
        <v>14.666666666666666</v>
      </c>
      <c r="E428" s="14">
        <v>1706.6666666666665</v>
      </c>
      <c r="F428" s="14">
        <v>162</v>
      </c>
      <c r="G428" s="14">
        <v>2061.3333333333335</v>
      </c>
      <c r="H428" s="14">
        <v>640.66666666666652</v>
      </c>
      <c r="I428" s="14">
        <v>1030.6666666666665</v>
      </c>
      <c r="K428" s="15"/>
    </row>
    <row r="429" spans="1:11" ht="16.5" x14ac:dyDescent="0.2">
      <c r="A429" s="4" t="s">
        <v>299</v>
      </c>
      <c r="B429">
        <v>2010</v>
      </c>
      <c r="C429" s="14">
        <v>14597.999999999998</v>
      </c>
      <c r="D429" s="14">
        <v>14.666666666666666</v>
      </c>
      <c r="E429" s="14">
        <v>1705.3333333333333</v>
      </c>
      <c r="F429" s="14">
        <v>160</v>
      </c>
      <c r="G429" s="14">
        <v>2097.3333333333335</v>
      </c>
      <c r="H429" s="14">
        <v>640.66666666666652</v>
      </c>
      <c r="I429" s="14">
        <v>1027.9999999999998</v>
      </c>
    </row>
    <row r="430" spans="1:11" ht="16.5" x14ac:dyDescent="0.2">
      <c r="A430" s="4" t="s">
        <v>299</v>
      </c>
      <c r="B430">
        <v>2011</v>
      </c>
      <c r="C430" s="14">
        <v>14544.666666666664</v>
      </c>
      <c r="D430" s="14">
        <v>14.666666666666666</v>
      </c>
      <c r="E430" s="14">
        <v>1700.6666666666665</v>
      </c>
      <c r="F430" s="14">
        <v>155.33333333333331</v>
      </c>
      <c r="G430" s="14">
        <v>2157.3333333333335</v>
      </c>
      <c r="H430" s="14">
        <v>643.99999999999989</v>
      </c>
      <c r="I430" s="14">
        <v>1024.6666666666665</v>
      </c>
      <c r="K430" s="15"/>
    </row>
    <row r="431" spans="1:11" ht="16.5" x14ac:dyDescent="0.2">
      <c r="A431" s="4" t="s">
        <v>299</v>
      </c>
      <c r="B431">
        <v>2012</v>
      </c>
      <c r="C431" s="14">
        <v>14499.999999999998</v>
      </c>
      <c r="D431" s="14">
        <v>14</v>
      </c>
      <c r="E431" s="14">
        <v>1697.9999999999998</v>
      </c>
      <c r="F431" s="14">
        <v>154</v>
      </c>
      <c r="G431" s="14">
        <v>2204</v>
      </c>
      <c r="H431" s="14">
        <v>648</v>
      </c>
      <c r="I431" s="14">
        <v>1022.6666666666666</v>
      </c>
    </row>
    <row r="432" spans="1:11" ht="16.5" x14ac:dyDescent="0.2">
      <c r="A432" s="4" t="s">
        <v>299</v>
      </c>
      <c r="B432">
        <v>2013</v>
      </c>
      <c r="C432" s="14">
        <v>14477.333333333332</v>
      </c>
      <c r="D432" s="14">
        <v>14</v>
      </c>
      <c r="E432" s="14">
        <v>1696.6666666666665</v>
      </c>
      <c r="F432" s="14">
        <v>152.66666666666666</v>
      </c>
      <c r="G432" s="14">
        <v>2231.3333333333335</v>
      </c>
      <c r="H432" s="14">
        <v>649.99999999999989</v>
      </c>
      <c r="I432" s="14">
        <v>1021.3333333333331</v>
      </c>
      <c r="K432" s="15"/>
    </row>
    <row r="433" spans="1:11" ht="16.5" x14ac:dyDescent="0.2">
      <c r="A433" s="4" t="s">
        <v>299</v>
      </c>
      <c r="B433">
        <v>2014</v>
      </c>
      <c r="C433" s="14">
        <v>14464.666666666664</v>
      </c>
      <c r="D433" s="14">
        <v>14</v>
      </c>
      <c r="E433" s="14">
        <v>1695.3333333333333</v>
      </c>
      <c r="F433" s="14">
        <v>148.66666666666666</v>
      </c>
      <c r="G433" s="14">
        <v>2252.6666666666665</v>
      </c>
      <c r="H433" s="14">
        <v>650.66666666666652</v>
      </c>
      <c r="I433" s="14">
        <v>1020.6666666666665</v>
      </c>
    </row>
    <row r="434" spans="1:11" ht="16.5" x14ac:dyDescent="0.2">
      <c r="A434" s="4" t="s">
        <v>299</v>
      </c>
      <c r="B434">
        <v>2015</v>
      </c>
      <c r="C434" s="14">
        <v>14457.333333333332</v>
      </c>
      <c r="D434" s="14">
        <v>14</v>
      </c>
      <c r="E434" s="14">
        <v>1693.3333333333333</v>
      </c>
      <c r="F434" s="14">
        <v>147.99999999999997</v>
      </c>
      <c r="G434" s="14">
        <v>2260.6666666666665</v>
      </c>
      <c r="H434" s="14">
        <v>651.33333333333326</v>
      </c>
      <c r="I434" s="14">
        <v>1019.9999999999999</v>
      </c>
      <c r="K434" s="15"/>
    </row>
    <row r="435" spans="1:11" ht="16.5" x14ac:dyDescent="0.2">
      <c r="A435" s="4" t="s">
        <v>299</v>
      </c>
      <c r="B435">
        <v>2016</v>
      </c>
      <c r="C435" s="14">
        <v>14439.333333333332</v>
      </c>
      <c r="D435" s="14">
        <v>14</v>
      </c>
      <c r="E435" s="14">
        <v>1692</v>
      </c>
      <c r="F435" s="14">
        <v>147.99999999999997</v>
      </c>
      <c r="G435" s="14">
        <v>2275.333333333333</v>
      </c>
      <c r="H435" s="14">
        <v>653.99999999999989</v>
      </c>
      <c r="I435" s="14">
        <v>1019.3333333333333</v>
      </c>
    </row>
    <row r="436" spans="1:11" ht="16.5" x14ac:dyDescent="0.2">
      <c r="A436" s="4" t="s">
        <v>298</v>
      </c>
      <c r="B436">
        <v>2009</v>
      </c>
      <c r="C436" s="14">
        <v>9351.9999999999982</v>
      </c>
      <c r="D436" s="14">
        <v>96</v>
      </c>
      <c r="E436" s="14">
        <v>15635.333333333334</v>
      </c>
      <c r="F436" s="14">
        <v>48</v>
      </c>
      <c r="G436" s="14">
        <v>1058</v>
      </c>
      <c r="H436" s="14">
        <v>338</v>
      </c>
      <c r="I436" s="14">
        <v>1107.3333333333333</v>
      </c>
      <c r="K436" s="15"/>
    </row>
    <row r="437" spans="1:11" ht="16.5" x14ac:dyDescent="0.2">
      <c r="A437" s="4" t="s">
        <v>298</v>
      </c>
      <c r="B437">
        <v>2010</v>
      </c>
      <c r="C437" s="14">
        <v>9281.3333333333321</v>
      </c>
      <c r="D437" s="14">
        <v>95.333333333333329</v>
      </c>
      <c r="E437" s="14">
        <v>15633.333333333332</v>
      </c>
      <c r="F437" s="14">
        <v>47.333333333333329</v>
      </c>
      <c r="G437" s="14">
        <v>1066</v>
      </c>
      <c r="H437" s="14">
        <v>338</v>
      </c>
      <c r="I437" s="14">
        <v>1114.6666666666665</v>
      </c>
    </row>
    <row r="438" spans="1:11" ht="16.5" x14ac:dyDescent="0.2">
      <c r="A438" s="4" t="s">
        <v>298</v>
      </c>
      <c r="B438">
        <v>2011</v>
      </c>
      <c r="C438" s="14">
        <v>9285.3333333333321</v>
      </c>
      <c r="D438" s="14">
        <v>94.666666666666657</v>
      </c>
      <c r="E438" s="14">
        <v>15627.333333333332</v>
      </c>
      <c r="F438" s="14">
        <v>46.666666666666664</v>
      </c>
      <c r="G438" s="14">
        <v>1081.3333333333333</v>
      </c>
      <c r="H438" s="14">
        <v>341.33333333333331</v>
      </c>
      <c r="I438" s="14">
        <v>1113.9999999999998</v>
      </c>
      <c r="K438" s="15"/>
    </row>
    <row r="439" spans="1:11" ht="16.5" x14ac:dyDescent="0.2">
      <c r="A439" s="4" t="s">
        <v>298</v>
      </c>
      <c r="B439">
        <v>2012</v>
      </c>
      <c r="C439" s="14">
        <v>9270.6666666666661</v>
      </c>
      <c r="D439" s="14">
        <v>93.999999999999986</v>
      </c>
      <c r="E439" s="14">
        <v>15622.666666666666</v>
      </c>
      <c r="F439" s="14">
        <v>46</v>
      </c>
      <c r="G439" s="14">
        <v>1100</v>
      </c>
      <c r="H439" s="14">
        <v>342.66666666666663</v>
      </c>
      <c r="I439" s="14">
        <v>1113.3333333333333</v>
      </c>
    </row>
    <row r="440" spans="1:11" ht="16.5" x14ac:dyDescent="0.2">
      <c r="A440" s="4" t="s">
        <v>298</v>
      </c>
      <c r="B440">
        <v>2013</v>
      </c>
      <c r="C440" s="14">
        <v>9261.3333333333321</v>
      </c>
      <c r="D440" s="14">
        <v>93.999999999999986</v>
      </c>
      <c r="E440" s="14">
        <v>15620.666666666664</v>
      </c>
      <c r="F440" s="14">
        <v>45.333333333333329</v>
      </c>
      <c r="G440" s="14">
        <v>1109.333333333333</v>
      </c>
      <c r="H440" s="14">
        <v>344.66666666666663</v>
      </c>
      <c r="I440" s="14">
        <v>1113.3333333333333</v>
      </c>
      <c r="K440" s="15"/>
    </row>
    <row r="441" spans="1:11" ht="16.5" x14ac:dyDescent="0.2">
      <c r="A441" s="4" t="s">
        <v>298</v>
      </c>
      <c r="B441">
        <v>2014</v>
      </c>
      <c r="C441" s="14">
        <v>9256</v>
      </c>
      <c r="D441" s="14">
        <v>93.999999999999986</v>
      </c>
      <c r="E441" s="14">
        <v>15619.333333333332</v>
      </c>
      <c r="F441" s="14">
        <v>45.333333333333329</v>
      </c>
      <c r="G441" s="14">
        <v>1116</v>
      </c>
      <c r="H441" s="14">
        <v>344.66666666666663</v>
      </c>
      <c r="I441" s="14">
        <v>1113.3333333333333</v>
      </c>
    </row>
    <row r="442" spans="1:11" ht="16.5" x14ac:dyDescent="0.2">
      <c r="A442" s="4" t="s">
        <v>298</v>
      </c>
      <c r="B442">
        <v>2015</v>
      </c>
      <c r="C442" s="14">
        <v>9247.3333333333321</v>
      </c>
      <c r="D442" s="14">
        <v>93.999999999999986</v>
      </c>
      <c r="E442" s="14">
        <v>15617.333333333332</v>
      </c>
      <c r="F442" s="14">
        <v>45.333333333333329</v>
      </c>
      <c r="G442" s="14">
        <v>1125.333333333333</v>
      </c>
      <c r="H442" s="14">
        <v>345.99999999999994</v>
      </c>
      <c r="I442" s="14">
        <v>1112.6666666666665</v>
      </c>
      <c r="K442" s="15"/>
    </row>
    <row r="443" spans="1:11" ht="16.5" x14ac:dyDescent="0.2">
      <c r="A443" s="4" t="s">
        <v>298</v>
      </c>
      <c r="B443">
        <v>2016</v>
      </c>
      <c r="C443" s="14">
        <v>9240</v>
      </c>
      <c r="D443" s="14">
        <v>93.333333333333329</v>
      </c>
      <c r="E443" s="14">
        <v>15612.666666666666</v>
      </c>
      <c r="F443" s="14">
        <v>44.666666666666664</v>
      </c>
      <c r="G443" s="14">
        <v>1129.3333333333333</v>
      </c>
      <c r="H443" s="14">
        <v>351.33333333333331</v>
      </c>
      <c r="I443" s="14">
        <v>1115.3333333333333</v>
      </c>
    </row>
    <row r="444" spans="1:11" ht="16.5" x14ac:dyDescent="0.2">
      <c r="A444" s="4" t="s">
        <v>297</v>
      </c>
      <c r="B444">
        <v>2009</v>
      </c>
      <c r="C444" s="14">
        <v>9735.3333333333321</v>
      </c>
      <c r="D444" s="14">
        <v>53.333333333333329</v>
      </c>
      <c r="E444" s="14">
        <v>2157.3333333333335</v>
      </c>
      <c r="F444" s="14">
        <v>165.33333333333331</v>
      </c>
      <c r="G444" s="14">
        <v>1139.3333333333333</v>
      </c>
      <c r="H444" s="14">
        <v>436.66666666666663</v>
      </c>
      <c r="I444" s="14">
        <v>449.33333333333331</v>
      </c>
      <c r="K444" s="15"/>
    </row>
    <row r="445" spans="1:11" ht="16.5" x14ac:dyDescent="0.2">
      <c r="A445" s="4" t="s">
        <v>297</v>
      </c>
      <c r="B445">
        <v>2010</v>
      </c>
      <c r="C445" s="14">
        <v>9727.3333333333321</v>
      </c>
      <c r="D445" s="14">
        <v>53.333333333333329</v>
      </c>
      <c r="E445" s="14">
        <v>2156.6666666666665</v>
      </c>
      <c r="F445" s="14">
        <v>164</v>
      </c>
      <c r="G445" s="14">
        <v>1143.333333333333</v>
      </c>
      <c r="H445" s="14">
        <v>436</v>
      </c>
      <c r="I445" s="14">
        <v>458.66666666666663</v>
      </c>
    </row>
    <row r="446" spans="1:11" ht="16.5" x14ac:dyDescent="0.2">
      <c r="A446" s="4" t="s">
        <v>297</v>
      </c>
      <c r="B446">
        <v>2011</v>
      </c>
      <c r="C446" s="14">
        <v>9728.6666666666661</v>
      </c>
      <c r="D446" s="14">
        <v>52.666666666666664</v>
      </c>
      <c r="E446" s="14">
        <v>2155.9999999999995</v>
      </c>
      <c r="F446" s="14">
        <v>161.33333333333331</v>
      </c>
      <c r="G446" s="14">
        <v>1154</v>
      </c>
      <c r="H446" s="14">
        <v>438</v>
      </c>
      <c r="I446" s="14">
        <v>459.33333333333331</v>
      </c>
      <c r="K446" s="15"/>
    </row>
    <row r="447" spans="1:11" ht="16.5" x14ac:dyDescent="0.2">
      <c r="A447" s="4" t="s">
        <v>297</v>
      </c>
      <c r="B447">
        <v>2012</v>
      </c>
      <c r="C447" s="14">
        <v>9721.3333333333321</v>
      </c>
      <c r="D447" s="14">
        <v>52.666666666666664</v>
      </c>
      <c r="E447" s="14">
        <v>2155.333333333333</v>
      </c>
      <c r="F447" s="14">
        <v>161.33333333333331</v>
      </c>
      <c r="G447" s="14">
        <v>1159.3333333333333</v>
      </c>
      <c r="H447" s="14">
        <v>439.33333333333331</v>
      </c>
      <c r="I447" s="14">
        <v>459.33333333333331</v>
      </c>
    </row>
    <row r="448" spans="1:11" ht="16.5" x14ac:dyDescent="0.2">
      <c r="A448" s="4" t="s">
        <v>297</v>
      </c>
      <c r="B448">
        <v>2013</v>
      </c>
      <c r="C448" s="14">
        <v>9706</v>
      </c>
      <c r="D448" s="14">
        <v>52.666666666666664</v>
      </c>
      <c r="E448" s="14">
        <v>2151.333333333333</v>
      </c>
      <c r="F448" s="14">
        <v>160.66666666666666</v>
      </c>
      <c r="G448" s="14">
        <v>1166.0000000000002</v>
      </c>
      <c r="H448" s="14">
        <v>450.66666666666657</v>
      </c>
      <c r="I448" s="14">
        <v>463.33333333333331</v>
      </c>
      <c r="K448" s="15"/>
    </row>
    <row r="449" spans="1:11" ht="16.5" x14ac:dyDescent="0.2">
      <c r="A449" s="4" t="s">
        <v>297</v>
      </c>
      <c r="B449">
        <v>2014</v>
      </c>
      <c r="C449" s="14">
        <v>9702.6666666666661</v>
      </c>
      <c r="D449" s="14">
        <v>52.666666666666664</v>
      </c>
      <c r="E449" s="14">
        <v>2150.6666666666665</v>
      </c>
      <c r="F449" s="14">
        <v>160</v>
      </c>
      <c r="G449" s="14">
        <v>1172.6666666666665</v>
      </c>
      <c r="H449" s="14">
        <v>451.33333333333331</v>
      </c>
      <c r="I449" s="14">
        <v>462.66666666666669</v>
      </c>
    </row>
    <row r="450" spans="1:11" ht="16.5" x14ac:dyDescent="0.2">
      <c r="A450" s="4" t="s">
        <v>297</v>
      </c>
      <c r="B450">
        <v>2015</v>
      </c>
      <c r="C450" s="14">
        <v>9696</v>
      </c>
      <c r="D450" s="14">
        <v>52.666666666666664</v>
      </c>
      <c r="E450" s="14">
        <v>2150</v>
      </c>
      <c r="F450" s="14">
        <v>160</v>
      </c>
      <c r="G450" s="14">
        <v>1178</v>
      </c>
      <c r="H450" s="14">
        <v>451.99999999999994</v>
      </c>
      <c r="I450" s="14">
        <v>462.66666666666669</v>
      </c>
      <c r="K450" s="15"/>
    </row>
    <row r="451" spans="1:11" ht="16.5" x14ac:dyDescent="0.2">
      <c r="A451" s="4" t="s">
        <v>297</v>
      </c>
      <c r="B451">
        <v>2016</v>
      </c>
      <c r="C451" s="14">
        <v>9690.6666666666661</v>
      </c>
      <c r="D451" s="14">
        <v>52.666666666666664</v>
      </c>
      <c r="E451" s="14">
        <v>2150</v>
      </c>
      <c r="F451" s="14">
        <v>160</v>
      </c>
      <c r="G451" s="14">
        <v>1182</v>
      </c>
      <c r="H451" s="14">
        <v>452.66666666666669</v>
      </c>
      <c r="I451" s="14">
        <v>462.66666666666669</v>
      </c>
    </row>
    <row r="452" spans="1:11" ht="16.5" x14ac:dyDescent="0.2">
      <c r="A452" s="4" t="s">
        <v>296</v>
      </c>
      <c r="B452">
        <v>2009</v>
      </c>
      <c r="C452" s="14">
        <v>2597.333333333333</v>
      </c>
      <c r="D452" s="14">
        <v>21.999999999999996</v>
      </c>
      <c r="E452" s="14">
        <v>1907.3333333333333</v>
      </c>
      <c r="F452" s="14">
        <v>24</v>
      </c>
      <c r="G452" s="14">
        <v>321.33333333333326</v>
      </c>
      <c r="H452" s="14">
        <v>95.333333333333329</v>
      </c>
      <c r="I452" s="14">
        <v>162</v>
      </c>
      <c r="K452" s="15"/>
    </row>
    <row r="453" spans="1:11" ht="16.5" x14ac:dyDescent="0.2">
      <c r="A453" s="4" t="s">
        <v>296</v>
      </c>
      <c r="B453">
        <v>2010</v>
      </c>
      <c r="C453" s="14">
        <v>2595.333333333333</v>
      </c>
      <c r="D453" s="14">
        <v>21.999999999999996</v>
      </c>
      <c r="E453" s="14">
        <v>1907.3333333333333</v>
      </c>
      <c r="F453" s="14">
        <v>23.333333333333332</v>
      </c>
      <c r="G453" s="14">
        <v>321.99999999999994</v>
      </c>
      <c r="H453" s="14">
        <v>95.333333333333329</v>
      </c>
      <c r="I453" s="14">
        <v>162</v>
      </c>
    </row>
    <row r="454" spans="1:11" ht="16.5" x14ac:dyDescent="0.2">
      <c r="A454" s="4" t="s">
        <v>296</v>
      </c>
      <c r="B454">
        <v>2011</v>
      </c>
      <c r="C454" s="14">
        <v>2592</v>
      </c>
      <c r="D454" s="14">
        <v>21.999999999999996</v>
      </c>
      <c r="E454" s="14">
        <v>1905.9999999999998</v>
      </c>
      <c r="F454" s="14">
        <v>23.333333333333332</v>
      </c>
      <c r="G454" s="14">
        <v>325.99999999999994</v>
      </c>
      <c r="H454" s="14">
        <v>97.333333333333329</v>
      </c>
      <c r="I454" s="14">
        <v>162.66666666666663</v>
      </c>
      <c r="K454" s="15"/>
    </row>
    <row r="455" spans="1:11" ht="16.5" x14ac:dyDescent="0.2">
      <c r="A455" s="4" t="s">
        <v>296</v>
      </c>
      <c r="B455">
        <v>2012</v>
      </c>
      <c r="C455" s="14">
        <v>2587.9999999999995</v>
      </c>
      <c r="D455" s="14">
        <v>21.999999999999996</v>
      </c>
      <c r="E455" s="14">
        <v>1905.9999999999998</v>
      </c>
      <c r="F455" s="14">
        <v>23.333333333333332</v>
      </c>
      <c r="G455" s="14">
        <v>329.33333333333331</v>
      </c>
      <c r="H455" s="14">
        <v>97.333333333333329</v>
      </c>
      <c r="I455" s="14">
        <v>162.66666666666663</v>
      </c>
    </row>
    <row r="456" spans="1:11" ht="16.5" x14ac:dyDescent="0.2">
      <c r="A456" s="4" t="s">
        <v>296</v>
      </c>
      <c r="B456">
        <v>2013</v>
      </c>
      <c r="C456" s="14">
        <v>2586.6666666666665</v>
      </c>
      <c r="D456" s="14">
        <v>21.999999999999996</v>
      </c>
      <c r="E456" s="14">
        <v>1905.3333333333333</v>
      </c>
      <c r="F456" s="14">
        <v>22.666666666666664</v>
      </c>
      <c r="G456" s="14">
        <v>331.33333333333326</v>
      </c>
      <c r="H456" s="14">
        <v>97.999999999999986</v>
      </c>
      <c r="I456" s="14">
        <v>162.66666666666663</v>
      </c>
      <c r="K456" s="15"/>
    </row>
    <row r="457" spans="1:11" ht="16.5" x14ac:dyDescent="0.2">
      <c r="A457" s="4" t="s">
        <v>296</v>
      </c>
      <c r="B457">
        <v>2014</v>
      </c>
      <c r="C457" s="14">
        <v>2584</v>
      </c>
      <c r="D457" s="14">
        <v>21.999999999999996</v>
      </c>
      <c r="E457" s="14">
        <v>1904.6666666666665</v>
      </c>
      <c r="F457" s="14">
        <v>22.666666666666664</v>
      </c>
      <c r="G457" s="14">
        <v>332.66666666666663</v>
      </c>
      <c r="H457" s="14">
        <v>99.333333333333329</v>
      </c>
      <c r="I457" s="14">
        <v>162.66666666666663</v>
      </c>
    </row>
    <row r="458" spans="1:11" ht="16.5" x14ac:dyDescent="0.2">
      <c r="A458" s="4" t="s">
        <v>296</v>
      </c>
      <c r="B458">
        <v>2015</v>
      </c>
      <c r="C458" s="14">
        <v>2582.6666666666661</v>
      </c>
      <c r="D458" s="14">
        <v>21.999999999999996</v>
      </c>
      <c r="E458" s="14">
        <v>1904</v>
      </c>
      <c r="F458" s="14">
        <v>22.666666666666664</v>
      </c>
      <c r="G458" s="14">
        <v>333.33333333333326</v>
      </c>
      <c r="H458" s="14">
        <v>99.333333333333329</v>
      </c>
      <c r="I458" s="14">
        <v>162.66666666666663</v>
      </c>
      <c r="K458" s="15"/>
    </row>
    <row r="459" spans="1:11" ht="16.5" x14ac:dyDescent="0.2">
      <c r="A459" s="4" t="s">
        <v>296</v>
      </c>
      <c r="B459">
        <v>2016</v>
      </c>
      <c r="C459" s="14">
        <v>2580.6666666666665</v>
      </c>
      <c r="D459" s="14">
        <v>21.999999999999996</v>
      </c>
      <c r="E459" s="14">
        <v>1904</v>
      </c>
      <c r="F459" s="14">
        <v>22.666666666666664</v>
      </c>
      <c r="G459" s="14">
        <v>334.66666666666663</v>
      </c>
      <c r="H459" s="14">
        <v>99.999999999999986</v>
      </c>
      <c r="I459" s="14">
        <v>163.33333333333331</v>
      </c>
    </row>
    <row r="460" spans="1:11" ht="16.5" x14ac:dyDescent="0.2">
      <c r="A460" s="4" t="s">
        <v>295</v>
      </c>
      <c r="B460">
        <v>2009</v>
      </c>
      <c r="C460" s="14">
        <v>4111.333333333333</v>
      </c>
      <c r="D460" s="14">
        <v>81.333333333333314</v>
      </c>
      <c r="E460" s="14">
        <v>10171.999999999998</v>
      </c>
      <c r="F460" s="14">
        <v>81.333333333333314</v>
      </c>
      <c r="G460" s="14">
        <v>480.66666666666657</v>
      </c>
      <c r="H460" s="14">
        <v>165.99999999999997</v>
      </c>
      <c r="I460" s="14">
        <v>471.33333333333331</v>
      </c>
      <c r="K460" s="15"/>
    </row>
    <row r="461" spans="1:11" ht="16.5" x14ac:dyDescent="0.2">
      <c r="A461" s="4" t="s">
        <v>295</v>
      </c>
      <c r="B461">
        <v>2010</v>
      </c>
      <c r="C461" s="14">
        <v>4053.333333333333</v>
      </c>
      <c r="D461" s="14">
        <v>81.333333333333314</v>
      </c>
      <c r="E461" s="14">
        <v>10170</v>
      </c>
      <c r="F461" s="14">
        <v>80.666666666666657</v>
      </c>
      <c r="G461" s="14">
        <v>485.33333333333337</v>
      </c>
      <c r="H461" s="14">
        <v>165.99999999999997</v>
      </c>
      <c r="I461" s="14">
        <v>474.66666666666663</v>
      </c>
    </row>
    <row r="462" spans="1:11" ht="16.5" x14ac:dyDescent="0.2">
      <c r="A462" s="4" t="s">
        <v>295</v>
      </c>
      <c r="B462">
        <v>2011</v>
      </c>
      <c r="C462" s="14">
        <v>4106.6666666666661</v>
      </c>
      <c r="D462" s="14">
        <v>69.333333333333329</v>
      </c>
      <c r="E462" s="14">
        <v>10171.999999999998</v>
      </c>
      <c r="F462" s="14">
        <v>80</v>
      </c>
      <c r="G462" s="14">
        <v>492.66666666666669</v>
      </c>
      <c r="H462" s="14">
        <v>166.66666666666666</v>
      </c>
      <c r="I462" s="14">
        <v>474.66666666666663</v>
      </c>
      <c r="K462" s="15"/>
    </row>
    <row r="463" spans="1:11" ht="16.5" x14ac:dyDescent="0.2">
      <c r="A463" s="4" t="s">
        <v>295</v>
      </c>
      <c r="B463">
        <v>2012</v>
      </c>
      <c r="C463" s="14">
        <v>4096.6666666666661</v>
      </c>
      <c r="D463" s="14">
        <v>67.999999999999986</v>
      </c>
      <c r="E463" s="14">
        <v>10175.333333333332</v>
      </c>
      <c r="F463" s="14">
        <v>80</v>
      </c>
      <c r="G463" s="14">
        <v>500.66666666666657</v>
      </c>
      <c r="H463" s="14">
        <v>166.66666666666666</v>
      </c>
      <c r="I463" s="14">
        <v>473.99999999999994</v>
      </c>
    </row>
    <row r="464" spans="1:11" ht="16.5" x14ac:dyDescent="0.2">
      <c r="A464" s="4" t="s">
        <v>295</v>
      </c>
      <c r="B464">
        <v>2013</v>
      </c>
      <c r="C464" s="14">
        <v>4078.6666666666661</v>
      </c>
      <c r="D464" s="14">
        <v>67.999999999999986</v>
      </c>
      <c r="E464" s="14">
        <v>10170.666666666666</v>
      </c>
      <c r="F464" s="14">
        <v>82</v>
      </c>
      <c r="G464" s="14">
        <v>510.66666666666657</v>
      </c>
      <c r="H464" s="14">
        <v>172</v>
      </c>
      <c r="I464" s="14">
        <v>474.66666666666663</v>
      </c>
      <c r="K464" s="15"/>
    </row>
    <row r="465" spans="1:11" ht="16.5" x14ac:dyDescent="0.2">
      <c r="A465" s="4" t="s">
        <v>295</v>
      </c>
      <c r="B465">
        <v>2014</v>
      </c>
      <c r="C465" s="14">
        <v>4071.9999999999995</v>
      </c>
      <c r="D465" s="14">
        <v>67.999999999999986</v>
      </c>
      <c r="E465" s="14">
        <v>10168</v>
      </c>
      <c r="F465" s="14">
        <v>81.333333333333314</v>
      </c>
      <c r="G465" s="14">
        <v>514.66666666666652</v>
      </c>
      <c r="H465" s="14">
        <v>177.33333333333331</v>
      </c>
      <c r="I465" s="14">
        <v>474.66666666666663</v>
      </c>
    </row>
    <row r="466" spans="1:11" ht="16.5" x14ac:dyDescent="0.2">
      <c r="A466" s="4" t="s">
        <v>295</v>
      </c>
      <c r="B466">
        <v>2015</v>
      </c>
      <c r="C466" s="14">
        <v>4069.9999999999995</v>
      </c>
      <c r="D466" s="14">
        <v>67.999999999999986</v>
      </c>
      <c r="E466" s="14">
        <v>10166.666666666666</v>
      </c>
      <c r="F466" s="14">
        <v>81.333333333333314</v>
      </c>
      <c r="G466" s="14">
        <v>517.33333333333337</v>
      </c>
      <c r="H466" s="14">
        <v>177.33333333333331</v>
      </c>
      <c r="I466" s="14">
        <v>474.66666666666663</v>
      </c>
      <c r="K466" s="15"/>
    </row>
    <row r="467" spans="1:11" ht="16.5" x14ac:dyDescent="0.2">
      <c r="A467" s="4" t="s">
        <v>295</v>
      </c>
      <c r="B467">
        <v>2016</v>
      </c>
      <c r="C467" s="14">
        <v>4064.6666666666665</v>
      </c>
      <c r="D467" s="14">
        <v>67.999999999999986</v>
      </c>
      <c r="E467" s="14">
        <v>10163.999999999998</v>
      </c>
      <c r="F467" s="14">
        <v>81.333333333333314</v>
      </c>
      <c r="G467" s="14">
        <v>521.99999999999989</v>
      </c>
      <c r="H467" s="14">
        <v>181.33333333333331</v>
      </c>
      <c r="I467" s="14">
        <v>474.66666666666663</v>
      </c>
    </row>
    <row r="468" spans="1:11" ht="16.5" x14ac:dyDescent="0.2">
      <c r="A468" s="4" t="s">
        <v>294</v>
      </c>
      <c r="B468">
        <v>2009</v>
      </c>
      <c r="C468" s="14">
        <v>1182</v>
      </c>
      <c r="D468" s="14">
        <v>155.33333333333331</v>
      </c>
      <c r="E468" s="14">
        <v>15189.999999999998</v>
      </c>
      <c r="F468" s="14">
        <v>161.33333333333331</v>
      </c>
      <c r="G468" s="14">
        <v>325.99999999999989</v>
      </c>
      <c r="H468" s="14">
        <v>111.33333333333331</v>
      </c>
      <c r="I468" s="14">
        <v>330.66666666666663</v>
      </c>
      <c r="K468" s="15"/>
    </row>
    <row r="469" spans="1:11" ht="16.5" x14ac:dyDescent="0.2">
      <c r="A469" s="4" t="s">
        <v>294</v>
      </c>
      <c r="B469">
        <v>2010</v>
      </c>
      <c r="C469" s="14">
        <v>1165.3333333333333</v>
      </c>
      <c r="D469" s="14">
        <v>155.33333333333331</v>
      </c>
      <c r="E469" s="14">
        <v>15182.666666666666</v>
      </c>
      <c r="F469" s="14">
        <v>161.33333333333331</v>
      </c>
      <c r="G469" s="14">
        <v>333.33333333333331</v>
      </c>
      <c r="H469" s="14">
        <v>112.66666666666664</v>
      </c>
      <c r="I469" s="14">
        <v>330.66666666666663</v>
      </c>
    </row>
    <row r="470" spans="1:11" ht="16.5" x14ac:dyDescent="0.2">
      <c r="A470" s="4" t="s">
        <v>294</v>
      </c>
      <c r="B470">
        <v>2011</v>
      </c>
      <c r="C470" s="14">
        <v>1170.6666666666665</v>
      </c>
      <c r="D470" s="14">
        <v>154.66666666666666</v>
      </c>
      <c r="E470" s="14">
        <v>15178.666666666666</v>
      </c>
      <c r="F470" s="14">
        <v>160.66666666666666</v>
      </c>
      <c r="G470" s="14">
        <v>342</v>
      </c>
      <c r="H470" s="14">
        <v>115.99999999999999</v>
      </c>
      <c r="I470" s="14">
        <v>330.66666666666663</v>
      </c>
      <c r="K470" s="15"/>
    </row>
    <row r="471" spans="1:11" ht="16.5" x14ac:dyDescent="0.2">
      <c r="A471" s="4" t="s">
        <v>294</v>
      </c>
      <c r="B471">
        <v>2012</v>
      </c>
      <c r="C471" s="14">
        <v>1167.9999999999998</v>
      </c>
      <c r="D471" s="14">
        <v>154.66666666666666</v>
      </c>
      <c r="E471" s="14">
        <v>15176</v>
      </c>
      <c r="F471" s="14">
        <v>160.66666666666666</v>
      </c>
      <c r="G471" s="14">
        <v>345.99999999999989</v>
      </c>
      <c r="H471" s="14">
        <v>116.66666666666666</v>
      </c>
      <c r="I471" s="14">
        <v>330.66666666666663</v>
      </c>
    </row>
    <row r="472" spans="1:11" ht="16.5" x14ac:dyDescent="0.2">
      <c r="A472" s="4" t="s">
        <v>294</v>
      </c>
      <c r="B472">
        <v>2013</v>
      </c>
      <c r="C472" s="14">
        <v>1166.6666666666665</v>
      </c>
      <c r="D472" s="14">
        <v>154.66666666666666</v>
      </c>
      <c r="E472" s="14">
        <v>15175.333333333334</v>
      </c>
      <c r="F472" s="14">
        <v>160</v>
      </c>
      <c r="G472" s="14">
        <v>347.99999999999994</v>
      </c>
      <c r="H472" s="14">
        <v>117.33333333333333</v>
      </c>
      <c r="I472" s="14">
        <v>330.66666666666663</v>
      </c>
      <c r="K472" s="15"/>
    </row>
    <row r="473" spans="1:11" ht="16.5" x14ac:dyDescent="0.2">
      <c r="A473" s="4" t="s">
        <v>294</v>
      </c>
      <c r="B473">
        <v>2014</v>
      </c>
      <c r="C473" s="14">
        <v>1165.3333333333333</v>
      </c>
      <c r="D473" s="14">
        <v>154.66666666666666</v>
      </c>
      <c r="E473" s="14">
        <v>15166.666666666666</v>
      </c>
      <c r="F473" s="14">
        <v>160</v>
      </c>
      <c r="G473" s="14">
        <v>348.66666666666663</v>
      </c>
      <c r="H473" s="14">
        <v>125.99999999999999</v>
      </c>
      <c r="I473" s="14">
        <v>330.66666666666663</v>
      </c>
    </row>
    <row r="474" spans="1:11" ht="16.5" x14ac:dyDescent="0.2">
      <c r="A474" s="4" t="s">
        <v>294</v>
      </c>
      <c r="B474">
        <v>2015</v>
      </c>
      <c r="C474" s="14">
        <v>1163.9999999999998</v>
      </c>
      <c r="D474" s="14">
        <v>154.66666666666666</v>
      </c>
      <c r="E474" s="14">
        <v>15163.999999999998</v>
      </c>
      <c r="F474" s="14">
        <v>160</v>
      </c>
      <c r="G474" s="14">
        <v>351.33333333333326</v>
      </c>
      <c r="H474" s="14">
        <v>128.66666666666666</v>
      </c>
      <c r="I474" s="14">
        <v>330.66666666666663</v>
      </c>
      <c r="K474" s="15"/>
    </row>
    <row r="475" spans="1:11" ht="16.5" x14ac:dyDescent="0.2">
      <c r="A475" s="4" t="s">
        <v>294</v>
      </c>
      <c r="B475">
        <v>2016</v>
      </c>
      <c r="C475" s="14">
        <v>1163.3333333333333</v>
      </c>
      <c r="D475" s="14">
        <v>154.66666666666666</v>
      </c>
      <c r="E475" s="14">
        <v>15162.666666666666</v>
      </c>
      <c r="F475" s="14">
        <v>160</v>
      </c>
      <c r="G475" s="14">
        <v>352</v>
      </c>
      <c r="H475" s="14">
        <v>129.33333333333331</v>
      </c>
      <c r="I475" s="14">
        <v>329.99999999999994</v>
      </c>
    </row>
    <row r="476" spans="1:11" ht="16.5" x14ac:dyDescent="0.2">
      <c r="A476" s="4" t="s">
        <v>293</v>
      </c>
      <c r="B476">
        <v>2009</v>
      </c>
      <c r="C476" s="14">
        <v>12592.666666666666</v>
      </c>
      <c r="D476" s="14">
        <v>30.666666666666661</v>
      </c>
      <c r="E476" s="14">
        <v>2287.9999999999995</v>
      </c>
      <c r="F476" s="14">
        <v>2273.333333333333</v>
      </c>
      <c r="G476" s="14">
        <v>1076.6666666666665</v>
      </c>
      <c r="H476" s="14">
        <v>395.33333333333326</v>
      </c>
      <c r="I476" s="14">
        <v>1175.3333333333333</v>
      </c>
      <c r="K476" s="15"/>
    </row>
    <row r="477" spans="1:11" ht="16.5" x14ac:dyDescent="0.2">
      <c r="A477" s="4" t="s">
        <v>293</v>
      </c>
      <c r="B477">
        <v>2010</v>
      </c>
      <c r="C477" s="14">
        <v>12594.666666666666</v>
      </c>
      <c r="D477" s="14">
        <v>30.666666666666661</v>
      </c>
      <c r="E477" s="14">
        <v>2287.3333333333335</v>
      </c>
      <c r="F477" s="14">
        <v>2256.6666666666665</v>
      </c>
      <c r="G477" s="14">
        <v>1081.3333333333333</v>
      </c>
      <c r="H477" s="14">
        <v>396.66666666666663</v>
      </c>
      <c r="I477" s="14">
        <v>1186</v>
      </c>
    </row>
    <row r="478" spans="1:11" ht="16.5" x14ac:dyDescent="0.2">
      <c r="A478" s="4" t="s">
        <v>293</v>
      </c>
      <c r="B478">
        <v>2011</v>
      </c>
      <c r="C478" s="14">
        <v>12586.666666666666</v>
      </c>
      <c r="D478" s="14">
        <v>30.666666666666661</v>
      </c>
      <c r="E478" s="14">
        <v>2285.9999999999995</v>
      </c>
      <c r="F478" s="14">
        <v>2255.9999999999995</v>
      </c>
      <c r="G478" s="14">
        <v>1087.3333333333333</v>
      </c>
      <c r="H478" s="14">
        <v>401.33333333333331</v>
      </c>
      <c r="I478" s="14">
        <v>1186</v>
      </c>
      <c r="K478" s="15"/>
    </row>
    <row r="479" spans="1:11" ht="16.5" x14ac:dyDescent="0.2">
      <c r="A479" s="4" t="s">
        <v>293</v>
      </c>
      <c r="B479">
        <v>2012</v>
      </c>
      <c r="C479" s="14">
        <v>12596.666666666666</v>
      </c>
      <c r="D479" s="14">
        <v>30.666666666666661</v>
      </c>
      <c r="E479" s="14">
        <v>2285.333333333333</v>
      </c>
      <c r="F479" s="14">
        <v>2244</v>
      </c>
      <c r="G479" s="14">
        <v>1093.3333333333335</v>
      </c>
      <c r="H479" s="14">
        <v>401.99999999999994</v>
      </c>
      <c r="I479" s="14">
        <v>1185.3333333333333</v>
      </c>
    </row>
    <row r="480" spans="1:11" ht="16.5" x14ac:dyDescent="0.2">
      <c r="A480" s="4" t="s">
        <v>293</v>
      </c>
      <c r="B480">
        <v>2013</v>
      </c>
      <c r="C480" s="14">
        <v>12593.999999999998</v>
      </c>
      <c r="D480" s="14">
        <v>30.666666666666661</v>
      </c>
      <c r="E480" s="14">
        <v>2284.6666666666665</v>
      </c>
      <c r="F480" s="14">
        <v>2238.6666666666665</v>
      </c>
      <c r="G480" s="14">
        <v>1100</v>
      </c>
      <c r="H480" s="14">
        <v>403.33333333333331</v>
      </c>
      <c r="I480" s="14">
        <v>1185.3333333333333</v>
      </c>
      <c r="K480" s="15"/>
    </row>
    <row r="481" spans="1:11" ht="16.5" x14ac:dyDescent="0.2">
      <c r="A481" s="4" t="s">
        <v>293</v>
      </c>
      <c r="B481">
        <v>2014</v>
      </c>
      <c r="C481" s="14">
        <v>12589.333333333332</v>
      </c>
      <c r="D481" s="14">
        <v>29.999999999999996</v>
      </c>
      <c r="E481" s="14">
        <v>2284</v>
      </c>
      <c r="F481" s="14">
        <v>2236.6666666666665</v>
      </c>
      <c r="G481" s="14">
        <v>1105.3333333333333</v>
      </c>
      <c r="H481" s="14">
        <v>404</v>
      </c>
      <c r="I481" s="14">
        <v>1184.6666666666665</v>
      </c>
    </row>
    <row r="482" spans="1:11" ht="16.5" x14ac:dyDescent="0.2">
      <c r="A482" s="4" t="s">
        <v>293</v>
      </c>
      <c r="B482">
        <v>2015</v>
      </c>
      <c r="C482" s="14">
        <v>12586.666666666666</v>
      </c>
      <c r="D482" s="14">
        <v>30.666666666666661</v>
      </c>
      <c r="E482" s="14">
        <v>2284</v>
      </c>
      <c r="F482" s="14">
        <v>2234.6666666666665</v>
      </c>
      <c r="G482" s="14">
        <v>1108.6666666666667</v>
      </c>
      <c r="H482" s="14">
        <v>405.33333333333326</v>
      </c>
      <c r="I482" s="14">
        <v>1185.3333333333333</v>
      </c>
      <c r="K482" s="15"/>
    </row>
    <row r="483" spans="1:11" ht="16.5" x14ac:dyDescent="0.2">
      <c r="A483" s="4" t="s">
        <v>293</v>
      </c>
      <c r="B483">
        <v>2016</v>
      </c>
      <c r="C483" s="14">
        <v>12579.333333333332</v>
      </c>
      <c r="D483" s="14">
        <v>31.333333333333332</v>
      </c>
      <c r="E483" s="14">
        <v>2282</v>
      </c>
      <c r="F483" s="14">
        <v>2230</v>
      </c>
      <c r="G483" s="14">
        <v>1110.6666666666665</v>
      </c>
      <c r="H483" s="14">
        <v>409.99999999999994</v>
      </c>
      <c r="I483" s="14">
        <v>1192.6666666666665</v>
      </c>
    </row>
    <row r="484" spans="1:11" ht="16.5" x14ac:dyDescent="0.2">
      <c r="A484" s="4" t="s">
        <v>292</v>
      </c>
      <c r="B484">
        <v>2009</v>
      </c>
      <c r="C484" s="14">
        <v>11701.999999999998</v>
      </c>
      <c r="D484" s="14">
        <v>61.333333333333321</v>
      </c>
      <c r="E484" s="14">
        <v>3232.6666666666661</v>
      </c>
      <c r="F484" s="14">
        <v>3247.9999999999995</v>
      </c>
      <c r="G484" s="14">
        <v>900.66666666666652</v>
      </c>
      <c r="H484" s="14">
        <v>528</v>
      </c>
      <c r="I484" s="14">
        <v>1829.333333333333</v>
      </c>
      <c r="K484" s="15"/>
    </row>
    <row r="485" spans="1:11" ht="16.5" x14ac:dyDescent="0.2">
      <c r="A485" s="4" t="s">
        <v>292</v>
      </c>
      <c r="B485">
        <v>2010</v>
      </c>
      <c r="C485" s="14">
        <v>11785.333333333332</v>
      </c>
      <c r="D485" s="14">
        <v>62</v>
      </c>
      <c r="E485" s="14">
        <v>3237.9999999999995</v>
      </c>
      <c r="F485" s="14">
        <v>3219.9999999999995</v>
      </c>
      <c r="G485" s="14">
        <v>905.33333333333337</v>
      </c>
      <c r="H485" s="14">
        <v>531.33333333333326</v>
      </c>
      <c r="I485" s="14">
        <v>1817.9999999999998</v>
      </c>
    </row>
    <row r="486" spans="1:11" ht="16.5" x14ac:dyDescent="0.2">
      <c r="A486" s="4" t="s">
        <v>292</v>
      </c>
      <c r="B486">
        <v>2011</v>
      </c>
      <c r="C486" s="14">
        <v>11823.333333333332</v>
      </c>
      <c r="D486" s="14">
        <v>61.333333333333321</v>
      </c>
      <c r="E486" s="14">
        <v>3245.9999999999995</v>
      </c>
      <c r="F486" s="14">
        <v>3189.9999999999995</v>
      </c>
      <c r="G486" s="14">
        <v>909.33333333333314</v>
      </c>
      <c r="H486" s="14">
        <v>533.99999999999989</v>
      </c>
      <c r="I486" s="14">
        <v>1823.3333333333333</v>
      </c>
      <c r="K486" s="15"/>
    </row>
    <row r="487" spans="1:11" ht="16.5" x14ac:dyDescent="0.2">
      <c r="A487" s="4" t="s">
        <v>292</v>
      </c>
      <c r="B487">
        <v>2012</v>
      </c>
      <c r="C487" s="14">
        <v>11819.333333333332</v>
      </c>
      <c r="D487" s="14">
        <v>61.333333333333321</v>
      </c>
      <c r="E487" s="14">
        <v>3245.9999999999995</v>
      </c>
      <c r="F487" s="14">
        <v>3187.9999999999995</v>
      </c>
      <c r="G487" s="14">
        <v>913.33333333333326</v>
      </c>
      <c r="H487" s="14">
        <v>534.66666666666663</v>
      </c>
      <c r="I487" s="14">
        <v>1823.3333333333333</v>
      </c>
    </row>
    <row r="488" spans="1:11" ht="16.5" x14ac:dyDescent="0.2">
      <c r="A488" s="4" t="s">
        <v>292</v>
      </c>
      <c r="B488">
        <v>2013</v>
      </c>
      <c r="C488" s="14">
        <v>11808</v>
      </c>
      <c r="D488" s="14">
        <v>61.333333333333321</v>
      </c>
      <c r="E488" s="14">
        <v>3245.333333333333</v>
      </c>
      <c r="F488" s="14">
        <v>3186.6666666666665</v>
      </c>
      <c r="G488" s="14">
        <v>917.99999999999989</v>
      </c>
      <c r="H488" s="14">
        <v>537.33333333333326</v>
      </c>
      <c r="I488" s="14">
        <v>1837.9999999999998</v>
      </c>
      <c r="K488" s="15"/>
    </row>
    <row r="489" spans="1:11" ht="16.5" x14ac:dyDescent="0.2">
      <c r="A489" s="4" t="s">
        <v>292</v>
      </c>
      <c r="B489">
        <v>2014</v>
      </c>
      <c r="C489" s="14">
        <v>11804.666666666666</v>
      </c>
      <c r="D489" s="14">
        <v>61.333333333333321</v>
      </c>
      <c r="E489" s="14">
        <v>3244</v>
      </c>
      <c r="F489" s="14">
        <v>3182</v>
      </c>
      <c r="G489" s="14">
        <v>924.00000000000011</v>
      </c>
      <c r="H489" s="14">
        <v>543.33333333333326</v>
      </c>
      <c r="I489" s="14">
        <v>1837.3333333333333</v>
      </c>
    </row>
    <row r="490" spans="1:11" ht="16.5" x14ac:dyDescent="0.2">
      <c r="A490" s="4" t="s">
        <v>292</v>
      </c>
      <c r="B490">
        <v>2015</v>
      </c>
      <c r="C490" s="14">
        <v>11817.333333333332</v>
      </c>
      <c r="D490" s="14">
        <v>61.333333333333321</v>
      </c>
      <c r="E490" s="14">
        <v>3242.6666666666661</v>
      </c>
      <c r="F490" s="14">
        <v>3177.9999999999995</v>
      </c>
      <c r="G490" s="14">
        <v>929.33333333333326</v>
      </c>
      <c r="H490" s="14">
        <v>546.66666666666663</v>
      </c>
      <c r="I490" s="14">
        <v>1837.3333333333333</v>
      </c>
      <c r="K490" s="15"/>
    </row>
    <row r="491" spans="1:11" ht="16.5" x14ac:dyDescent="0.2">
      <c r="A491" s="4" t="s">
        <v>292</v>
      </c>
      <c r="B491">
        <v>2016</v>
      </c>
      <c r="C491" s="14">
        <v>11813.999999999998</v>
      </c>
      <c r="D491" s="14">
        <v>61.333333333333321</v>
      </c>
      <c r="E491" s="14">
        <v>3242</v>
      </c>
      <c r="F491" s="14">
        <v>3174</v>
      </c>
      <c r="G491" s="14">
        <v>932.66666666666663</v>
      </c>
      <c r="H491" s="14">
        <v>548</v>
      </c>
      <c r="I491" s="14">
        <v>1841.333333333333</v>
      </c>
    </row>
    <row r="492" spans="1:11" ht="16.5" x14ac:dyDescent="0.2">
      <c r="A492" s="4" t="s">
        <v>291</v>
      </c>
      <c r="B492">
        <v>2009</v>
      </c>
      <c r="C492" s="14">
        <v>4400.6666666666661</v>
      </c>
      <c r="D492" s="14">
        <v>165.99999999999997</v>
      </c>
      <c r="E492" s="14">
        <v>36348.666666666664</v>
      </c>
      <c r="F492" s="14">
        <v>747.33333333333326</v>
      </c>
      <c r="G492" s="14">
        <v>583.99999999999989</v>
      </c>
      <c r="H492" s="14">
        <v>328</v>
      </c>
      <c r="I492" s="14">
        <v>606.66666666666663</v>
      </c>
      <c r="K492" s="15"/>
    </row>
    <row r="493" spans="1:11" ht="16.5" x14ac:dyDescent="0.2">
      <c r="A493" s="4" t="s">
        <v>291</v>
      </c>
      <c r="B493">
        <v>2010</v>
      </c>
      <c r="C493" s="14">
        <v>4372.6666666666661</v>
      </c>
      <c r="D493" s="14">
        <v>165.33333333333331</v>
      </c>
      <c r="E493" s="14">
        <v>36346.666666666664</v>
      </c>
      <c r="F493" s="14">
        <v>746.66666666666663</v>
      </c>
      <c r="G493" s="14">
        <v>586</v>
      </c>
      <c r="H493" s="14">
        <v>329.99999999999994</v>
      </c>
      <c r="I493" s="14">
        <v>614.66666666666663</v>
      </c>
    </row>
    <row r="494" spans="1:11" ht="16.5" x14ac:dyDescent="0.2">
      <c r="A494" s="4" t="s">
        <v>291</v>
      </c>
      <c r="B494">
        <v>2011</v>
      </c>
      <c r="C494" s="14">
        <v>4374.666666666667</v>
      </c>
      <c r="D494" s="14">
        <v>162.66666666666663</v>
      </c>
      <c r="E494" s="14">
        <v>36339.333333333328</v>
      </c>
      <c r="F494" s="14">
        <v>741.99999999999989</v>
      </c>
      <c r="G494" s="14">
        <v>598</v>
      </c>
      <c r="H494" s="14">
        <v>339.33333333333331</v>
      </c>
      <c r="I494" s="14">
        <v>613.33333333333326</v>
      </c>
      <c r="K494" s="15"/>
    </row>
    <row r="495" spans="1:11" ht="16.5" x14ac:dyDescent="0.2">
      <c r="A495" s="4" t="s">
        <v>291</v>
      </c>
      <c r="B495">
        <v>2012</v>
      </c>
      <c r="C495" s="14">
        <v>4375.333333333333</v>
      </c>
      <c r="D495" s="14">
        <v>162.66666666666663</v>
      </c>
      <c r="E495" s="14">
        <v>36337.333333333336</v>
      </c>
      <c r="F495" s="14">
        <v>741.99999999999989</v>
      </c>
      <c r="G495" s="14">
        <v>605.99999999999989</v>
      </c>
      <c r="H495" s="14">
        <v>339.99999999999994</v>
      </c>
      <c r="I495" s="14">
        <v>611.99999999999989</v>
      </c>
    </row>
    <row r="496" spans="1:11" ht="16.5" x14ac:dyDescent="0.2">
      <c r="A496" s="4" t="s">
        <v>291</v>
      </c>
      <c r="B496">
        <v>2013</v>
      </c>
      <c r="C496" s="14">
        <v>4386.6666666666661</v>
      </c>
      <c r="D496" s="14">
        <v>162.66666666666663</v>
      </c>
      <c r="E496" s="14">
        <v>36335.333333333328</v>
      </c>
      <c r="F496" s="14">
        <v>725.33333333333326</v>
      </c>
      <c r="G496" s="14">
        <v>612.66666666666663</v>
      </c>
      <c r="H496" s="14">
        <v>340.66666666666663</v>
      </c>
      <c r="I496" s="14">
        <v>611.99999999999989</v>
      </c>
      <c r="K496" s="15"/>
    </row>
    <row r="497" spans="1:11" ht="16.5" x14ac:dyDescent="0.2">
      <c r="A497" s="4" t="s">
        <v>291</v>
      </c>
      <c r="B497">
        <v>2014</v>
      </c>
      <c r="C497" s="14">
        <v>4375.333333333333</v>
      </c>
      <c r="D497" s="14">
        <v>162</v>
      </c>
      <c r="E497" s="14">
        <v>36327.333333333336</v>
      </c>
      <c r="F497" s="14">
        <v>724.66666666666663</v>
      </c>
      <c r="G497" s="14">
        <v>617.33333333333337</v>
      </c>
      <c r="H497" s="14">
        <v>351.99999999999994</v>
      </c>
      <c r="I497" s="14">
        <v>613.99999999999989</v>
      </c>
    </row>
    <row r="498" spans="1:11" ht="16.5" x14ac:dyDescent="0.2">
      <c r="A498" s="4" t="s">
        <v>291</v>
      </c>
      <c r="B498">
        <v>2015</v>
      </c>
      <c r="C498" s="14">
        <v>4371.333333333333</v>
      </c>
      <c r="D498" s="14">
        <v>162</v>
      </c>
      <c r="E498" s="14">
        <v>36325.999999999993</v>
      </c>
      <c r="F498" s="14">
        <v>723.99999999999989</v>
      </c>
      <c r="G498" s="14">
        <v>623.33333333333326</v>
      </c>
      <c r="H498" s="14">
        <v>353.33333333333331</v>
      </c>
      <c r="I498" s="14">
        <v>611.99999999999989</v>
      </c>
      <c r="K498" s="15"/>
    </row>
    <row r="499" spans="1:11" ht="16.5" x14ac:dyDescent="0.2">
      <c r="A499" s="4" t="s">
        <v>291</v>
      </c>
      <c r="B499">
        <v>2016</v>
      </c>
      <c r="C499" s="14">
        <v>4363.333333333333</v>
      </c>
      <c r="D499" s="14">
        <v>162</v>
      </c>
      <c r="E499" s="14">
        <v>36322.666666666664</v>
      </c>
      <c r="F499" s="14">
        <v>729.33333333333326</v>
      </c>
      <c r="G499" s="14">
        <v>629.33333333333326</v>
      </c>
      <c r="H499" s="14">
        <v>354</v>
      </c>
      <c r="I499" s="14">
        <v>611.99999999999989</v>
      </c>
    </row>
    <row r="500" spans="1:11" ht="16.5" x14ac:dyDescent="0.2">
      <c r="A500" s="4" t="s">
        <v>290</v>
      </c>
      <c r="B500">
        <v>2009</v>
      </c>
      <c r="C500" s="14">
        <v>22907.333333333332</v>
      </c>
      <c r="D500" s="14">
        <v>80.666666666666657</v>
      </c>
      <c r="E500" s="14">
        <v>23780.666666666664</v>
      </c>
      <c r="F500" s="14">
        <v>536.66666666666663</v>
      </c>
      <c r="G500" s="14">
        <v>2107.3333333333335</v>
      </c>
      <c r="H500" s="14">
        <v>789.33333333333326</v>
      </c>
      <c r="I500" s="14">
        <v>2662</v>
      </c>
      <c r="K500" s="15"/>
    </row>
    <row r="501" spans="1:11" ht="16.5" x14ac:dyDescent="0.2">
      <c r="A501" s="4" t="s">
        <v>290</v>
      </c>
      <c r="B501">
        <v>2010</v>
      </c>
      <c r="C501" s="14">
        <v>22866</v>
      </c>
      <c r="D501" s="14">
        <v>80.666666666666657</v>
      </c>
      <c r="E501" s="14">
        <v>23774.666666666664</v>
      </c>
      <c r="F501" s="14">
        <v>534.66666666666663</v>
      </c>
      <c r="G501" s="14">
        <v>2152.6666666666665</v>
      </c>
      <c r="H501" s="14">
        <v>795.33333333333326</v>
      </c>
      <c r="I501" s="14">
        <v>2658.6666666666665</v>
      </c>
    </row>
    <row r="502" spans="1:11" ht="16.5" x14ac:dyDescent="0.2">
      <c r="A502" s="4" t="s">
        <v>290</v>
      </c>
      <c r="B502">
        <v>2011</v>
      </c>
      <c r="C502" s="14">
        <v>22836</v>
      </c>
      <c r="D502" s="14">
        <v>80</v>
      </c>
      <c r="E502" s="14">
        <v>23767.999999999996</v>
      </c>
      <c r="F502" s="14">
        <v>521.33333333333326</v>
      </c>
      <c r="G502" s="14">
        <v>2194.666666666667</v>
      </c>
      <c r="H502" s="14">
        <v>800.66666666666652</v>
      </c>
      <c r="I502" s="14">
        <v>2649.9999999999995</v>
      </c>
      <c r="K502" s="15"/>
    </row>
    <row r="503" spans="1:11" ht="16.5" x14ac:dyDescent="0.2">
      <c r="A503" s="4" t="s">
        <v>290</v>
      </c>
      <c r="B503">
        <v>2012</v>
      </c>
      <c r="C503" s="14">
        <v>22809.333333333332</v>
      </c>
      <c r="D503" s="14">
        <v>80</v>
      </c>
      <c r="E503" s="14">
        <v>23763.999999999996</v>
      </c>
      <c r="F503" s="14">
        <v>518</v>
      </c>
      <c r="G503" s="14">
        <v>2229.333333333333</v>
      </c>
      <c r="H503" s="14">
        <v>801.99999999999989</v>
      </c>
      <c r="I503" s="14">
        <v>2642</v>
      </c>
    </row>
    <row r="504" spans="1:11" ht="16.5" x14ac:dyDescent="0.2">
      <c r="A504" s="4" t="s">
        <v>290</v>
      </c>
      <c r="B504">
        <v>2013</v>
      </c>
      <c r="C504" s="14">
        <v>22793.333333333332</v>
      </c>
      <c r="D504" s="14">
        <v>79.333333333333329</v>
      </c>
      <c r="E504" s="14">
        <v>23761.333333333328</v>
      </c>
      <c r="F504" s="14">
        <v>514.66666666666663</v>
      </c>
      <c r="G504" s="14">
        <v>2253.333333333333</v>
      </c>
      <c r="H504" s="14">
        <v>802.66666666666663</v>
      </c>
      <c r="I504" s="14">
        <v>2635.333333333333</v>
      </c>
      <c r="K504" s="15"/>
    </row>
    <row r="505" spans="1:11" ht="16.5" x14ac:dyDescent="0.2">
      <c r="A505" s="4" t="s">
        <v>290</v>
      </c>
      <c r="B505">
        <v>2014</v>
      </c>
      <c r="C505" s="14">
        <v>22770.666666666664</v>
      </c>
      <c r="D505" s="14">
        <v>79.333333333333329</v>
      </c>
      <c r="E505" s="14">
        <v>23756.666666666664</v>
      </c>
      <c r="F505" s="14">
        <v>505.33333333333326</v>
      </c>
      <c r="G505" s="14">
        <v>2281.9999999999995</v>
      </c>
      <c r="H505" s="14">
        <v>808</v>
      </c>
      <c r="I505" s="14">
        <v>2632.6666666666661</v>
      </c>
    </row>
    <row r="506" spans="1:11" ht="16.5" x14ac:dyDescent="0.2">
      <c r="A506" s="4" t="s">
        <v>290</v>
      </c>
      <c r="B506">
        <v>2015</v>
      </c>
      <c r="C506" s="14">
        <v>22743.333333333332</v>
      </c>
      <c r="D506" s="14">
        <v>78.666666666666671</v>
      </c>
      <c r="E506" s="14">
        <v>23749.333333333332</v>
      </c>
      <c r="F506" s="14">
        <v>503.99999999999994</v>
      </c>
      <c r="G506" s="14">
        <v>2302.6666666666665</v>
      </c>
      <c r="H506" s="14">
        <v>823.99999999999989</v>
      </c>
      <c r="I506" s="14">
        <v>2629.333333333333</v>
      </c>
      <c r="K506" s="15"/>
    </row>
    <row r="507" spans="1:11" ht="16.5" x14ac:dyDescent="0.2">
      <c r="A507" s="4" t="s">
        <v>290</v>
      </c>
      <c r="B507">
        <v>2016</v>
      </c>
      <c r="C507" s="14">
        <v>22729.999999999996</v>
      </c>
      <c r="D507" s="14">
        <v>78.666666666666671</v>
      </c>
      <c r="E507" s="14">
        <v>23746</v>
      </c>
      <c r="F507" s="14">
        <v>502.66666666666669</v>
      </c>
      <c r="G507" s="14">
        <v>2314.6666666666665</v>
      </c>
      <c r="H507" s="14">
        <v>829.33333333333326</v>
      </c>
      <c r="I507" s="14">
        <v>2627.9999999999995</v>
      </c>
    </row>
    <row r="508" spans="1:11" ht="16.5" x14ac:dyDescent="0.2">
      <c r="A508" s="4" t="s">
        <v>289</v>
      </c>
      <c r="B508">
        <v>2009</v>
      </c>
      <c r="C508" s="14">
        <v>27499.999999999996</v>
      </c>
      <c r="D508" s="14">
        <v>50.666666666666657</v>
      </c>
      <c r="E508" s="14">
        <v>4260.6666666666661</v>
      </c>
      <c r="F508" s="14">
        <v>2969.9999999999995</v>
      </c>
      <c r="G508" s="14">
        <v>1981.333333333333</v>
      </c>
      <c r="H508" s="14">
        <v>983.99999999999989</v>
      </c>
      <c r="I508" s="14">
        <v>3205.9999999999995</v>
      </c>
      <c r="K508" s="15"/>
    </row>
    <row r="509" spans="1:11" ht="16.5" x14ac:dyDescent="0.2">
      <c r="A509" s="4" t="s">
        <v>289</v>
      </c>
      <c r="B509">
        <v>2010</v>
      </c>
      <c r="C509" s="14">
        <v>27531.333333333328</v>
      </c>
      <c r="D509" s="14">
        <v>50.666666666666657</v>
      </c>
      <c r="E509" s="14">
        <v>4254</v>
      </c>
      <c r="F509" s="14">
        <v>2944.6666666666665</v>
      </c>
      <c r="G509" s="14">
        <v>1994.6666666666665</v>
      </c>
      <c r="H509" s="14">
        <v>985.33333333333337</v>
      </c>
      <c r="I509" s="14">
        <v>3197.9999999999995</v>
      </c>
    </row>
    <row r="510" spans="1:11" ht="16.5" x14ac:dyDescent="0.2">
      <c r="A510" s="4" t="s">
        <v>289</v>
      </c>
      <c r="B510">
        <v>2011</v>
      </c>
      <c r="C510" s="14">
        <v>27529.999999999996</v>
      </c>
      <c r="D510" s="14">
        <v>49.999999999999993</v>
      </c>
      <c r="E510" s="14">
        <v>4252.6666666666661</v>
      </c>
      <c r="F510" s="14">
        <v>2934.6666666666665</v>
      </c>
      <c r="G510" s="14">
        <v>2004</v>
      </c>
      <c r="H510" s="14">
        <v>986.66666666666663</v>
      </c>
      <c r="I510" s="14">
        <v>3194.6666666666665</v>
      </c>
      <c r="K510" s="15"/>
    </row>
    <row r="511" spans="1:11" ht="16.5" x14ac:dyDescent="0.2">
      <c r="A511" s="4" t="s">
        <v>289</v>
      </c>
      <c r="B511">
        <v>2012</v>
      </c>
      <c r="C511" s="14">
        <v>27542</v>
      </c>
      <c r="D511" s="14">
        <v>49.999999999999993</v>
      </c>
      <c r="E511" s="14">
        <v>4249.333333333333</v>
      </c>
      <c r="F511" s="14">
        <v>2914.6666666666665</v>
      </c>
      <c r="G511" s="14">
        <v>2015.9999999999998</v>
      </c>
      <c r="H511" s="14">
        <v>986</v>
      </c>
      <c r="I511" s="14">
        <v>3192.6666666666661</v>
      </c>
    </row>
    <row r="512" spans="1:11" ht="16.5" x14ac:dyDescent="0.2">
      <c r="A512" s="4" t="s">
        <v>289</v>
      </c>
      <c r="B512">
        <v>2013</v>
      </c>
      <c r="C512" s="14">
        <v>27582.666666666661</v>
      </c>
      <c r="D512" s="14">
        <v>49.999999999999993</v>
      </c>
      <c r="E512" s="14">
        <v>4246.6666666666661</v>
      </c>
      <c r="F512" s="14">
        <v>2883.333333333333</v>
      </c>
      <c r="G512" s="14">
        <v>2022.6666666666663</v>
      </c>
      <c r="H512" s="14">
        <v>986</v>
      </c>
      <c r="I512" s="14">
        <v>3187.333333333333</v>
      </c>
      <c r="K512" s="15"/>
    </row>
    <row r="513" spans="1:11" ht="16.5" x14ac:dyDescent="0.2">
      <c r="A513" s="4" t="s">
        <v>289</v>
      </c>
      <c r="B513">
        <v>2014</v>
      </c>
      <c r="C513" s="14">
        <v>27589.999999999996</v>
      </c>
      <c r="D513" s="14">
        <v>49.999999999999993</v>
      </c>
      <c r="E513" s="14">
        <v>4245.333333333333</v>
      </c>
      <c r="F513" s="14">
        <v>2875.333333333333</v>
      </c>
      <c r="G513" s="14">
        <v>2028.0000000000002</v>
      </c>
      <c r="H513" s="14">
        <v>987.99999999999989</v>
      </c>
      <c r="I513" s="14">
        <v>3184</v>
      </c>
    </row>
    <row r="514" spans="1:11" ht="16.5" x14ac:dyDescent="0.2">
      <c r="A514" s="4" t="s">
        <v>289</v>
      </c>
      <c r="B514">
        <v>2015</v>
      </c>
      <c r="C514" s="14">
        <v>27585.999999999996</v>
      </c>
      <c r="D514" s="14">
        <v>49.999999999999993</v>
      </c>
      <c r="E514" s="14">
        <v>4244</v>
      </c>
      <c r="F514" s="14">
        <v>2873.333333333333</v>
      </c>
      <c r="G514" s="14">
        <v>2032.6666666666667</v>
      </c>
      <c r="H514" s="14">
        <v>988.66666666666663</v>
      </c>
      <c r="I514" s="14">
        <v>3184</v>
      </c>
      <c r="K514" s="15"/>
    </row>
    <row r="515" spans="1:11" ht="16.5" x14ac:dyDescent="0.2">
      <c r="A515" s="4" t="s">
        <v>289</v>
      </c>
      <c r="B515">
        <v>2016</v>
      </c>
      <c r="C515" s="14">
        <v>27572</v>
      </c>
      <c r="D515" s="14">
        <v>49.333333333333329</v>
      </c>
      <c r="E515" s="14">
        <v>4241.333333333333</v>
      </c>
      <c r="F515" s="14">
        <v>2871.333333333333</v>
      </c>
      <c r="G515" s="14">
        <v>2038.6666666666665</v>
      </c>
      <c r="H515" s="14">
        <v>999.99999999999989</v>
      </c>
      <c r="I515" s="14">
        <v>3183.333333333333</v>
      </c>
    </row>
    <row r="516" spans="1:11" ht="16.5" x14ac:dyDescent="0.2">
      <c r="A516" s="4" t="s">
        <v>288</v>
      </c>
      <c r="B516">
        <v>2009</v>
      </c>
      <c r="C516" s="14">
        <v>9838</v>
      </c>
      <c r="D516" s="14">
        <v>49.333333333333329</v>
      </c>
      <c r="E516" s="14">
        <v>7329.9999999999991</v>
      </c>
      <c r="F516" s="14">
        <v>733.33333333333326</v>
      </c>
      <c r="G516" s="14">
        <v>626.66666666666663</v>
      </c>
      <c r="H516" s="14">
        <v>320.66666666666663</v>
      </c>
      <c r="I516" s="14">
        <v>2655.333333333333</v>
      </c>
      <c r="K516" s="15"/>
    </row>
    <row r="517" spans="1:11" ht="16.5" x14ac:dyDescent="0.2">
      <c r="A517" s="4" t="s">
        <v>288</v>
      </c>
      <c r="B517">
        <v>2010</v>
      </c>
      <c r="C517" s="14">
        <v>9829.3333333333339</v>
      </c>
      <c r="D517" s="14">
        <v>49.333333333333329</v>
      </c>
      <c r="E517" s="14">
        <v>7328.6666666666661</v>
      </c>
      <c r="F517" s="14">
        <v>729.99999999999989</v>
      </c>
      <c r="G517" s="14">
        <v>629.33333333333326</v>
      </c>
      <c r="H517" s="14">
        <v>331.99999999999994</v>
      </c>
      <c r="I517" s="14">
        <v>2654.6666666666665</v>
      </c>
    </row>
    <row r="518" spans="1:11" ht="16.5" x14ac:dyDescent="0.2">
      <c r="A518" s="4" t="s">
        <v>288</v>
      </c>
      <c r="B518">
        <v>2011</v>
      </c>
      <c r="C518" s="14">
        <v>9825.3333333333321</v>
      </c>
      <c r="D518" s="14">
        <v>49.333333333333329</v>
      </c>
      <c r="E518" s="14">
        <v>7326</v>
      </c>
      <c r="F518" s="14">
        <v>726</v>
      </c>
      <c r="G518" s="14">
        <v>635.99999999999989</v>
      </c>
      <c r="H518" s="14">
        <v>334</v>
      </c>
      <c r="I518" s="14">
        <v>2654.6666666666665</v>
      </c>
      <c r="K518" s="15"/>
    </row>
    <row r="519" spans="1:11" ht="16.5" x14ac:dyDescent="0.2">
      <c r="A519" s="4" t="s">
        <v>288</v>
      </c>
      <c r="B519">
        <v>2012</v>
      </c>
      <c r="C519" s="14">
        <v>9831.3333333333321</v>
      </c>
      <c r="D519" s="14">
        <v>49.333333333333329</v>
      </c>
      <c r="E519" s="14">
        <v>7326</v>
      </c>
      <c r="F519" s="14">
        <v>716.66666666666663</v>
      </c>
      <c r="G519" s="14">
        <v>639.33333333333326</v>
      </c>
      <c r="H519" s="14">
        <v>334.66666666666663</v>
      </c>
      <c r="I519" s="14">
        <v>2654.6666666666665</v>
      </c>
    </row>
    <row r="520" spans="1:11" ht="16.5" x14ac:dyDescent="0.2">
      <c r="A520" s="4" t="s">
        <v>288</v>
      </c>
      <c r="B520">
        <v>2013</v>
      </c>
      <c r="C520" s="14">
        <v>9866.6666666666661</v>
      </c>
      <c r="D520" s="14">
        <v>49.333333333333329</v>
      </c>
      <c r="E520" s="14">
        <v>7323.333333333333</v>
      </c>
      <c r="F520" s="14">
        <v>683.33333333333326</v>
      </c>
      <c r="G520" s="14">
        <v>639.33333333333337</v>
      </c>
      <c r="H520" s="14">
        <v>335.99999999999994</v>
      </c>
      <c r="I520" s="14">
        <v>2652.6666666666661</v>
      </c>
      <c r="K520" s="15"/>
    </row>
    <row r="521" spans="1:11" ht="16.5" x14ac:dyDescent="0.2">
      <c r="A521" s="4" t="s">
        <v>288</v>
      </c>
      <c r="B521">
        <v>2014</v>
      </c>
      <c r="C521" s="14">
        <v>9869.3333333333339</v>
      </c>
      <c r="D521" s="14">
        <v>49.333333333333329</v>
      </c>
      <c r="E521" s="14">
        <v>7322.666666666667</v>
      </c>
      <c r="F521" s="14">
        <v>679.99999999999989</v>
      </c>
      <c r="G521" s="14">
        <v>640</v>
      </c>
      <c r="H521" s="14">
        <v>335.99999999999994</v>
      </c>
      <c r="I521" s="14">
        <v>2652.6666666666661</v>
      </c>
    </row>
    <row r="522" spans="1:11" ht="16.5" x14ac:dyDescent="0.2">
      <c r="A522" s="4" t="s">
        <v>288</v>
      </c>
      <c r="B522">
        <v>2015</v>
      </c>
      <c r="C522" s="14">
        <v>9872.6666666666661</v>
      </c>
      <c r="D522" s="14">
        <v>49.333333333333329</v>
      </c>
      <c r="E522" s="14">
        <v>7320.6666666666652</v>
      </c>
      <c r="F522" s="14">
        <v>676</v>
      </c>
      <c r="G522" s="14">
        <v>641.99999999999989</v>
      </c>
      <c r="H522" s="14">
        <v>338.66666666666663</v>
      </c>
      <c r="I522" s="14">
        <v>2649.9999999999995</v>
      </c>
      <c r="K522" s="15"/>
    </row>
    <row r="523" spans="1:11" ht="16.5" x14ac:dyDescent="0.2">
      <c r="A523" s="4" t="s">
        <v>288</v>
      </c>
      <c r="B523">
        <v>2016</v>
      </c>
      <c r="C523" s="14">
        <v>9873.3333333333321</v>
      </c>
      <c r="D523" s="14">
        <v>49.333333333333329</v>
      </c>
      <c r="E523" s="14">
        <v>7320.6666666666652</v>
      </c>
      <c r="F523" s="14">
        <v>674.66666666666663</v>
      </c>
      <c r="G523" s="14">
        <v>643.99999999999989</v>
      </c>
      <c r="H523" s="14">
        <v>338.66666666666663</v>
      </c>
      <c r="I523" s="14">
        <v>2649.9999999999995</v>
      </c>
    </row>
    <row r="524" spans="1:11" ht="16.5" x14ac:dyDescent="0.2">
      <c r="A524" s="4" t="s">
        <v>287</v>
      </c>
      <c r="B524">
        <v>2009</v>
      </c>
      <c r="C524" s="14">
        <v>5515.3333333333321</v>
      </c>
      <c r="D524" s="14">
        <v>3.333333333333333</v>
      </c>
      <c r="E524" s="14">
        <v>6736.6666666666661</v>
      </c>
      <c r="F524" s="14">
        <v>432.66666666666669</v>
      </c>
      <c r="G524" s="14">
        <v>345.33333333333326</v>
      </c>
      <c r="H524" s="14">
        <v>224</v>
      </c>
      <c r="I524" s="14">
        <v>1022</v>
      </c>
      <c r="K524" s="15"/>
    </row>
    <row r="525" spans="1:11" ht="16.5" x14ac:dyDescent="0.2">
      <c r="A525" s="4" t="s">
        <v>287</v>
      </c>
      <c r="B525">
        <v>2010</v>
      </c>
      <c r="C525" s="14">
        <v>5511.333333333333</v>
      </c>
      <c r="D525" s="14">
        <v>3.333333333333333</v>
      </c>
      <c r="E525" s="14">
        <v>6731.9999999999991</v>
      </c>
      <c r="F525" s="14">
        <v>432.66666666666669</v>
      </c>
      <c r="G525" s="14">
        <v>347.33333333333326</v>
      </c>
      <c r="H525" s="14">
        <v>225.99999999999997</v>
      </c>
      <c r="I525" s="14">
        <v>1026.6666666666665</v>
      </c>
    </row>
    <row r="526" spans="1:11" ht="16.5" x14ac:dyDescent="0.2">
      <c r="A526" s="4" t="s">
        <v>287</v>
      </c>
      <c r="B526">
        <v>2011</v>
      </c>
      <c r="C526" s="14">
        <v>5508</v>
      </c>
      <c r="D526" s="14">
        <v>3.333333333333333</v>
      </c>
      <c r="E526" s="14">
        <v>6729.9999999999991</v>
      </c>
      <c r="F526" s="14">
        <v>431.99999999999994</v>
      </c>
      <c r="G526" s="14">
        <v>351.99999999999994</v>
      </c>
      <c r="H526" s="14">
        <v>225.99999999999997</v>
      </c>
      <c r="I526" s="14">
        <v>1026.6666666666665</v>
      </c>
      <c r="K526" s="15"/>
    </row>
    <row r="527" spans="1:11" ht="16.5" x14ac:dyDescent="0.2">
      <c r="A527" s="4" t="s">
        <v>287</v>
      </c>
      <c r="B527">
        <v>2012</v>
      </c>
      <c r="C527" s="14">
        <v>5500.6666666666661</v>
      </c>
      <c r="D527" s="14">
        <v>3.333333333333333</v>
      </c>
      <c r="E527" s="14">
        <v>6729.333333333333</v>
      </c>
      <c r="F527" s="14">
        <v>431.33333333333331</v>
      </c>
      <c r="G527" s="14">
        <v>354.66666666666663</v>
      </c>
      <c r="H527" s="14">
        <v>226.66666666666666</v>
      </c>
      <c r="I527" s="14">
        <v>1030.6666666666665</v>
      </c>
    </row>
    <row r="528" spans="1:11" ht="16.5" x14ac:dyDescent="0.2">
      <c r="A528" s="4" t="s">
        <v>287</v>
      </c>
      <c r="B528">
        <v>2013</v>
      </c>
      <c r="C528" s="14">
        <v>5504.6666666666661</v>
      </c>
      <c r="D528" s="14">
        <v>3.333333333333333</v>
      </c>
      <c r="E528" s="14">
        <v>6728.6666666666661</v>
      </c>
      <c r="F528" s="14">
        <v>426.66666666666663</v>
      </c>
      <c r="G528" s="14">
        <v>356.66666666666663</v>
      </c>
      <c r="H528" s="14">
        <v>226.66666666666666</v>
      </c>
      <c r="I528" s="14">
        <v>1028.6666666666667</v>
      </c>
      <c r="K528" s="15"/>
    </row>
    <row r="529" spans="1:11" ht="16.5" x14ac:dyDescent="0.2">
      <c r="A529" s="4" t="s">
        <v>287</v>
      </c>
      <c r="B529">
        <v>2014</v>
      </c>
      <c r="C529" s="14">
        <v>5504.6666666666661</v>
      </c>
      <c r="D529" s="14">
        <v>3.333333333333333</v>
      </c>
      <c r="E529" s="14">
        <v>6728.6666666666661</v>
      </c>
      <c r="F529" s="14">
        <v>425.33333333333326</v>
      </c>
      <c r="G529" s="14">
        <v>358</v>
      </c>
      <c r="H529" s="14">
        <v>226.66666666666666</v>
      </c>
      <c r="I529" s="14">
        <v>1028.6666666666667</v>
      </c>
    </row>
    <row r="530" spans="1:11" ht="16.5" x14ac:dyDescent="0.2">
      <c r="A530" s="4" t="s">
        <v>287</v>
      </c>
      <c r="B530">
        <v>2015</v>
      </c>
      <c r="C530" s="14">
        <v>5502.6666666666661</v>
      </c>
      <c r="D530" s="14">
        <v>3.333333333333333</v>
      </c>
      <c r="E530" s="14">
        <v>6728</v>
      </c>
      <c r="F530" s="14">
        <v>424.66666666666663</v>
      </c>
      <c r="G530" s="14">
        <v>358</v>
      </c>
      <c r="H530" s="14">
        <v>226.66666666666666</v>
      </c>
      <c r="I530" s="14">
        <v>1029.3333333333333</v>
      </c>
      <c r="K530" s="15"/>
    </row>
    <row r="531" spans="1:11" ht="16.5" x14ac:dyDescent="0.2">
      <c r="A531" s="4" t="s">
        <v>287</v>
      </c>
      <c r="B531">
        <v>2016</v>
      </c>
      <c r="C531" s="14">
        <v>5502.6666666666661</v>
      </c>
      <c r="D531" s="14">
        <v>3.333333333333333</v>
      </c>
      <c r="E531" s="14">
        <v>6728</v>
      </c>
      <c r="F531" s="14">
        <v>423.33333333333331</v>
      </c>
      <c r="G531" s="14">
        <v>359.33333333333331</v>
      </c>
      <c r="H531" s="14">
        <v>226.66666666666666</v>
      </c>
      <c r="I531" s="14">
        <v>1029.3333333333333</v>
      </c>
    </row>
    <row r="532" spans="1:11" ht="16.5" x14ac:dyDescent="0.2">
      <c r="A532" s="4" t="s">
        <v>286</v>
      </c>
      <c r="B532">
        <v>2009</v>
      </c>
      <c r="C532" s="14">
        <v>10596</v>
      </c>
      <c r="D532" s="14">
        <v>43.333333333333329</v>
      </c>
      <c r="E532" s="14">
        <v>8312.6666666666661</v>
      </c>
      <c r="F532" s="14">
        <v>583.33333333333326</v>
      </c>
      <c r="G532" s="14">
        <v>513.33333333333326</v>
      </c>
      <c r="H532" s="14">
        <v>324.66666666666663</v>
      </c>
      <c r="I532" s="14">
        <v>1391.333333333333</v>
      </c>
      <c r="K532" s="15"/>
    </row>
    <row r="533" spans="1:11" ht="16.5" x14ac:dyDescent="0.2">
      <c r="A533" s="4" t="s">
        <v>286</v>
      </c>
      <c r="B533">
        <v>2010</v>
      </c>
      <c r="C533" s="14">
        <v>10578.666666666666</v>
      </c>
      <c r="D533" s="14">
        <v>43.999999999999993</v>
      </c>
      <c r="E533" s="14">
        <v>8311.3333333333321</v>
      </c>
      <c r="F533" s="14">
        <v>583.33333333333326</v>
      </c>
      <c r="G533" s="14">
        <v>520.66666666666663</v>
      </c>
      <c r="H533" s="14">
        <v>327.33333333333331</v>
      </c>
      <c r="I533" s="14">
        <v>1392</v>
      </c>
    </row>
    <row r="534" spans="1:11" ht="16.5" x14ac:dyDescent="0.2">
      <c r="A534" s="4" t="s">
        <v>286</v>
      </c>
      <c r="B534">
        <v>2011</v>
      </c>
      <c r="C534" s="14">
        <v>10570.666666666664</v>
      </c>
      <c r="D534" s="14">
        <v>43.333333333333329</v>
      </c>
      <c r="E534" s="14">
        <v>8309.3333333333339</v>
      </c>
      <c r="F534" s="14">
        <v>581.99999999999989</v>
      </c>
      <c r="G534" s="14">
        <v>528.66666666666674</v>
      </c>
      <c r="H534" s="14">
        <v>328.66666666666663</v>
      </c>
      <c r="I534" s="14">
        <v>1392</v>
      </c>
      <c r="K534" s="15"/>
    </row>
    <row r="535" spans="1:11" ht="16.5" x14ac:dyDescent="0.2">
      <c r="A535" s="4" t="s">
        <v>286</v>
      </c>
      <c r="B535">
        <v>2012</v>
      </c>
      <c r="C535" s="14">
        <v>10571.999999999998</v>
      </c>
      <c r="D535" s="14">
        <v>43.333333333333329</v>
      </c>
      <c r="E535" s="14">
        <v>8308.6666666666661</v>
      </c>
      <c r="F535" s="14">
        <v>576</v>
      </c>
      <c r="G535" s="14">
        <v>532.66666666666663</v>
      </c>
      <c r="H535" s="14">
        <v>329.99999999999994</v>
      </c>
      <c r="I535" s="14">
        <v>1390.6666666666665</v>
      </c>
    </row>
    <row r="536" spans="1:11" ht="16.5" x14ac:dyDescent="0.2">
      <c r="A536" s="4" t="s">
        <v>286</v>
      </c>
      <c r="B536">
        <v>2013</v>
      </c>
      <c r="C536" s="14">
        <v>10586.666666666666</v>
      </c>
      <c r="D536" s="14">
        <v>43.333333333333329</v>
      </c>
      <c r="E536" s="14">
        <v>8308</v>
      </c>
      <c r="F536" s="14">
        <v>570</v>
      </c>
      <c r="G536" s="14">
        <v>528</v>
      </c>
      <c r="H536" s="14">
        <v>329.99999999999994</v>
      </c>
      <c r="I536" s="14">
        <v>1389.3333333333333</v>
      </c>
      <c r="K536" s="15"/>
    </row>
    <row r="537" spans="1:11" ht="16.5" x14ac:dyDescent="0.2">
      <c r="A537" s="4" t="s">
        <v>286</v>
      </c>
      <c r="B537">
        <v>2014</v>
      </c>
      <c r="C537" s="14">
        <v>10579.333333333332</v>
      </c>
      <c r="D537" s="14">
        <v>43.333333333333329</v>
      </c>
      <c r="E537" s="14">
        <v>8306.6666666666661</v>
      </c>
      <c r="F537" s="14">
        <v>569.33333333333337</v>
      </c>
      <c r="G537" s="14">
        <v>531.99999999999989</v>
      </c>
      <c r="H537" s="14">
        <v>330.66666666666663</v>
      </c>
      <c r="I537" s="14">
        <v>1392.6666666666665</v>
      </c>
    </row>
    <row r="538" spans="1:11" ht="16.5" x14ac:dyDescent="0.2">
      <c r="A538" s="4" t="s">
        <v>286</v>
      </c>
      <c r="B538">
        <v>2015</v>
      </c>
      <c r="C538" s="14">
        <v>10582.666666666666</v>
      </c>
      <c r="D538" s="14">
        <v>43.333333333333329</v>
      </c>
      <c r="E538" s="14">
        <v>8305.3333333333321</v>
      </c>
      <c r="F538" s="14">
        <v>566.66666666666663</v>
      </c>
      <c r="G538" s="14">
        <v>533.33333333333326</v>
      </c>
      <c r="H538" s="14">
        <v>331.33333333333331</v>
      </c>
      <c r="I538" s="14">
        <v>1391.333333333333</v>
      </c>
      <c r="K538" s="15"/>
    </row>
    <row r="539" spans="1:11" ht="16.5" x14ac:dyDescent="0.2">
      <c r="A539" s="4" t="s">
        <v>286</v>
      </c>
      <c r="B539">
        <v>2016</v>
      </c>
      <c r="C539" s="14">
        <v>10578</v>
      </c>
      <c r="D539" s="14">
        <v>43.333333333333329</v>
      </c>
      <c r="E539" s="14">
        <v>8305.3333333333321</v>
      </c>
      <c r="F539" s="14">
        <v>566</v>
      </c>
      <c r="G539" s="14">
        <v>538.66666666666663</v>
      </c>
      <c r="H539" s="14">
        <v>331.33333333333331</v>
      </c>
      <c r="I539" s="14">
        <v>1390.6666666666665</v>
      </c>
    </row>
    <row r="540" spans="1:11" ht="16.5" x14ac:dyDescent="0.2">
      <c r="A540" s="4" t="s">
        <v>285</v>
      </c>
      <c r="B540">
        <v>2009</v>
      </c>
      <c r="C540" s="14">
        <v>7777.3333333333321</v>
      </c>
      <c r="D540" s="14">
        <v>19.333333333333332</v>
      </c>
      <c r="E540" s="14">
        <v>1735.9999999999998</v>
      </c>
      <c r="F540" s="14">
        <v>3978.6666666666661</v>
      </c>
      <c r="G540" s="14">
        <v>1582</v>
      </c>
      <c r="H540" s="14">
        <v>487.33333333333326</v>
      </c>
      <c r="I540" s="14">
        <v>2729.9999999999995</v>
      </c>
      <c r="K540" s="15"/>
    </row>
    <row r="541" spans="1:11" ht="16.5" x14ac:dyDescent="0.2">
      <c r="A541" s="4" t="s">
        <v>285</v>
      </c>
      <c r="B541">
        <v>2010</v>
      </c>
      <c r="C541" s="14">
        <v>7776.6666666666661</v>
      </c>
      <c r="D541" s="14">
        <v>18.666666666666664</v>
      </c>
      <c r="E541" s="14">
        <v>1733.3333333333333</v>
      </c>
      <c r="F541" s="14">
        <v>3969.9999999999995</v>
      </c>
      <c r="G541" s="14">
        <v>1600.6666666666665</v>
      </c>
      <c r="H541" s="14">
        <v>491.33333333333331</v>
      </c>
      <c r="I541" s="14">
        <v>2728.6666666666665</v>
      </c>
    </row>
    <row r="542" spans="1:11" ht="16.5" x14ac:dyDescent="0.2">
      <c r="A542" s="4" t="s">
        <v>285</v>
      </c>
      <c r="B542">
        <v>2011</v>
      </c>
      <c r="C542" s="14">
        <v>7776</v>
      </c>
      <c r="D542" s="14">
        <v>18.666666666666664</v>
      </c>
      <c r="E542" s="14">
        <v>1731.333333333333</v>
      </c>
      <c r="F542" s="14">
        <v>3968</v>
      </c>
      <c r="G542" s="14">
        <v>1613.3333333333333</v>
      </c>
      <c r="H542" s="14">
        <v>493.33333333333331</v>
      </c>
      <c r="I542" s="14">
        <v>2727.333333333333</v>
      </c>
      <c r="K542" s="15"/>
    </row>
    <row r="543" spans="1:11" ht="16.5" x14ac:dyDescent="0.2">
      <c r="A543" s="4" t="s">
        <v>285</v>
      </c>
      <c r="B543">
        <v>2012</v>
      </c>
      <c r="C543" s="14">
        <v>7774.6666666666661</v>
      </c>
      <c r="D543" s="14">
        <v>18.666666666666664</v>
      </c>
      <c r="E543" s="14">
        <v>1729.9999999999998</v>
      </c>
      <c r="F543" s="14">
        <v>3964</v>
      </c>
      <c r="G543" s="14">
        <v>1621.333333333333</v>
      </c>
      <c r="H543" s="14">
        <v>493.99999999999994</v>
      </c>
      <c r="I543" s="14">
        <v>2725.9999999999995</v>
      </c>
    </row>
    <row r="544" spans="1:11" ht="16.5" x14ac:dyDescent="0.2">
      <c r="A544" s="4" t="s">
        <v>285</v>
      </c>
      <c r="B544">
        <v>2013</v>
      </c>
      <c r="C544" s="14">
        <v>7832.666666666667</v>
      </c>
      <c r="D544" s="14">
        <v>18.666666666666664</v>
      </c>
      <c r="E544" s="14">
        <v>1727.9999999999998</v>
      </c>
      <c r="F544" s="14">
        <v>3945.3333333333326</v>
      </c>
      <c r="G544" s="14">
        <v>1629.3333333333333</v>
      </c>
      <c r="H544" s="14">
        <v>494.66666666666663</v>
      </c>
      <c r="I544" s="14">
        <v>2703.333333333333</v>
      </c>
      <c r="K544" s="15"/>
    </row>
    <row r="545" spans="1:11" ht="16.5" x14ac:dyDescent="0.2">
      <c r="A545" s="4" t="s">
        <v>285</v>
      </c>
      <c r="B545">
        <v>2014</v>
      </c>
      <c r="C545" s="14">
        <v>7831.333333333333</v>
      </c>
      <c r="D545" s="14">
        <v>18</v>
      </c>
      <c r="E545" s="14">
        <v>1726.6666666666665</v>
      </c>
      <c r="F545" s="14">
        <v>3939.9999999999995</v>
      </c>
      <c r="G545" s="14">
        <v>1642</v>
      </c>
      <c r="H545" s="14">
        <v>495.33333333333326</v>
      </c>
      <c r="I545" s="14">
        <v>2702</v>
      </c>
    </row>
    <row r="546" spans="1:11" ht="16.5" x14ac:dyDescent="0.2">
      <c r="A546" s="4" t="s">
        <v>285</v>
      </c>
      <c r="B546">
        <v>2015</v>
      </c>
      <c r="C546" s="14">
        <v>7829.9999999999991</v>
      </c>
      <c r="D546" s="14">
        <v>18</v>
      </c>
      <c r="E546" s="14">
        <v>1726.6666666666665</v>
      </c>
      <c r="F546" s="14">
        <v>3935.9999999999995</v>
      </c>
      <c r="G546" s="14">
        <v>1647.3333333333333</v>
      </c>
      <c r="H546" s="14">
        <v>495.33333333333326</v>
      </c>
      <c r="I546" s="14">
        <v>2702</v>
      </c>
      <c r="K546" s="15"/>
    </row>
    <row r="547" spans="1:11" ht="16.5" x14ac:dyDescent="0.2">
      <c r="A547" s="4" t="s">
        <v>285</v>
      </c>
      <c r="B547">
        <v>2016</v>
      </c>
      <c r="C547" s="14">
        <v>7828</v>
      </c>
      <c r="D547" s="14">
        <v>18</v>
      </c>
      <c r="E547" s="14">
        <v>1725.9999999999998</v>
      </c>
      <c r="F547" s="14">
        <v>3931.9999999999995</v>
      </c>
      <c r="G547" s="14">
        <v>1653.3333333333333</v>
      </c>
      <c r="H547" s="14">
        <v>496</v>
      </c>
      <c r="I547" s="14">
        <v>2702.6666666666661</v>
      </c>
    </row>
    <row r="548" spans="1:11" ht="16.5" x14ac:dyDescent="0.2">
      <c r="A548" s="4" t="s">
        <v>284</v>
      </c>
      <c r="B548">
        <v>2009</v>
      </c>
      <c r="C548" s="14">
        <v>2587.9999999999995</v>
      </c>
      <c r="D548" s="14">
        <v>16.666666666666664</v>
      </c>
      <c r="E548" s="14">
        <v>28531.333333333328</v>
      </c>
      <c r="F548" s="14">
        <v>269.33333333333331</v>
      </c>
      <c r="G548" s="14">
        <v>325.99999999999994</v>
      </c>
      <c r="H548" s="14">
        <v>175.33333333333331</v>
      </c>
      <c r="I548" s="14">
        <v>374</v>
      </c>
      <c r="K548" s="15"/>
    </row>
    <row r="549" spans="1:11" ht="16.5" x14ac:dyDescent="0.2">
      <c r="A549" s="4" t="s">
        <v>284</v>
      </c>
      <c r="B549">
        <v>2010</v>
      </c>
      <c r="C549" s="14">
        <v>2592</v>
      </c>
      <c r="D549" s="14">
        <v>15.999999999999998</v>
      </c>
      <c r="E549" s="14">
        <v>28517.333333333332</v>
      </c>
      <c r="F549" s="14">
        <v>267.33333333333331</v>
      </c>
      <c r="G549" s="14">
        <v>329.33333333333331</v>
      </c>
      <c r="H549" s="14">
        <v>176.66666666666666</v>
      </c>
      <c r="I549" s="14">
        <v>385.33333333333326</v>
      </c>
    </row>
    <row r="550" spans="1:11" ht="16.5" x14ac:dyDescent="0.2">
      <c r="A550" s="4" t="s">
        <v>284</v>
      </c>
      <c r="B550">
        <v>2011</v>
      </c>
      <c r="C550" s="14">
        <v>2592.6666666666661</v>
      </c>
      <c r="D550" s="14">
        <v>18.666666666666664</v>
      </c>
      <c r="E550" s="14">
        <v>28514.666666666664</v>
      </c>
      <c r="F550" s="14">
        <v>266.66666666666663</v>
      </c>
      <c r="G550" s="14">
        <v>331.33333333333326</v>
      </c>
      <c r="H550" s="14">
        <v>177.33333333333331</v>
      </c>
      <c r="I550" s="14">
        <v>385.99999999999994</v>
      </c>
      <c r="K550" s="15"/>
    </row>
    <row r="551" spans="1:11" ht="16.5" x14ac:dyDescent="0.2">
      <c r="A551" s="4" t="s">
        <v>284</v>
      </c>
      <c r="B551">
        <v>2012</v>
      </c>
      <c r="C551" s="14">
        <v>2591.333333333333</v>
      </c>
      <c r="D551" s="14">
        <v>18.666666666666664</v>
      </c>
      <c r="E551" s="14">
        <v>28512</v>
      </c>
      <c r="F551" s="14">
        <v>265.33333333333331</v>
      </c>
      <c r="G551" s="14">
        <v>333.99999999999994</v>
      </c>
      <c r="H551" s="14">
        <v>179.33333333333331</v>
      </c>
      <c r="I551" s="14">
        <v>386.66666666666663</v>
      </c>
    </row>
    <row r="552" spans="1:11" ht="16.5" x14ac:dyDescent="0.2">
      <c r="A552" s="4" t="s">
        <v>284</v>
      </c>
      <c r="B552">
        <v>2013</v>
      </c>
      <c r="C552" s="14">
        <v>2589.9999999999995</v>
      </c>
      <c r="D552" s="14">
        <v>18.666666666666664</v>
      </c>
      <c r="E552" s="14">
        <v>28509.999999999996</v>
      </c>
      <c r="F552" s="14">
        <v>264</v>
      </c>
      <c r="G552" s="14">
        <v>337.33333333333337</v>
      </c>
      <c r="H552" s="14">
        <v>180.66666666666666</v>
      </c>
      <c r="I552" s="14">
        <v>386.66666666666663</v>
      </c>
      <c r="K552" s="15"/>
    </row>
    <row r="553" spans="1:11" ht="16.5" x14ac:dyDescent="0.2">
      <c r="A553" s="4" t="s">
        <v>284</v>
      </c>
      <c r="B553">
        <v>2014</v>
      </c>
      <c r="C553" s="14">
        <v>2588.6666666666665</v>
      </c>
      <c r="D553" s="14">
        <v>18.666666666666664</v>
      </c>
      <c r="E553" s="14">
        <v>28508.666666666664</v>
      </c>
      <c r="F553" s="14">
        <v>264</v>
      </c>
      <c r="G553" s="14">
        <v>338</v>
      </c>
      <c r="H553" s="14">
        <v>182.66666666666663</v>
      </c>
      <c r="I553" s="14">
        <v>385.99999999999994</v>
      </c>
    </row>
    <row r="554" spans="1:11" ht="16.5" x14ac:dyDescent="0.2">
      <c r="A554" s="4" t="s">
        <v>284</v>
      </c>
      <c r="B554">
        <v>2015</v>
      </c>
      <c r="C554" s="14">
        <v>2587.333333333333</v>
      </c>
      <c r="D554" s="14">
        <v>18.666666666666664</v>
      </c>
      <c r="E554" s="14">
        <v>28507.333333333332</v>
      </c>
      <c r="F554" s="14">
        <v>264</v>
      </c>
      <c r="G554" s="14">
        <v>339.33333333333331</v>
      </c>
      <c r="H554" s="14">
        <v>183.33333333333331</v>
      </c>
      <c r="I554" s="14">
        <v>386.66666666666663</v>
      </c>
      <c r="K554" s="15"/>
    </row>
    <row r="555" spans="1:11" ht="16.5" x14ac:dyDescent="0.2">
      <c r="A555" s="4" t="s">
        <v>284</v>
      </c>
      <c r="B555">
        <v>2016</v>
      </c>
      <c r="C555" s="14">
        <v>2589.9999999999995</v>
      </c>
      <c r="D555" s="14">
        <v>18.666666666666664</v>
      </c>
      <c r="E555" s="14">
        <v>28506.666666666664</v>
      </c>
      <c r="F555" s="14">
        <v>262.66666666666663</v>
      </c>
      <c r="G555" s="14">
        <v>339.33333333333331</v>
      </c>
      <c r="H555" s="14">
        <v>183.33333333333331</v>
      </c>
      <c r="I555" s="14">
        <v>387.33333333333331</v>
      </c>
    </row>
    <row r="556" spans="1:11" ht="16.5" x14ac:dyDescent="0.2">
      <c r="A556" s="4" t="s">
        <v>283</v>
      </c>
      <c r="B556">
        <v>2009</v>
      </c>
      <c r="C556" s="14">
        <v>20427.333333333332</v>
      </c>
      <c r="D556" s="14">
        <v>14</v>
      </c>
      <c r="E556" s="14">
        <v>5404</v>
      </c>
      <c r="F556" s="14">
        <v>1033.3333333333333</v>
      </c>
      <c r="G556" s="14">
        <v>727.33333333333326</v>
      </c>
      <c r="H556" s="14">
        <v>560</v>
      </c>
      <c r="I556" s="14">
        <v>3344.6666666666665</v>
      </c>
      <c r="K556" s="15"/>
    </row>
    <row r="557" spans="1:11" ht="16.5" x14ac:dyDescent="0.2">
      <c r="A557" s="4" t="s">
        <v>283</v>
      </c>
      <c r="B557">
        <v>2010</v>
      </c>
      <c r="C557" s="14">
        <v>20413.333333333332</v>
      </c>
      <c r="D557" s="14">
        <v>14</v>
      </c>
      <c r="E557" s="14">
        <v>5402.6666666666661</v>
      </c>
      <c r="F557" s="14">
        <v>1032.6666666666665</v>
      </c>
      <c r="G557" s="14">
        <v>737.33333333333326</v>
      </c>
      <c r="H557" s="14">
        <v>560.66666666666663</v>
      </c>
      <c r="I557" s="14">
        <v>3349.9999999999995</v>
      </c>
    </row>
    <row r="558" spans="1:11" ht="16.5" x14ac:dyDescent="0.2">
      <c r="A558" s="4" t="s">
        <v>283</v>
      </c>
      <c r="B558">
        <v>2011</v>
      </c>
      <c r="C558" s="14">
        <v>20403.333333333332</v>
      </c>
      <c r="D558" s="14">
        <v>14</v>
      </c>
      <c r="E558" s="14">
        <v>5401.333333333333</v>
      </c>
      <c r="F558" s="14">
        <v>1030</v>
      </c>
      <c r="G558" s="14">
        <v>745.33333333333326</v>
      </c>
      <c r="H558" s="14">
        <v>563.33333333333326</v>
      </c>
      <c r="I558" s="14">
        <v>3346.6666666666665</v>
      </c>
      <c r="K558" s="15"/>
    </row>
    <row r="559" spans="1:11" ht="16.5" x14ac:dyDescent="0.2">
      <c r="A559" s="4" t="s">
        <v>283</v>
      </c>
      <c r="B559">
        <v>2012</v>
      </c>
      <c r="C559" s="14">
        <v>20398.666666666668</v>
      </c>
      <c r="D559" s="14">
        <v>14</v>
      </c>
      <c r="E559" s="14">
        <v>5399.9999999999991</v>
      </c>
      <c r="F559" s="14">
        <v>1019.3333333333333</v>
      </c>
      <c r="G559" s="14">
        <v>751.33333333333326</v>
      </c>
      <c r="H559" s="14">
        <v>575.33333333333326</v>
      </c>
      <c r="I559" s="14">
        <v>3343.333333333333</v>
      </c>
    </row>
    <row r="560" spans="1:11" ht="16.5" x14ac:dyDescent="0.2">
      <c r="A560" s="4" t="s">
        <v>283</v>
      </c>
      <c r="B560">
        <v>2013</v>
      </c>
      <c r="C560" s="14">
        <v>20433.999999999996</v>
      </c>
      <c r="D560" s="14">
        <v>14</v>
      </c>
      <c r="E560" s="14">
        <v>5398.6666666666661</v>
      </c>
      <c r="F560" s="14">
        <v>982.66666666666663</v>
      </c>
      <c r="G560" s="14">
        <v>745.99999999999989</v>
      </c>
      <c r="H560" s="14">
        <v>579.33333333333337</v>
      </c>
      <c r="I560" s="14">
        <v>3343.333333333333</v>
      </c>
      <c r="K560" s="15"/>
    </row>
    <row r="561" spans="1:11" ht="16.5" x14ac:dyDescent="0.2">
      <c r="A561" s="4" t="s">
        <v>283</v>
      </c>
      <c r="B561">
        <v>2014</v>
      </c>
      <c r="C561" s="14">
        <v>20427.999999999996</v>
      </c>
      <c r="D561" s="14">
        <v>14</v>
      </c>
      <c r="E561" s="14">
        <v>5398.6666666666661</v>
      </c>
      <c r="F561" s="14">
        <v>978.66666666666663</v>
      </c>
      <c r="G561" s="14">
        <v>754.66666666666663</v>
      </c>
      <c r="H561" s="14">
        <v>581.33333333333326</v>
      </c>
      <c r="I561" s="14">
        <v>3341.333333333333</v>
      </c>
    </row>
    <row r="562" spans="1:11" ht="16.5" x14ac:dyDescent="0.2">
      <c r="A562" s="4" t="s">
        <v>283</v>
      </c>
      <c r="B562">
        <v>2015</v>
      </c>
      <c r="C562" s="14">
        <v>20413.999999999996</v>
      </c>
      <c r="D562" s="14">
        <v>14</v>
      </c>
      <c r="E562" s="14">
        <v>5396.6666666666661</v>
      </c>
      <c r="F562" s="14">
        <v>977.99999999999989</v>
      </c>
      <c r="G562" s="14">
        <v>764</v>
      </c>
      <c r="H562" s="14">
        <v>583.33333333333326</v>
      </c>
      <c r="I562" s="14">
        <v>3345.333333333333</v>
      </c>
      <c r="K562" s="15"/>
    </row>
    <row r="563" spans="1:11" ht="16.5" x14ac:dyDescent="0.2">
      <c r="A563" s="4" t="s">
        <v>283</v>
      </c>
      <c r="B563">
        <v>2016</v>
      </c>
      <c r="C563" s="14">
        <v>20413.333333333332</v>
      </c>
      <c r="D563" s="14">
        <v>14</v>
      </c>
      <c r="E563" s="14">
        <v>5395.9999999999991</v>
      </c>
      <c r="F563" s="14">
        <v>968.66666666666663</v>
      </c>
      <c r="G563" s="14">
        <v>771.99999999999989</v>
      </c>
      <c r="H563" s="14">
        <v>586</v>
      </c>
      <c r="I563" s="14">
        <v>3344.6666666666665</v>
      </c>
    </row>
    <row r="564" spans="1:11" ht="16.5" x14ac:dyDescent="0.2">
      <c r="A564" s="4" t="s">
        <v>282</v>
      </c>
      <c r="B564">
        <v>2009</v>
      </c>
      <c r="C564" s="14">
        <v>2801.333333333333</v>
      </c>
      <c r="D564" s="14">
        <v>19.333333333333332</v>
      </c>
      <c r="E564" s="14">
        <v>2710.6666666666665</v>
      </c>
      <c r="F564" s="14">
        <v>127.33333333333333</v>
      </c>
      <c r="G564" s="14">
        <v>233.33333333333331</v>
      </c>
      <c r="H564" s="14">
        <v>101.33333333333331</v>
      </c>
      <c r="I564" s="14">
        <v>161.33333333333331</v>
      </c>
      <c r="K564" s="15"/>
    </row>
    <row r="565" spans="1:11" ht="16.5" x14ac:dyDescent="0.2">
      <c r="A565" s="4" t="s">
        <v>282</v>
      </c>
      <c r="B565">
        <v>2010</v>
      </c>
      <c r="C565" s="14">
        <v>2799.333333333333</v>
      </c>
      <c r="D565" s="14">
        <v>18.666666666666664</v>
      </c>
      <c r="E565" s="14">
        <v>2709.9999999999995</v>
      </c>
      <c r="F565" s="14">
        <v>126.66666666666666</v>
      </c>
      <c r="G565" s="14">
        <v>234.66666666666666</v>
      </c>
      <c r="H565" s="14">
        <v>102.66666666666666</v>
      </c>
      <c r="I565" s="14">
        <v>161.33333333333331</v>
      </c>
    </row>
    <row r="566" spans="1:11" ht="16.5" x14ac:dyDescent="0.2">
      <c r="A566" s="4" t="s">
        <v>282</v>
      </c>
      <c r="B566">
        <v>2011</v>
      </c>
      <c r="C566" s="14">
        <v>2791.333333333333</v>
      </c>
      <c r="D566" s="14">
        <v>18.666666666666664</v>
      </c>
      <c r="E566" s="14">
        <v>2709.333333333333</v>
      </c>
      <c r="F566" s="14">
        <v>125.99999999999999</v>
      </c>
      <c r="G566" s="14">
        <v>238.66666666666663</v>
      </c>
      <c r="H566" s="14">
        <v>102.66666666666666</v>
      </c>
      <c r="I566" s="14">
        <v>167.33333333333331</v>
      </c>
      <c r="K566" s="15"/>
    </row>
    <row r="567" spans="1:11" ht="16.5" x14ac:dyDescent="0.2">
      <c r="A567" s="4" t="s">
        <v>282</v>
      </c>
      <c r="B567">
        <v>2012</v>
      </c>
      <c r="C567" s="14">
        <v>2787.333333333333</v>
      </c>
      <c r="D567" s="14">
        <v>18.666666666666664</v>
      </c>
      <c r="E567" s="14">
        <v>2708.6666666666665</v>
      </c>
      <c r="F567" s="14">
        <v>125.99999999999999</v>
      </c>
      <c r="G567" s="14">
        <v>241.99999999999997</v>
      </c>
      <c r="H567" s="14">
        <v>102.66666666666666</v>
      </c>
      <c r="I567" s="14">
        <v>167.33333333333331</v>
      </c>
    </row>
    <row r="568" spans="1:11" ht="16.5" x14ac:dyDescent="0.2">
      <c r="A568" s="4" t="s">
        <v>282</v>
      </c>
      <c r="B568">
        <v>2013</v>
      </c>
      <c r="C568" s="14">
        <v>2784.6666666666665</v>
      </c>
      <c r="D568" s="14">
        <v>18.666666666666664</v>
      </c>
      <c r="E568" s="14">
        <v>2708.6666666666665</v>
      </c>
      <c r="F568" s="14">
        <v>125.99999999999999</v>
      </c>
      <c r="G568" s="14">
        <v>245.99999999999997</v>
      </c>
      <c r="H568" s="14">
        <v>102.66666666666666</v>
      </c>
      <c r="I568" s="14">
        <v>166.66666666666666</v>
      </c>
      <c r="K568" s="15"/>
    </row>
    <row r="569" spans="1:11" ht="16.5" x14ac:dyDescent="0.2">
      <c r="A569" s="4" t="s">
        <v>282</v>
      </c>
      <c r="B569">
        <v>2014</v>
      </c>
      <c r="C569" s="14">
        <v>2783.333333333333</v>
      </c>
      <c r="D569" s="14">
        <v>18.666666666666664</v>
      </c>
      <c r="E569" s="14">
        <v>2707.9999999999995</v>
      </c>
      <c r="F569" s="14">
        <v>125.33333333333333</v>
      </c>
      <c r="G569" s="14">
        <v>246.66666666666666</v>
      </c>
      <c r="H569" s="14">
        <v>102.66666666666666</v>
      </c>
      <c r="I569" s="14">
        <v>166.66666666666666</v>
      </c>
    </row>
    <row r="570" spans="1:11" ht="16.5" x14ac:dyDescent="0.2">
      <c r="A570" s="4" t="s">
        <v>282</v>
      </c>
      <c r="B570">
        <v>2015</v>
      </c>
      <c r="C570" s="14">
        <v>2782.6666666666661</v>
      </c>
      <c r="D570" s="14">
        <v>18.666666666666664</v>
      </c>
      <c r="E570" s="14">
        <v>2707.9999999999995</v>
      </c>
      <c r="F570" s="14">
        <v>125.33333333333333</v>
      </c>
      <c r="G570" s="14">
        <v>247.99999999999994</v>
      </c>
      <c r="H570" s="14">
        <v>102.66666666666666</v>
      </c>
      <c r="I570" s="14">
        <v>166.66666666666666</v>
      </c>
      <c r="K570" s="15"/>
    </row>
    <row r="571" spans="1:11" ht="16.5" x14ac:dyDescent="0.2">
      <c r="A571" s="4" t="s">
        <v>282</v>
      </c>
      <c r="B571">
        <v>2016</v>
      </c>
      <c r="C571" s="14">
        <v>2781.333333333333</v>
      </c>
      <c r="D571" s="14">
        <v>18.666666666666664</v>
      </c>
      <c r="E571" s="14">
        <v>2707.9999999999995</v>
      </c>
      <c r="F571" s="14">
        <v>125.33333333333333</v>
      </c>
      <c r="G571" s="14">
        <v>249.33333333333331</v>
      </c>
      <c r="H571" s="14">
        <v>102.66666666666666</v>
      </c>
      <c r="I571" s="14">
        <v>165.99999999999997</v>
      </c>
    </row>
    <row r="572" spans="1:11" ht="16.5" x14ac:dyDescent="0.2">
      <c r="A572" s="4" t="s">
        <v>281</v>
      </c>
      <c r="B572">
        <v>2009</v>
      </c>
      <c r="C572" s="14">
        <v>8846</v>
      </c>
      <c r="D572" s="14">
        <v>103.99999999999999</v>
      </c>
      <c r="E572" s="14">
        <v>27529.333333333328</v>
      </c>
      <c r="F572" s="14">
        <v>379.99999999999994</v>
      </c>
      <c r="G572" s="14">
        <v>620</v>
      </c>
      <c r="H572" s="14">
        <v>334.66666666666663</v>
      </c>
      <c r="I572" s="14">
        <v>735.33333333333326</v>
      </c>
      <c r="K572" s="15"/>
    </row>
    <row r="573" spans="1:11" ht="16.5" x14ac:dyDescent="0.2">
      <c r="A573" s="4" t="s">
        <v>281</v>
      </c>
      <c r="B573">
        <v>2010</v>
      </c>
      <c r="C573" s="14">
        <v>8840</v>
      </c>
      <c r="D573" s="14">
        <v>103.33333333333333</v>
      </c>
      <c r="E573" s="14">
        <v>27527.333333333332</v>
      </c>
      <c r="F573" s="14">
        <v>379.99999999999994</v>
      </c>
      <c r="G573" s="14">
        <v>625.99999999999989</v>
      </c>
      <c r="H573" s="14">
        <v>337.33333333333331</v>
      </c>
      <c r="I573" s="14">
        <v>734.66666666666663</v>
      </c>
    </row>
    <row r="574" spans="1:11" ht="16.5" x14ac:dyDescent="0.2">
      <c r="A574" s="4" t="s">
        <v>281</v>
      </c>
      <c r="B574">
        <v>2011</v>
      </c>
      <c r="C574" s="14">
        <v>8832.6666666666661</v>
      </c>
      <c r="D574" s="14">
        <v>103.99999999999999</v>
      </c>
      <c r="E574" s="14">
        <v>27524.666666666664</v>
      </c>
      <c r="F574" s="14">
        <v>378.66666666666663</v>
      </c>
      <c r="G574" s="14">
        <v>631.33333333333337</v>
      </c>
      <c r="H574" s="14">
        <v>340.66666666666663</v>
      </c>
      <c r="I574" s="14">
        <v>736.66666666666663</v>
      </c>
      <c r="K574" s="15"/>
    </row>
    <row r="575" spans="1:11" ht="16.5" x14ac:dyDescent="0.2">
      <c r="A575" s="4" t="s">
        <v>281</v>
      </c>
      <c r="B575">
        <v>2012</v>
      </c>
      <c r="C575" s="14">
        <v>8825.3333333333321</v>
      </c>
      <c r="D575" s="14">
        <v>103.33333333333333</v>
      </c>
      <c r="E575" s="14">
        <v>27523.333333333332</v>
      </c>
      <c r="F575" s="14">
        <v>377.33333333333331</v>
      </c>
      <c r="G575" s="14">
        <v>639.33333333333337</v>
      </c>
      <c r="H575" s="14">
        <v>342.66666666666663</v>
      </c>
      <c r="I575" s="14">
        <v>736.66666666666663</v>
      </c>
    </row>
    <row r="576" spans="1:11" ht="16.5" x14ac:dyDescent="0.2">
      <c r="A576" s="4" t="s">
        <v>281</v>
      </c>
      <c r="B576">
        <v>2013</v>
      </c>
      <c r="C576" s="14">
        <v>8823.9999999999982</v>
      </c>
      <c r="D576" s="14">
        <v>103.33333333333333</v>
      </c>
      <c r="E576" s="14">
        <v>27522</v>
      </c>
      <c r="F576" s="14">
        <v>375.99999999999994</v>
      </c>
      <c r="G576" s="14">
        <v>644.66666666666652</v>
      </c>
      <c r="H576" s="14">
        <v>344.66666666666663</v>
      </c>
      <c r="I576" s="14">
        <v>735.33333333333326</v>
      </c>
      <c r="K576" s="15"/>
    </row>
    <row r="577" spans="1:11" ht="16.5" x14ac:dyDescent="0.2">
      <c r="A577" s="4" t="s">
        <v>281</v>
      </c>
      <c r="B577">
        <v>2014</v>
      </c>
      <c r="C577" s="14">
        <v>8819.3333333333339</v>
      </c>
      <c r="D577" s="14">
        <v>103.33333333333333</v>
      </c>
      <c r="E577" s="14">
        <v>27517.333333333332</v>
      </c>
      <c r="F577" s="14">
        <v>373.33333333333331</v>
      </c>
      <c r="G577" s="14">
        <v>652</v>
      </c>
      <c r="H577" s="14">
        <v>347.33333333333331</v>
      </c>
      <c r="I577" s="14">
        <v>738.66666666666663</v>
      </c>
    </row>
    <row r="578" spans="1:11" ht="16.5" x14ac:dyDescent="0.2">
      <c r="A578" s="4" t="s">
        <v>281</v>
      </c>
      <c r="B578">
        <v>2015</v>
      </c>
      <c r="C578" s="14">
        <v>8816.6666666666661</v>
      </c>
      <c r="D578" s="14">
        <v>103.33333333333333</v>
      </c>
      <c r="E578" s="14">
        <v>27516.666666666664</v>
      </c>
      <c r="F578" s="14">
        <v>370.66666666666663</v>
      </c>
      <c r="G578" s="14">
        <v>655.33333333333337</v>
      </c>
      <c r="H578" s="14">
        <v>348</v>
      </c>
      <c r="I578" s="14">
        <v>738.66666666666663</v>
      </c>
      <c r="K578" s="15"/>
    </row>
    <row r="579" spans="1:11" ht="16.5" x14ac:dyDescent="0.2">
      <c r="A579" s="4" t="s">
        <v>281</v>
      </c>
      <c r="B579">
        <v>2016</v>
      </c>
      <c r="C579" s="14">
        <v>8813.3333333333321</v>
      </c>
      <c r="D579" s="14">
        <v>103.33333333333333</v>
      </c>
      <c r="E579" s="14">
        <v>27514</v>
      </c>
      <c r="F579" s="14">
        <v>370.66666666666663</v>
      </c>
      <c r="G579" s="14">
        <v>658</v>
      </c>
      <c r="H579" s="14">
        <v>350.66666666666663</v>
      </c>
      <c r="I579" s="14">
        <v>738.66666666666663</v>
      </c>
    </row>
    <row r="580" spans="1:11" ht="16.5" x14ac:dyDescent="0.2">
      <c r="A580" s="4" t="s">
        <v>280</v>
      </c>
      <c r="B580">
        <v>2009</v>
      </c>
      <c r="C580" s="14">
        <v>19218.666666666668</v>
      </c>
      <c r="D580" s="14">
        <v>29.999999999999996</v>
      </c>
      <c r="E580" s="14">
        <v>35180</v>
      </c>
      <c r="F580" s="14">
        <v>5721.9999999999991</v>
      </c>
      <c r="G580" s="14">
        <v>648.66666666666663</v>
      </c>
      <c r="H580" s="14">
        <v>486.66666666666663</v>
      </c>
      <c r="I580" s="14">
        <v>1223.3333333333333</v>
      </c>
      <c r="K580" s="15"/>
    </row>
    <row r="581" spans="1:11" ht="16.5" x14ac:dyDescent="0.2">
      <c r="A581" s="4" t="s">
        <v>280</v>
      </c>
      <c r="B581">
        <v>2010</v>
      </c>
      <c r="C581" s="14">
        <v>19203.333333333332</v>
      </c>
      <c r="D581" s="14">
        <v>29.999999999999996</v>
      </c>
      <c r="E581" s="14">
        <v>35172.666666666664</v>
      </c>
      <c r="F581" s="14">
        <v>5718.6666666666661</v>
      </c>
      <c r="G581" s="14">
        <v>654.66666666666663</v>
      </c>
      <c r="H581" s="14">
        <v>502.66666666666669</v>
      </c>
      <c r="I581" s="14">
        <v>1222.6666666666665</v>
      </c>
    </row>
    <row r="582" spans="1:11" ht="16.5" x14ac:dyDescent="0.2">
      <c r="A582" s="4" t="s">
        <v>280</v>
      </c>
      <c r="B582">
        <v>2011</v>
      </c>
      <c r="C582" s="14">
        <v>19196.666666666664</v>
      </c>
      <c r="D582" s="14">
        <v>29.999999999999996</v>
      </c>
      <c r="E582" s="14">
        <v>35169.333333333328</v>
      </c>
      <c r="F582" s="14">
        <v>5717.333333333333</v>
      </c>
      <c r="G582" s="14">
        <v>661.33333333333326</v>
      </c>
      <c r="H582" s="14">
        <v>506</v>
      </c>
      <c r="I582" s="14">
        <v>1222.6666666666665</v>
      </c>
      <c r="K582" s="15"/>
    </row>
    <row r="583" spans="1:11" ht="16.5" x14ac:dyDescent="0.2">
      <c r="A583" s="4" t="s">
        <v>280</v>
      </c>
      <c r="B583">
        <v>2012</v>
      </c>
      <c r="C583" s="14">
        <v>19201.333333333332</v>
      </c>
      <c r="D583" s="14">
        <v>29.999999999999996</v>
      </c>
      <c r="E583" s="14">
        <v>35167.999999999993</v>
      </c>
      <c r="F583" s="14">
        <v>5715.9999999999991</v>
      </c>
      <c r="G583" s="14">
        <v>657.33333333333326</v>
      </c>
      <c r="H583" s="14">
        <v>507.33333333333326</v>
      </c>
      <c r="I583" s="14">
        <v>1223.3333333333333</v>
      </c>
    </row>
    <row r="584" spans="1:11" ht="16.5" x14ac:dyDescent="0.2">
      <c r="A584" s="4" t="s">
        <v>280</v>
      </c>
      <c r="B584">
        <v>2013</v>
      </c>
      <c r="C584" s="14">
        <v>19205.333333333332</v>
      </c>
      <c r="D584" s="14">
        <v>29.999999999999996</v>
      </c>
      <c r="E584" s="14">
        <v>35167.333333333336</v>
      </c>
      <c r="F584" s="14">
        <v>5706.6666666666661</v>
      </c>
      <c r="G584" s="14">
        <v>662</v>
      </c>
      <c r="H584" s="14">
        <v>508</v>
      </c>
      <c r="I584" s="14">
        <v>1222.6666666666665</v>
      </c>
      <c r="K584" s="15"/>
    </row>
    <row r="585" spans="1:11" ht="16.5" x14ac:dyDescent="0.2">
      <c r="A585" s="4" t="s">
        <v>280</v>
      </c>
      <c r="B585">
        <v>2014</v>
      </c>
      <c r="C585" s="14">
        <v>19202</v>
      </c>
      <c r="D585" s="14">
        <v>29.999999999999996</v>
      </c>
      <c r="E585" s="14">
        <v>35165.333333333328</v>
      </c>
      <c r="F585" s="14">
        <v>5705.3333333333321</v>
      </c>
      <c r="G585" s="14">
        <v>665.33333333333326</v>
      </c>
      <c r="H585" s="14">
        <v>508.66666666666663</v>
      </c>
      <c r="I585" s="14">
        <v>1223.3333333333333</v>
      </c>
    </row>
    <row r="586" spans="1:11" ht="16.5" x14ac:dyDescent="0.2">
      <c r="A586" s="4" t="s">
        <v>280</v>
      </c>
      <c r="B586">
        <v>2015</v>
      </c>
      <c r="C586" s="14">
        <v>19196</v>
      </c>
      <c r="D586" s="14">
        <v>29.999999999999996</v>
      </c>
      <c r="E586" s="14">
        <v>35164</v>
      </c>
      <c r="F586" s="14">
        <v>5704</v>
      </c>
      <c r="G586" s="14">
        <v>668</v>
      </c>
      <c r="H586" s="14">
        <v>509.33333333333331</v>
      </c>
      <c r="I586" s="14">
        <v>1226.6666666666665</v>
      </c>
      <c r="K586" s="15"/>
    </row>
    <row r="587" spans="1:11" ht="16.5" x14ac:dyDescent="0.2">
      <c r="A587" s="4" t="s">
        <v>280</v>
      </c>
      <c r="B587">
        <v>2016</v>
      </c>
      <c r="C587" s="14">
        <v>19192</v>
      </c>
      <c r="D587" s="14">
        <v>29.999999999999996</v>
      </c>
      <c r="E587" s="14">
        <v>35162</v>
      </c>
      <c r="F587" s="14">
        <v>5702.6666666666661</v>
      </c>
      <c r="G587" s="14">
        <v>673.99999999999989</v>
      </c>
      <c r="H587" s="14">
        <v>510.66666666666657</v>
      </c>
      <c r="I587" s="14">
        <v>1226.6666666666665</v>
      </c>
    </row>
    <row r="588" spans="1:11" ht="16.5" x14ac:dyDescent="0.2">
      <c r="A588" s="4" t="s">
        <v>279</v>
      </c>
      <c r="B588">
        <v>2009</v>
      </c>
      <c r="C588" s="14">
        <v>19980</v>
      </c>
      <c r="D588" s="14">
        <v>19.333333333333332</v>
      </c>
      <c r="E588" s="14">
        <v>6916</v>
      </c>
      <c r="F588" s="14">
        <v>3446.6666666666665</v>
      </c>
      <c r="G588" s="14">
        <v>1505.3333333333333</v>
      </c>
      <c r="H588" s="14">
        <v>728</v>
      </c>
      <c r="I588" s="14">
        <v>1583.9999999999998</v>
      </c>
      <c r="K588" s="15"/>
    </row>
    <row r="589" spans="1:11" ht="16.5" x14ac:dyDescent="0.2">
      <c r="A589" s="4" t="s">
        <v>279</v>
      </c>
      <c r="B589">
        <v>2010</v>
      </c>
      <c r="C589" s="14">
        <v>19977.333333333332</v>
      </c>
      <c r="D589" s="14">
        <v>19.333333333333332</v>
      </c>
      <c r="E589" s="14">
        <v>6912.666666666667</v>
      </c>
      <c r="F589" s="14">
        <v>3444.6666666666665</v>
      </c>
      <c r="G589" s="14">
        <v>1513.9999999999998</v>
      </c>
      <c r="H589" s="14">
        <v>731.33333333333326</v>
      </c>
      <c r="I589" s="14">
        <v>1581.333333333333</v>
      </c>
    </row>
    <row r="590" spans="1:11" ht="16.5" x14ac:dyDescent="0.2">
      <c r="A590" s="4" t="s">
        <v>279</v>
      </c>
      <c r="B590">
        <v>2011</v>
      </c>
      <c r="C590" s="14">
        <v>19966.666666666664</v>
      </c>
      <c r="D590" s="14">
        <v>19.333333333333332</v>
      </c>
      <c r="E590" s="14">
        <v>6909.9999999999991</v>
      </c>
      <c r="F590" s="14">
        <v>3441.3333333333335</v>
      </c>
      <c r="G590" s="14">
        <v>1526</v>
      </c>
      <c r="H590" s="14">
        <v>736</v>
      </c>
      <c r="I590" s="14">
        <v>1582</v>
      </c>
      <c r="K590" s="15"/>
    </row>
    <row r="591" spans="1:11" ht="16.5" x14ac:dyDescent="0.2">
      <c r="A591" s="4" t="s">
        <v>279</v>
      </c>
      <c r="B591">
        <v>2012</v>
      </c>
      <c r="C591" s="14">
        <v>19961.333333333332</v>
      </c>
      <c r="D591" s="14">
        <v>18.666666666666664</v>
      </c>
      <c r="E591" s="14">
        <v>6908.6666666666661</v>
      </c>
      <c r="F591" s="14">
        <v>3434.6666666666665</v>
      </c>
      <c r="G591" s="14">
        <v>1542.6666666666665</v>
      </c>
      <c r="H591" s="14">
        <v>736.66666666666663</v>
      </c>
      <c r="I591" s="14">
        <v>1577.9999999999998</v>
      </c>
    </row>
    <row r="592" spans="1:11" ht="16.5" x14ac:dyDescent="0.2">
      <c r="A592" s="4" t="s">
        <v>279</v>
      </c>
      <c r="B592">
        <v>2013</v>
      </c>
      <c r="C592" s="14">
        <v>19970</v>
      </c>
      <c r="D592" s="14">
        <v>18.666666666666664</v>
      </c>
      <c r="E592" s="14">
        <v>6908</v>
      </c>
      <c r="F592" s="14">
        <v>3427.333333333333</v>
      </c>
      <c r="G592" s="14">
        <v>1552</v>
      </c>
      <c r="H592" s="14">
        <v>737.33333333333326</v>
      </c>
      <c r="I592" s="14">
        <v>1567.3333333333333</v>
      </c>
      <c r="K592" s="15"/>
    </row>
    <row r="593" spans="1:11" ht="16.5" x14ac:dyDescent="0.2">
      <c r="A593" s="4" t="s">
        <v>279</v>
      </c>
      <c r="B593">
        <v>2014</v>
      </c>
      <c r="C593" s="14">
        <v>19967.333333333332</v>
      </c>
      <c r="D593" s="14">
        <v>18.666666666666664</v>
      </c>
      <c r="E593" s="14">
        <v>6907.3333333333321</v>
      </c>
      <c r="F593" s="14">
        <v>3415.3333333333326</v>
      </c>
      <c r="G593" s="14">
        <v>1563.9999999999998</v>
      </c>
      <c r="H593" s="14">
        <v>739.33333333333326</v>
      </c>
      <c r="I593" s="14">
        <v>1568.6666666666665</v>
      </c>
    </row>
    <row r="594" spans="1:11" ht="16.5" x14ac:dyDescent="0.2">
      <c r="A594" s="4" t="s">
        <v>279</v>
      </c>
      <c r="B594">
        <v>2015</v>
      </c>
      <c r="C594" s="14">
        <v>19961.333333333332</v>
      </c>
      <c r="D594" s="14">
        <v>18.666666666666664</v>
      </c>
      <c r="E594" s="14">
        <v>6906</v>
      </c>
      <c r="F594" s="14">
        <v>3413.333333333333</v>
      </c>
      <c r="G594" s="14">
        <v>1572.6666666666665</v>
      </c>
      <c r="H594" s="14">
        <v>739.33333333333326</v>
      </c>
      <c r="I594" s="14">
        <v>1567.9999999999998</v>
      </c>
      <c r="K594" s="15"/>
    </row>
    <row r="595" spans="1:11" ht="16.5" x14ac:dyDescent="0.2">
      <c r="A595" s="4" t="s">
        <v>279</v>
      </c>
      <c r="B595">
        <v>2016</v>
      </c>
      <c r="C595" s="14">
        <v>19962</v>
      </c>
      <c r="D595" s="14">
        <v>18.666666666666664</v>
      </c>
      <c r="E595" s="14">
        <v>6905.3333333333321</v>
      </c>
      <c r="F595" s="14">
        <v>3407.333333333333</v>
      </c>
      <c r="G595" s="14">
        <v>1577.3333333333333</v>
      </c>
      <c r="H595" s="14">
        <v>739.33333333333326</v>
      </c>
      <c r="I595" s="14">
        <v>1568.6666666666665</v>
      </c>
    </row>
    <row r="596" spans="1:11" ht="16.5" x14ac:dyDescent="0.2">
      <c r="A596" s="4" t="s">
        <v>278</v>
      </c>
      <c r="B596">
        <v>2009</v>
      </c>
      <c r="C596" s="14">
        <v>662.66666666666663</v>
      </c>
      <c r="D596" s="14">
        <v>1.3333333333333333</v>
      </c>
      <c r="E596" s="14">
        <v>59944.666666666664</v>
      </c>
      <c r="F596" s="14">
        <v>410.66666666666663</v>
      </c>
      <c r="G596" s="14">
        <v>150.66666666666666</v>
      </c>
      <c r="H596" s="14">
        <v>215.33333333333329</v>
      </c>
      <c r="I596" s="14">
        <v>689.33333333333326</v>
      </c>
      <c r="K596" s="15"/>
    </row>
    <row r="597" spans="1:11" ht="16.5" x14ac:dyDescent="0.2">
      <c r="A597" s="4" t="s">
        <v>278</v>
      </c>
      <c r="B597">
        <v>2010</v>
      </c>
      <c r="C597" s="14">
        <v>662.66666666666663</v>
      </c>
      <c r="D597" s="14">
        <v>1.3333333333333333</v>
      </c>
      <c r="E597" s="14">
        <v>59970.666666666664</v>
      </c>
      <c r="F597" s="14">
        <v>408.66666666666663</v>
      </c>
      <c r="G597" s="14">
        <v>153.99999999999997</v>
      </c>
      <c r="H597" s="14">
        <v>214</v>
      </c>
      <c r="I597" s="14">
        <v>688</v>
      </c>
    </row>
    <row r="598" spans="1:11" ht="16.5" x14ac:dyDescent="0.2">
      <c r="A598" s="4" t="s">
        <v>278</v>
      </c>
      <c r="B598">
        <v>2011</v>
      </c>
      <c r="C598" s="14">
        <v>661.99999999999989</v>
      </c>
      <c r="D598" s="14">
        <v>1.3333333333333333</v>
      </c>
      <c r="E598" s="14">
        <v>59959.999999999993</v>
      </c>
      <c r="F598" s="14">
        <v>408.66666666666663</v>
      </c>
      <c r="G598" s="14">
        <v>154.66666666666666</v>
      </c>
      <c r="H598" s="14">
        <v>225.33333333333329</v>
      </c>
      <c r="I598" s="14">
        <v>687.33333333333326</v>
      </c>
      <c r="K598" s="15"/>
    </row>
    <row r="599" spans="1:11" ht="16.5" x14ac:dyDescent="0.2">
      <c r="A599" s="4" t="s">
        <v>278</v>
      </c>
      <c r="B599">
        <v>2012</v>
      </c>
      <c r="C599" s="14">
        <v>663.99999999999989</v>
      </c>
      <c r="D599" s="14">
        <v>1.3333333333333333</v>
      </c>
      <c r="E599" s="14">
        <v>59958</v>
      </c>
      <c r="F599" s="14">
        <v>406.66666666666663</v>
      </c>
      <c r="G599" s="14">
        <v>157.99999999999997</v>
      </c>
      <c r="H599" s="14">
        <v>225.99999999999997</v>
      </c>
      <c r="I599" s="14">
        <v>688</v>
      </c>
    </row>
    <row r="600" spans="1:11" ht="16.5" x14ac:dyDescent="0.2">
      <c r="A600" s="4" t="s">
        <v>278</v>
      </c>
      <c r="B600">
        <v>2013</v>
      </c>
      <c r="C600" s="14">
        <v>666.66666666666663</v>
      </c>
      <c r="D600" s="14">
        <v>1.3333333333333333</v>
      </c>
      <c r="E600" s="14">
        <v>59958</v>
      </c>
      <c r="F600" s="14">
        <v>405.99999999999994</v>
      </c>
      <c r="G600" s="14">
        <v>158.66666666666663</v>
      </c>
      <c r="H600" s="14">
        <v>225.99999999999997</v>
      </c>
      <c r="I600" s="14">
        <v>688</v>
      </c>
      <c r="K600" s="15"/>
    </row>
    <row r="601" spans="1:11" ht="16.5" x14ac:dyDescent="0.2">
      <c r="A601" s="4" t="s">
        <v>278</v>
      </c>
      <c r="B601">
        <v>2014</v>
      </c>
      <c r="C601" s="14">
        <v>666.66666666666663</v>
      </c>
      <c r="D601" s="14">
        <v>1.3333333333333333</v>
      </c>
      <c r="E601" s="14">
        <v>59956.666666666664</v>
      </c>
      <c r="F601" s="14">
        <v>405.99999999999994</v>
      </c>
      <c r="G601" s="14">
        <v>158.66666666666663</v>
      </c>
      <c r="H601" s="14">
        <v>226.66666666666666</v>
      </c>
      <c r="I601" s="14">
        <v>688</v>
      </c>
    </row>
    <row r="602" spans="1:11" ht="16.5" x14ac:dyDescent="0.2">
      <c r="A602" s="4" t="s">
        <v>278</v>
      </c>
      <c r="B602">
        <v>2015</v>
      </c>
      <c r="C602" s="14">
        <v>665.33333333333326</v>
      </c>
      <c r="D602" s="14">
        <v>1.3333333333333333</v>
      </c>
      <c r="E602" s="14">
        <v>59955.999999999993</v>
      </c>
      <c r="F602" s="14">
        <v>405.99999999999994</v>
      </c>
      <c r="G602" s="14">
        <v>158.66666666666663</v>
      </c>
      <c r="H602" s="14">
        <v>225.99999999999997</v>
      </c>
      <c r="I602" s="14">
        <v>689.99999999999989</v>
      </c>
      <c r="K602" s="15"/>
    </row>
    <row r="603" spans="1:11" ht="16.5" x14ac:dyDescent="0.2">
      <c r="A603" s="4" t="s">
        <v>278</v>
      </c>
      <c r="B603">
        <v>2016</v>
      </c>
      <c r="C603" s="14">
        <v>664.66666666666663</v>
      </c>
      <c r="D603" s="14">
        <v>1.3333333333333333</v>
      </c>
      <c r="E603" s="14">
        <v>59955.999999999993</v>
      </c>
      <c r="F603" s="14">
        <v>405.99999999999994</v>
      </c>
      <c r="G603" s="14">
        <v>159.33333333333331</v>
      </c>
      <c r="H603" s="14">
        <v>226.66666666666666</v>
      </c>
      <c r="I603" s="14">
        <v>689.99999999999989</v>
      </c>
    </row>
    <row r="604" spans="1:11" ht="16.5" x14ac:dyDescent="0.2">
      <c r="A604" s="4" t="s">
        <v>277</v>
      </c>
      <c r="B604">
        <v>2009</v>
      </c>
      <c r="C604" s="14">
        <v>1897.3333333333333</v>
      </c>
      <c r="D604" s="14">
        <v>179.99999999999997</v>
      </c>
      <c r="E604" s="14">
        <v>506</v>
      </c>
      <c r="F604" s="14">
        <v>16.666666666666664</v>
      </c>
      <c r="G604" s="14">
        <v>2530</v>
      </c>
      <c r="H604" s="14">
        <v>401.99999999999994</v>
      </c>
      <c r="I604" s="14">
        <v>2749.333333333333</v>
      </c>
      <c r="K604" s="15"/>
    </row>
    <row r="605" spans="1:11" ht="16.5" x14ac:dyDescent="0.2">
      <c r="A605" s="4" t="s">
        <v>277</v>
      </c>
      <c r="B605">
        <v>2010</v>
      </c>
      <c r="C605" s="14">
        <v>1882</v>
      </c>
      <c r="D605" s="14">
        <v>176.66666666666666</v>
      </c>
      <c r="E605" s="14">
        <v>496</v>
      </c>
      <c r="F605" s="14">
        <v>15.999999999999998</v>
      </c>
      <c r="G605" s="14">
        <v>2580.6666666666665</v>
      </c>
      <c r="H605" s="14">
        <v>406.66666666666663</v>
      </c>
      <c r="I605" s="14">
        <v>2724</v>
      </c>
    </row>
    <row r="606" spans="1:11" ht="16.5" x14ac:dyDescent="0.2">
      <c r="A606" s="4" t="s">
        <v>277</v>
      </c>
      <c r="B606">
        <v>2011</v>
      </c>
      <c r="C606" s="14">
        <v>1876.6666666666665</v>
      </c>
      <c r="D606" s="14">
        <v>172.66666666666663</v>
      </c>
      <c r="E606" s="14">
        <v>486.66666666666663</v>
      </c>
      <c r="F606" s="14">
        <v>15.33333333333333</v>
      </c>
      <c r="G606" s="14">
        <v>2623.333333333333</v>
      </c>
      <c r="H606" s="14">
        <v>418.66666666666663</v>
      </c>
      <c r="I606" s="14">
        <v>2687.333333333333</v>
      </c>
      <c r="K606" s="15"/>
    </row>
    <row r="607" spans="1:11" ht="16.5" x14ac:dyDescent="0.2">
      <c r="A607" s="4" t="s">
        <v>277</v>
      </c>
      <c r="B607">
        <v>2012</v>
      </c>
      <c r="C607" s="14">
        <v>1882</v>
      </c>
      <c r="D607" s="14">
        <v>171.33333333333331</v>
      </c>
      <c r="E607" s="14">
        <v>481.99999999999994</v>
      </c>
      <c r="F607" s="14">
        <v>14.666666666666666</v>
      </c>
      <c r="G607" s="14">
        <v>2659.9999999999995</v>
      </c>
      <c r="H607" s="14">
        <v>421.99999999999994</v>
      </c>
      <c r="I607" s="14">
        <v>2648.6666666666665</v>
      </c>
    </row>
    <row r="608" spans="1:11" ht="16.5" x14ac:dyDescent="0.2">
      <c r="A608" s="4" t="s">
        <v>277</v>
      </c>
      <c r="B608">
        <v>2013</v>
      </c>
      <c r="C608" s="14">
        <v>1879.9999999999998</v>
      </c>
      <c r="D608" s="14">
        <v>169.99999999999997</v>
      </c>
      <c r="E608" s="14">
        <v>476.66666666666663</v>
      </c>
      <c r="F608" s="14">
        <v>14</v>
      </c>
      <c r="G608" s="14">
        <v>2669.9999999999995</v>
      </c>
      <c r="H608" s="14">
        <v>439.99999999999994</v>
      </c>
      <c r="I608" s="14">
        <v>2627.9999999999995</v>
      </c>
      <c r="K608" s="15"/>
    </row>
    <row r="609" spans="1:11" ht="16.5" x14ac:dyDescent="0.2">
      <c r="A609" s="4" t="s">
        <v>277</v>
      </c>
      <c r="B609">
        <v>2014</v>
      </c>
      <c r="C609" s="14">
        <v>1882</v>
      </c>
      <c r="D609" s="14">
        <v>167.99999999999997</v>
      </c>
      <c r="E609" s="14">
        <v>471.99999999999994</v>
      </c>
      <c r="F609" s="14">
        <v>13.333333333333332</v>
      </c>
      <c r="G609" s="14">
        <v>2696</v>
      </c>
      <c r="H609" s="14">
        <v>441.99999999999994</v>
      </c>
      <c r="I609" s="14">
        <v>2606.6666666666665</v>
      </c>
    </row>
    <row r="610" spans="1:11" ht="16.5" x14ac:dyDescent="0.2">
      <c r="A610" s="4" t="s">
        <v>277</v>
      </c>
      <c r="B610">
        <v>2015</v>
      </c>
      <c r="C610" s="14">
        <v>1897.9999999999998</v>
      </c>
      <c r="D610" s="14">
        <v>166.66666666666666</v>
      </c>
      <c r="E610" s="14">
        <v>467.33333333333326</v>
      </c>
      <c r="F610" s="14">
        <v>12.666666666666664</v>
      </c>
      <c r="G610" s="14">
        <v>2711.9999999999995</v>
      </c>
      <c r="H610" s="14">
        <v>444.66666666666663</v>
      </c>
      <c r="I610" s="14">
        <v>2588.6666666666665</v>
      </c>
      <c r="K610" s="15"/>
    </row>
    <row r="611" spans="1:11" ht="16.5" x14ac:dyDescent="0.2">
      <c r="A611" s="4" t="s">
        <v>277</v>
      </c>
      <c r="B611">
        <v>2016</v>
      </c>
      <c r="C611" s="14">
        <v>1907.3333333333333</v>
      </c>
      <c r="D611" s="14">
        <v>165.33333333333331</v>
      </c>
      <c r="E611" s="14">
        <v>463.33333333333331</v>
      </c>
      <c r="F611" s="14">
        <v>12</v>
      </c>
      <c r="G611" s="14">
        <v>2719.333333333333</v>
      </c>
      <c r="H611" s="14">
        <v>447.33333333333326</v>
      </c>
      <c r="I611" s="14">
        <v>2574.6666666666665</v>
      </c>
    </row>
    <row r="612" spans="1:11" ht="16.5" x14ac:dyDescent="0.2">
      <c r="A612" s="4" t="s">
        <v>276</v>
      </c>
      <c r="B612">
        <v>2009</v>
      </c>
      <c r="C612" s="14">
        <v>2411.333333333333</v>
      </c>
      <c r="D612" s="14">
        <v>138.66666666666666</v>
      </c>
      <c r="E612" s="14">
        <v>743.99999999999989</v>
      </c>
      <c r="F612" s="14">
        <v>86</v>
      </c>
      <c r="G612" s="14">
        <v>1316.6666666666663</v>
      </c>
      <c r="H612" s="14">
        <v>241.99999999999997</v>
      </c>
      <c r="I612" s="14">
        <v>1429.3333333333333</v>
      </c>
      <c r="K612" s="15"/>
    </row>
    <row r="613" spans="1:11" ht="16.5" x14ac:dyDescent="0.2">
      <c r="A613" s="4" t="s">
        <v>276</v>
      </c>
      <c r="B613">
        <v>2010</v>
      </c>
      <c r="C613" s="14">
        <v>2399.333333333333</v>
      </c>
      <c r="D613" s="14">
        <v>124.66666666666666</v>
      </c>
      <c r="E613" s="14">
        <v>732.66666666666663</v>
      </c>
      <c r="F613" s="14">
        <v>82</v>
      </c>
      <c r="G613" s="14">
        <v>1356.6666666666665</v>
      </c>
      <c r="H613" s="14">
        <v>252.66666666666663</v>
      </c>
      <c r="I613" s="14">
        <v>1421.333333333333</v>
      </c>
    </row>
    <row r="614" spans="1:11" ht="16.5" x14ac:dyDescent="0.2">
      <c r="A614" s="4" t="s">
        <v>276</v>
      </c>
      <c r="B614">
        <v>2011</v>
      </c>
      <c r="C614" s="14">
        <v>2390.6666666666665</v>
      </c>
      <c r="D614" s="14">
        <v>119.33333333333331</v>
      </c>
      <c r="E614" s="14">
        <v>729.33333333333326</v>
      </c>
      <c r="F614" s="14">
        <v>80.666666666666657</v>
      </c>
      <c r="G614" s="14">
        <v>1377.3333333333333</v>
      </c>
      <c r="H614" s="14">
        <v>263.33333333333331</v>
      </c>
      <c r="I614" s="14">
        <v>1412</v>
      </c>
      <c r="K614" s="15"/>
    </row>
    <row r="615" spans="1:11" ht="16.5" x14ac:dyDescent="0.2">
      <c r="A615" s="4" t="s">
        <v>276</v>
      </c>
      <c r="B615">
        <v>2012</v>
      </c>
      <c r="C615" s="14">
        <v>2381.333333333333</v>
      </c>
      <c r="D615" s="14">
        <v>116.66666666666666</v>
      </c>
      <c r="E615" s="14">
        <v>723.33333333333326</v>
      </c>
      <c r="F615" s="14">
        <v>79.333333333333329</v>
      </c>
      <c r="G615" s="14">
        <v>1399.9999999999998</v>
      </c>
      <c r="H615" s="14">
        <v>274.66666666666669</v>
      </c>
      <c r="I615" s="14">
        <v>1399.9999999999998</v>
      </c>
    </row>
    <row r="616" spans="1:11" ht="16.5" x14ac:dyDescent="0.2">
      <c r="A616" s="4" t="s">
        <v>276</v>
      </c>
      <c r="B616">
        <v>2013</v>
      </c>
      <c r="C616" s="14">
        <v>2375.333333333333</v>
      </c>
      <c r="D616" s="14">
        <v>113.33333333333333</v>
      </c>
      <c r="E616" s="14">
        <v>721.33333333333326</v>
      </c>
      <c r="F616" s="14">
        <v>77.999999999999986</v>
      </c>
      <c r="G616" s="14">
        <v>1408.6666666666665</v>
      </c>
      <c r="H616" s="14">
        <v>284.66666666666669</v>
      </c>
      <c r="I616" s="14">
        <v>1393.3333333333333</v>
      </c>
      <c r="K616" s="15"/>
    </row>
    <row r="617" spans="1:11" ht="16.5" x14ac:dyDescent="0.2">
      <c r="A617" s="4" t="s">
        <v>276</v>
      </c>
      <c r="B617">
        <v>2014</v>
      </c>
      <c r="C617" s="14">
        <v>2370</v>
      </c>
      <c r="D617" s="14">
        <v>110.66666666666667</v>
      </c>
      <c r="E617" s="14">
        <v>718</v>
      </c>
      <c r="F617" s="14">
        <v>76.666666666666657</v>
      </c>
      <c r="G617" s="14">
        <v>1422</v>
      </c>
      <c r="H617" s="14">
        <v>290.66666666666663</v>
      </c>
      <c r="I617" s="14">
        <v>1386.6666666666665</v>
      </c>
    </row>
    <row r="618" spans="1:11" ht="16.5" x14ac:dyDescent="0.2">
      <c r="A618" s="4" t="s">
        <v>276</v>
      </c>
      <c r="B618">
        <v>2015</v>
      </c>
      <c r="C618" s="14">
        <v>2370</v>
      </c>
      <c r="D618" s="14">
        <v>109.33333333333331</v>
      </c>
      <c r="E618" s="14">
        <v>715.33333333333326</v>
      </c>
      <c r="F618" s="14">
        <v>75.333333333333329</v>
      </c>
      <c r="G618" s="14">
        <v>1432.6666666666663</v>
      </c>
      <c r="H618" s="14">
        <v>294</v>
      </c>
      <c r="I618" s="14">
        <v>1377.9999999999998</v>
      </c>
      <c r="K618" s="15"/>
    </row>
    <row r="619" spans="1:11" ht="16.5" x14ac:dyDescent="0.2">
      <c r="A619" s="4" t="s">
        <v>276</v>
      </c>
      <c r="B619">
        <v>2016</v>
      </c>
      <c r="C619" s="14">
        <v>2360</v>
      </c>
      <c r="D619" s="14">
        <v>107.33333333333333</v>
      </c>
      <c r="E619" s="14">
        <v>712.66666666666663</v>
      </c>
      <c r="F619" s="14">
        <v>73.999999999999986</v>
      </c>
      <c r="G619" s="14">
        <v>1450.6666666666665</v>
      </c>
      <c r="H619" s="14">
        <v>297.33333333333331</v>
      </c>
      <c r="I619" s="14">
        <v>1373.3333333333333</v>
      </c>
    </row>
    <row r="620" spans="1:11" ht="16.5" x14ac:dyDescent="0.2">
      <c r="A620" s="4" t="s">
        <v>275</v>
      </c>
      <c r="B620">
        <v>2009</v>
      </c>
      <c r="C620" s="14">
        <v>1202</v>
      </c>
      <c r="D620" s="14">
        <v>233.33333333333331</v>
      </c>
      <c r="E620" s="14">
        <v>361.99999999999994</v>
      </c>
      <c r="F620" s="14">
        <v>23.333333333333332</v>
      </c>
      <c r="G620" s="14">
        <v>1163.3333333333333</v>
      </c>
      <c r="H620" s="14">
        <v>261.33333333333331</v>
      </c>
      <c r="I620" s="14">
        <v>1335.3333333333333</v>
      </c>
      <c r="K620" s="15"/>
    </row>
    <row r="621" spans="1:11" ht="16.5" x14ac:dyDescent="0.2">
      <c r="A621" s="4" t="s">
        <v>275</v>
      </c>
      <c r="B621">
        <v>2010</v>
      </c>
      <c r="C621" s="14">
        <v>1178.6666666666667</v>
      </c>
      <c r="D621" s="14">
        <v>223.33333333333331</v>
      </c>
      <c r="E621" s="14">
        <v>361.99999999999994</v>
      </c>
      <c r="F621" s="14">
        <v>21.333333333333332</v>
      </c>
      <c r="G621" s="14">
        <v>1197.3333333333335</v>
      </c>
      <c r="H621" s="14">
        <v>271.99999999999994</v>
      </c>
      <c r="I621" s="14">
        <v>1326</v>
      </c>
    </row>
    <row r="622" spans="1:11" ht="16.5" x14ac:dyDescent="0.2">
      <c r="A622" s="4" t="s">
        <v>275</v>
      </c>
      <c r="B622">
        <v>2011</v>
      </c>
      <c r="C622" s="14">
        <v>1173.9999999999998</v>
      </c>
      <c r="D622" s="14">
        <v>218</v>
      </c>
      <c r="E622" s="14">
        <v>361.33333333333331</v>
      </c>
      <c r="F622" s="14">
        <v>18.666666666666664</v>
      </c>
      <c r="G622" s="14">
        <v>1212</v>
      </c>
      <c r="H622" s="14">
        <v>278.66666666666663</v>
      </c>
      <c r="I622" s="14">
        <v>1317.9999999999998</v>
      </c>
      <c r="K622" s="15"/>
    </row>
    <row r="623" spans="1:11" ht="16.5" x14ac:dyDescent="0.2">
      <c r="A623" s="4" t="s">
        <v>275</v>
      </c>
      <c r="B623">
        <v>2012</v>
      </c>
      <c r="C623" s="14">
        <v>1174.6666666666665</v>
      </c>
      <c r="D623" s="14">
        <v>214.66666666666666</v>
      </c>
      <c r="E623" s="14">
        <v>360.66666666666663</v>
      </c>
      <c r="F623" s="14">
        <v>17.333333333333332</v>
      </c>
      <c r="G623" s="14">
        <v>1223.9999999999998</v>
      </c>
      <c r="H623" s="14">
        <v>281.33333333333331</v>
      </c>
      <c r="I623" s="14">
        <v>1307.3333333333333</v>
      </c>
    </row>
    <row r="624" spans="1:11" ht="16.5" x14ac:dyDescent="0.2">
      <c r="A624" s="4" t="s">
        <v>275</v>
      </c>
      <c r="B624">
        <v>2013</v>
      </c>
      <c r="C624" s="14">
        <v>1170</v>
      </c>
      <c r="D624" s="14">
        <v>209.33333333333331</v>
      </c>
      <c r="E624" s="14">
        <v>360.66666666666663</v>
      </c>
      <c r="F624" s="14">
        <v>16.666666666666664</v>
      </c>
      <c r="G624" s="14">
        <v>1240.6666666666665</v>
      </c>
      <c r="H624" s="14">
        <v>285.33333333333331</v>
      </c>
      <c r="I624" s="14">
        <v>1296.6666666666665</v>
      </c>
      <c r="K624" s="15"/>
    </row>
    <row r="625" spans="1:11" ht="16.5" x14ac:dyDescent="0.2">
      <c r="A625" s="4" t="s">
        <v>275</v>
      </c>
      <c r="B625">
        <v>2014</v>
      </c>
      <c r="C625" s="14">
        <v>1160.6666666666665</v>
      </c>
      <c r="D625" s="14">
        <v>206.66666666666666</v>
      </c>
      <c r="E625" s="14">
        <v>359.99999999999994</v>
      </c>
      <c r="F625" s="14">
        <v>16.666666666666664</v>
      </c>
      <c r="G625" s="14">
        <v>1255.3333333333333</v>
      </c>
      <c r="H625" s="14">
        <v>288</v>
      </c>
      <c r="I625" s="14">
        <v>1293.3333333333333</v>
      </c>
    </row>
    <row r="626" spans="1:11" ht="16.5" x14ac:dyDescent="0.2">
      <c r="A626" s="4" t="s">
        <v>275</v>
      </c>
      <c r="B626">
        <v>2015</v>
      </c>
      <c r="C626" s="14">
        <v>1153.9999999999998</v>
      </c>
      <c r="D626" s="14">
        <v>205.33333333333331</v>
      </c>
      <c r="E626" s="14">
        <v>359.99999999999994</v>
      </c>
      <c r="F626" s="14">
        <v>16.666666666666664</v>
      </c>
      <c r="G626" s="14">
        <v>1265.3333333333333</v>
      </c>
      <c r="H626" s="14">
        <v>290</v>
      </c>
      <c r="I626" s="14">
        <v>1289.3333333333333</v>
      </c>
      <c r="K626" s="15"/>
    </row>
    <row r="627" spans="1:11" ht="16.5" x14ac:dyDescent="0.2">
      <c r="A627" s="4" t="s">
        <v>275</v>
      </c>
      <c r="B627">
        <v>2016</v>
      </c>
      <c r="C627" s="14">
        <v>1148.6666666666667</v>
      </c>
      <c r="D627" s="14">
        <v>204</v>
      </c>
      <c r="E627" s="14">
        <v>359.99999999999994</v>
      </c>
      <c r="F627" s="14">
        <v>15.999999999999998</v>
      </c>
      <c r="G627" s="14">
        <v>1275.333333333333</v>
      </c>
      <c r="H627" s="14">
        <v>290</v>
      </c>
      <c r="I627" s="14">
        <v>1286</v>
      </c>
    </row>
    <row r="628" spans="1:11" ht="16.5" x14ac:dyDescent="0.2">
      <c r="A628" s="4" t="s">
        <v>274</v>
      </c>
      <c r="B628">
        <v>2009</v>
      </c>
      <c r="C628" s="14">
        <v>6031.333333333333</v>
      </c>
      <c r="D628" s="14">
        <v>571.99999999999989</v>
      </c>
      <c r="E628" s="14">
        <v>253.33333333333331</v>
      </c>
      <c r="F628" s="14">
        <v>62.666666666666664</v>
      </c>
      <c r="G628" s="14">
        <v>1944.6666666666665</v>
      </c>
      <c r="H628" s="14">
        <v>461.99999999999994</v>
      </c>
      <c r="I628" s="14">
        <v>1582.6666666666665</v>
      </c>
      <c r="K628" s="15"/>
    </row>
    <row r="629" spans="1:11" ht="16.5" x14ac:dyDescent="0.2">
      <c r="A629" s="4" t="s">
        <v>274</v>
      </c>
      <c r="B629">
        <v>2010</v>
      </c>
      <c r="C629" s="14">
        <v>6019.333333333333</v>
      </c>
      <c r="D629" s="14">
        <v>570</v>
      </c>
      <c r="E629" s="14">
        <v>252.66666666666663</v>
      </c>
      <c r="F629" s="14">
        <v>62</v>
      </c>
      <c r="G629" s="14">
        <v>1964</v>
      </c>
      <c r="H629" s="14">
        <v>465.33333333333326</v>
      </c>
      <c r="I629" s="14">
        <v>1576.6666666666665</v>
      </c>
    </row>
    <row r="630" spans="1:11" ht="16.5" x14ac:dyDescent="0.2">
      <c r="A630" s="4" t="s">
        <v>274</v>
      </c>
      <c r="B630">
        <v>2011</v>
      </c>
      <c r="C630" s="14">
        <v>6018.6666666666661</v>
      </c>
      <c r="D630" s="14">
        <v>568</v>
      </c>
      <c r="E630" s="14">
        <v>251.33333333333334</v>
      </c>
      <c r="F630" s="14">
        <v>61.333333333333321</v>
      </c>
      <c r="G630" s="14">
        <v>1967.3333333333333</v>
      </c>
      <c r="H630" s="14">
        <v>466</v>
      </c>
      <c r="I630" s="14">
        <v>1572.6666666666665</v>
      </c>
      <c r="K630" s="15"/>
    </row>
    <row r="631" spans="1:11" ht="16.5" x14ac:dyDescent="0.2">
      <c r="A631" s="4" t="s">
        <v>274</v>
      </c>
      <c r="B631">
        <v>2012</v>
      </c>
      <c r="C631" s="14">
        <v>6005.3333333333321</v>
      </c>
      <c r="D631" s="14">
        <v>566</v>
      </c>
      <c r="E631" s="14">
        <v>251.33333333333334</v>
      </c>
      <c r="F631" s="14">
        <v>65.333333333333329</v>
      </c>
      <c r="G631" s="14">
        <v>1978.6666666666665</v>
      </c>
      <c r="H631" s="14">
        <v>469.33333333333331</v>
      </c>
      <c r="I631" s="14">
        <v>1562</v>
      </c>
    </row>
    <row r="632" spans="1:11" ht="16.5" x14ac:dyDescent="0.2">
      <c r="A632" s="4" t="s">
        <v>274</v>
      </c>
      <c r="B632">
        <v>2013</v>
      </c>
      <c r="C632" s="14">
        <v>5996.6666666666661</v>
      </c>
      <c r="D632" s="14">
        <v>564.66666666666663</v>
      </c>
      <c r="E632" s="14">
        <v>250.66666666666666</v>
      </c>
      <c r="F632" s="14">
        <v>64.666666666666657</v>
      </c>
      <c r="G632" s="14">
        <v>1992</v>
      </c>
      <c r="H632" s="14">
        <v>470.66666666666657</v>
      </c>
      <c r="I632" s="14">
        <v>1554.6666666666665</v>
      </c>
      <c r="K632" s="15"/>
    </row>
    <row r="633" spans="1:11" ht="16.5" x14ac:dyDescent="0.2">
      <c r="A633" s="4" t="s">
        <v>274</v>
      </c>
      <c r="B633">
        <v>2014</v>
      </c>
      <c r="C633" s="14">
        <v>5999.9999999999991</v>
      </c>
      <c r="D633" s="14">
        <v>561.99999999999989</v>
      </c>
      <c r="E633" s="14">
        <v>249.99999999999997</v>
      </c>
      <c r="F633" s="14">
        <v>62.666666666666664</v>
      </c>
      <c r="G633" s="14">
        <v>2004.6666666666665</v>
      </c>
      <c r="H633" s="14">
        <v>476.66666666666663</v>
      </c>
      <c r="I633" s="14">
        <v>1538.6666666666665</v>
      </c>
    </row>
    <row r="634" spans="1:11" ht="16.5" x14ac:dyDescent="0.2">
      <c r="A634" s="4" t="s">
        <v>274</v>
      </c>
      <c r="B634">
        <v>2015</v>
      </c>
      <c r="C634" s="14">
        <v>5995.9999999999991</v>
      </c>
      <c r="D634" s="14">
        <v>559.33333333333337</v>
      </c>
      <c r="E634" s="14">
        <v>249.33333333333331</v>
      </c>
      <c r="F634" s="14">
        <v>62</v>
      </c>
      <c r="G634" s="14">
        <v>2022.6666666666663</v>
      </c>
      <c r="H634" s="14">
        <v>480.66666666666657</v>
      </c>
      <c r="I634" s="14">
        <v>1523.3333333333333</v>
      </c>
      <c r="K634" s="15"/>
    </row>
    <row r="635" spans="1:11" ht="16.5" x14ac:dyDescent="0.2">
      <c r="A635" s="4" t="s">
        <v>274</v>
      </c>
      <c r="B635">
        <v>2016</v>
      </c>
      <c r="C635" s="14">
        <v>5989.333333333333</v>
      </c>
      <c r="D635" s="14">
        <v>556.66666666666663</v>
      </c>
      <c r="E635" s="14">
        <v>248</v>
      </c>
      <c r="F635" s="14">
        <v>61.333333333333321</v>
      </c>
      <c r="G635" s="14">
        <v>2044</v>
      </c>
      <c r="H635" s="14">
        <v>487.33333333333326</v>
      </c>
      <c r="I635" s="14">
        <v>1506</v>
      </c>
    </row>
    <row r="636" spans="1:11" ht="16.5" x14ac:dyDescent="0.2">
      <c r="A636" s="4" t="s">
        <v>273</v>
      </c>
      <c r="B636">
        <v>2009</v>
      </c>
      <c r="C636" s="14">
        <v>1513.3333333333333</v>
      </c>
      <c r="D636" s="14">
        <v>340.66666666666663</v>
      </c>
      <c r="E636" s="14">
        <v>189.99999999999997</v>
      </c>
      <c r="F636" s="14">
        <v>24</v>
      </c>
      <c r="G636" s="14">
        <v>861.33333333333314</v>
      </c>
      <c r="H636" s="14">
        <v>230.66666666666666</v>
      </c>
      <c r="I636" s="14">
        <v>1172</v>
      </c>
      <c r="K636" s="15"/>
    </row>
    <row r="637" spans="1:11" ht="16.5" x14ac:dyDescent="0.2">
      <c r="A637" s="4" t="s">
        <v>273</v>
      </c>
      <c r="B637">
        <v>2010</v>
      </c>
      <c r="C637" s="14">
        <v>1503.3333333333333</v>
      </c>
      <c r="D637" s="14">
        <v>333.33333333333331</v>
      </c>
      <c r="E637" s="14">
        <v>189.33333333333331</v>
      </c>
      <c r="F637" s="14">
        <v>21.999999999999996</v>
      </c>
      <c r="G637" s="14">
        <v>887.99999999999989</v>
      </c>
      <c r="H637" s="14">
        <v>235.33333333333329</v>
      </c>
      <c r="I637" s="14">
        <v>1162</v>
      </c>
    </row>
    <row r="638" spans="1:11" ht="16.5" x14ac:dyDescent="0.2">
      <c r="A638" s="4" t="s">
        <v>273</v>
      </c>
      <c r="B638">
        <v>2011</v>
      </c>
      <c r="C638" s="14">
        <v>1500.6666666666665</v>
      </c>
      <c r="D638" s="14">
        <v>329.99999999999994</v>
      </c>
      <c r="E638" s="14">
        <v>189.33333333333331</v>
      </c>
      <c r="F638" s="14">
        <v>20.666666666666664</v>
      </c>
      <c r="G638" s="14">
        <v>898</v>
      </c>
      <c r="H638" s="14">
        <v>238.66666666666663</v>
      </c>
      <c r="I638" s="14">
        <v>1154.6666666666665</v>
      </c>
      <c r="K638" s="15"/>
    </row>
    <row r="639" spans="1:11" ht="16.5" x14ac:dyDescent="0.2">
      <c r="A639" s="4" t="s">
        <v>273</v>
      </c>
      <c r="B639">
        <v>2012</v>
      </c>
      <c r="C639" s="14">
        <v>1498.6666666666665</v>
      </c>
      <c r="D639" s="14">
        <v>327.33333333333331</v>
      </c>
      <c r="E639" s="14">
        <v>188.66666666666666</v>
      </c>
      <c r="F639" s="14">
        <v>19.333333333333332</v>
      </c>
      <c r="G639" s="14">
        <v>910.66666666666652</v>
      </c>
      <c r="H639" s="14">
        <v>240.66666666666666</v>
      </c>
      <c r="I639" s="14">
        <v>1147.3333333333333</v>
      </c>
    </row>
    <row r="640" spans="1:11" ht="16.5" x14ac:dyDescent="0.2">
      <c r="A640" s="4" t="s">
        <v>273</v>
      </c>
      <c r="B640">
        <v>2013</v>
      </c>
      <c r="C640" s="14">
        <v>1501.333333333333</v>
      </c>
      <c r="D640" s="14">
        <v>324.66666666666663</v>
      </c>
      <c r="E640" s="14">
        <v>188.66666666666666</v>
      </c>
      <c r="F640" s="14">
        <v>18.666666666666664</v>
      </c>
      <c r="G640" s="14">
        <v>919.33333333333326</v>
      </c>
      <c r="H640" s="14">
        <v>244.66666666666666</v>
      </c>
      <c r="I640" s="14">
        <v>1132.6666666666665</v>
      </c>
      <c r="K640" s="15"/>
    </row>
    <row r="641" spans="1:11" ht="16.5" x14ac:dyDescent="0.2">
      <c r="A641" s="4" t="s">
        <v>273</v>
      </c>
      <c r="B641">
        <v>2014</v>
      </c>
      <c r="C641" s="14">
        <v>1497.3333333333333</v>
      </c>
      <c r="D641" s="14">
        <v>322.66666666666663</v>
      </c>
      <c r="E641" s="14">
        <v>188.66666666666666</v>
      </c>
      <c r="F641" s="14">
        <v>18.666666666666664</v>
      </c>
      <c r="G641" s="14">
        <v>929.99999999999989</v>
      </c>
      <c r="H641" s="14">
        <v>249.33333333333331</v>
      </c>
      <c r="I641" s="14">
        <v>1123.9999999999998</v>
      </c>
    </row>
    <row r="642" spans="1:11" ht="16.5" x14ac:dyDescent="0.2">
      <c r="A642" s="4" t="s">
        <v>273</v>
      </c>
      <c r="B642">
        <v>2015</v>
      </c>
      <c r="C642" s="14">
        <v>1499.9999999999998</v>
      </c>
      <c r="D642" s="14">
        <v>320</v>
      </c>
      <c r="E642" s="14">
        <v>188.66666666666666</v>
      </c>
      <c r="F642" s="14">
        <v>18.666666666666664</v>
      </c>
      <c r="G642" s="14">
        <v>939.33333333333326</v>
      </c>
      <c r="H642" s="14">
        <v>250.66666666666666</v>
      </c>
      <c r="I642" s="14">
        <v>1113.9999999999998</v>
      </c>
      <c r="K642" s="15"/>
    </row>
    <row r="643" spans="1:11" ht="16.5" x14ac:dyDescent="0.2">
      <c r="A643" s="4" t="s">
        <v>273</v>
      </c>
      <c r="B643">
        <v>2016</v>
      </c>
      <c r="C643" s="14">
        <v>1503.3333333333333</v>
      </c>
      <c r="D643" s="14">
        <v>318.66666666666663</v>
      </c>
      <c r="E643" s="14">
        <v>188.66666666666666</v>
      </c>
      <c r="F643" s="14">
        <v>18</v>
      </c>
      <c r="G643" s="14">
        <v>948.66666666666663</v>
      </c>
      <c r="H643" s="14">
        <v>251.33333333333334</v>
      </c>
      <c r="I643" s="14">
        <v>1101.3333333333333</v>
      </c>
    </row>
    <row r="644" spans="1:11" ht="16.5" x14ac:dyDescent="0.2">
      <c r="A644" s="4" t="s">
        <v>272</v>
      </c>
      <c r="B644">
        <v>2009</v>
      </c>
      <c r="C644" s="14">
        <v>1700.6666666666665</v>
      </c>
      <c r="D644" s="14">
        <v>413.33333333333331</v>
      </c>
      <c r="E644" s="14">
        <v>89.333333333333329</v>
      </c>
      <c r="F644" s="14">
        <v>10</v>
      </c>
      <c r="G644" s="14">
        <v>1909.333333333333</v>
      </c>
      <c r="H644" s="14">
        <v>439.99999999999994</v>
      </c>
      <c r="I644" s="14">
        <v>3978</v>
      </c>
      <c r="K644" s="15"/>
    </row>
    <row r="645" spans="1:11" ht="16.5" x14ac:dyDescent="0.2">
      <c r="A645" s="4" t="s">
        <v>272</v>
      </c>
      <c r="B645">
        <v>2010</v>
      </c>
      <c r="C645" s="14">
        <v>1656</v>
      </c>
      <c r="D645" s="14">
        <v>404.66666666666663</v>
      </c>
      <c r="E645" s="14">
        <v>88.666666666666657</v>
      </c>
      <c r="F645" s="14">
        <v>7.9999999999999991</v>
      </c>
      <c r="G645" s="14">
        <v>1978.6666666666665</v>
      </c>
      <c r="H645" s="14">
        <v>451.99999999999994</v>
      </c>
      <c r="I645" s="14">
        <v>3954</v>
      </c>
    </row>
    <row r="646" spans="1:11" ht="16.5" x14ac:dyDescent="0.2">
      <c r="A646" s="4" t="s">
        <v>272</v>
      </c>
      <c r="B646">
        <v>2011</v>
      </c>
      <c r="C646" s="14">
        <v>1633.3333333333333</v>
      </c>
      <c r="D646" s="14">
        <v>398</v>
      </c>
      <c r="E646" s="14">
        <v>87.333333333333329</v>
      </c>
      <c r="F646" s="14">
        <v>7.333333333333333</v>
      </c>
      <c r="G646" s="14">
        <v>2044.6666666666667</v>
      </c>
      <c r="H646" s="14">
        <v>451.33333333333331</v>
      </c>
      <c r="I646" s="14">
        <v>3924.6666666666665</v>
      </c>
      <c r="K646" s="15"/>
    </row>
    <row r="647" spans="1:11" ht="16.5" x14ac:dyDescent="0.2">
      <c r="A647" s="4" t="s">
        <v>272</v>
      </c>
      <c r="B647">
        <v>2012</v>
      </c>
      <c r="C647" s="14">
        <v>1630.6666666666665</v>
      </c>
      <c r="D647" s="14">
        <v>398</v>
      </c>
      <c r="E647" s="14">
        <v>87.333333333333329</v>
      </c>
      <c r="F647" s="14">
        <v>7.333333333333333</v>
      </c>
      <c r="G647" s="14">
        <v>2067.9999999999995</v>
      </c>
      <c r="H647" s="14">
        <v>455.33333333333326</v>
      </c>
      <c r="I647" s="14">
        <v>3908</v>
      </c>
    </row>
    <row r="648" spans="1:11" ht="16.5" x14ac:dyDescent="0.2">
      <c r="A648" s="4" t="s">
        <v>272</v>
      </c>
      <c r="B648">
        <v>2013</v>
      </c>
      <c r="C648" s="14">
        <v>1627.9999999999998</v>
      </c>
      <c r="D648" s="14">
        <v>395.33333333333326</v>
      </c>
      <c r="E648" s="14">
        <v>87.333333333333329</v>
      </c>
      <c r="F648" s="14">
        <v>7.333333333333333</v>
      </c>
      <c r="G648" s="14">
        <v>2092.6666666666665</v>
      </c>
      <c r="H648" s="14">
        <v>468</v>
      </c>
      <c r="I648" s="14">
        <v>3879.9999999999995</v>
      </c>
      <c r="K648" s="15"/>
    </row>
    <row r="649" spans="1:11" ht="16.5" x14ac:dyDescent="0.2">
      <c r="A649" s="4" t="s">
        <v>272</v>
      </c>
      <c r="B649">
        <v>2014</v>
      </c>
      <c r="C649" s="14">
        <v>1611.333333333333</v>
      </c>
      <c r="D649" s="14">
        <v>391.33333333333331</v>
      </c>
      <c r="E649" s="14">
        <v>87.333333333333329</v>
      </c>
      <c r="F649" s="14">
        <v>7.333333333333333</v>
      </c>
      <c r="G649" s="14">
        <v>2119.333333333333</v>
      </c>
      <c r="H649" s="14">
        <v>477.33333333333326</v>
      </c>
      <c r="I649" s="14">
        <v>3865.9999999999995</v>
      </c>
    </row>
    <row r="650" spans="1:11" ht="16.5" x14ac:dyDescent="0.2">
      <c r="A650" s="4" t="s">
        <v>272</v>
      </c>
      <c r="B650">
        <v>2015</v>
      </c>
      <c r="C650" s="14">
        <v>1606</v>
      </c>
      <c r="D650" s="14">
        <v>388</v>
      </c>
      <c r="E650" s="14">
        <v>87.333333333333329</v>
      </c>
      <c r="F650" s="14">
        <v>7.333333333333333</v>
      </c>
      <c r="G650" s="14">
        <v>2138</v>
      </c>
      <c r="H650" s="14">
        <v>481.99999999999994</v>
      </c>
      <c r="I650" s="14">
        <v>3852.6666666666661</v>
      </c>
      <c r="K650" s="15"/>
    </row>
    <row r="651" spans="1:11" ht="16.5" x14ac:dyDescent="0.2">
      <c r="A651" s="4" t="s">
        <v>272</v>
      </c>
      <c r="B651">
        <v>2016</v>
      </c>
      <c r="C651" s="14">
        <v>1596</v>
      </c>
      <c r="D651" s="14">
        <v>384.66666666666663</v>
      </c>
      <c r="E651" s="14">
        <v>86.666666666666657</v>
      </c>
      <c r="F651" s="14">
        <v>7.333333333333333</v>
      </c>
      <c r="G651" s="14">
        <v>2161.3333333333335</v>
      </c>
      <c r="H651" s="14">
        <v>484.66666666666663</v>
      </c>
      <c r="I651" s="14">
        <v>3841.9999999999995</v>
      </c>
    </row>
    <row r="652" spans="1:11" ht="16.5" x14ac:dyDescent="0.2">
      <c r="A652" s="4" t="s">
        <v>271</v>
      </c>
      <c r="B652">
        <v>2009</v>
      </c>
      <c r="C652" s="14">
        <v>4471.333333333333</v>
      </c>
      <c r="D652" s="14">
        <v>254</v>
      </c>
      <c r="E652" s="14">
        <v>3.9999999999999996</v>
      </c>
      <c r="F652" s="14">
        <v>11.333333333333332</v>
      </c>
      <c r="G652" s="14">
        <v>1699.3333333333333</v>
      </c>
      <c r="H652" s="14">
        <v>419.99999999999994</v>
      </c>
      <c r="I652" s="14">
        <v>3540.6666666666665</v>
      </c>
      <c r="K652" s="15"/>
    </row>
    <row r="653" spans="1:11" ht="16.5" x14ac:dyDescent="0.2">
      <c r="A653" s="4" t="s">
        <v>271</v>
      </c>
      <c r="B653">
        <v>2010</v>
      </c>
      <c r="C653" s="14">
        <v>4461.333333333333</v>
      </c>
      <c r="D653" s="14">
        <v>249.99999999999997</v>
      </c>
      <c r="E653" s="14">
        <v>3.9999999999999996</v>
      </c>
      <c r="F653" s="14">
        <v>23.333333333333332</v>
      </c>
      <c r="G653" s="14">
        <v>1735.9999999999998</v>
      </c>
      <c r="H653" s="14">
        <v>428</v>
      </c>
      <c r="I653" s="14">
        <v>3514</v>
      </c>
    </row>
    <row r="654" spans="1:11" ht="16.5" x14ac:dyDescent="0.2">
      <c r="A654" s="4" t="s">
        <v>271</v>
      </c>
      <c r="B654">
        <v>2011</v>
      </c>
      <c r="C654" s="14">
        <v>4448.6666666666661</v>
      </c>
      <c r="D654" s="14">
        <v>246.66666666666666</v>
      </c>
      <c r="E654" s="14">
        <v>3.9999999999999996</v>
      </c>
      <c r="F654" s="14">
        <v>38</v>
      </c>
      <c r="G654" s="14">
        <v>1756.6666666666665</v>
      </c>
      <c r="H654" s="14">
        <v>439.33333333333331</v>
      </c>
      <c r="I654" s="14">
        <v>3478.6666666666661</v>
      </c>
      <c r="K654" s="15"/>
    </row>
    <row r="655" spans="1:11" ht="16.5" x14ac:dyDescent="0.2">
      <c r="A655" s="4" t="s">
        <v>271</v>
      </c>
      <c r="B655">
        <v>2012</v>
      </c>
      <c r="C655" s="14">
        <v>4459.333333333333</v>
      </c>
      <c r="D655" s="14">
        <v>242.66666666666663</v>
      </c>
      <c r="E655" s="14">
        <v>3.9999999999999996</v>
      </c>
      <c r="F655" s="14">
        <v>18.666666666666664</v>
      </c>
      <c r="G655" s="14">
        <v>1776</v>
      </c>
      <c r="H655" s="14">
        <v>451.33333333333331</v>
      </c>
      <c r="I655" s="14">
        <v>3459.9999999999995</v>
      </c>
    </row>
    <row r="656" spans="1:11" ht="16.5" x14ac:dyDescent="0.2">
      <c r="A656" s="4" t="s">
        <v>271</v>
      </c>
      <c r="B656">
        <v>2013</v>
      </c>
      <c r="C656" s="14">
        <v>4454</v>
      </c>
      <c r="D656" s="14">
        <v>239.99999999999997</v>
      </c>
      <c r="E656" s="14">
        <v>3.9999999999999996</v>
      </c>
      <c r="F656" s="14">
        <v>18</v>
      </c>
      <c r="G656" s="14">
        <v>1796.6666666666665</v>
      </c>
      <c r="H656" s="14">
        <v>460.66666666666657</v>
      </c>
      <c r="I656" s="14">
        <v>3438</v>
      </c>
      <c r="K656" s="15"/>
    </row>
    <row r="657" spans="1:11" ht="16.5" x14ac:dyDescent="0.2">
      <c r="A657" s="4" t="s">
        <v>271</v>
      </c>
      <c r="B657">
        <v>2014</v>
      </c>
      <c r="C657" s="14">
        <v>4429.333333333333</v>
      </c>
      <c r="D657" s="14">
        <v>237.33333333333331</v>
      </c>
      <c r="E657" s="14">
        <v>4.6666666666666661</v>
      </c>
      <c r="F657" s="14">
        <v>18</v>
      </c>
      <c r="G657" s="14">
        <v>1827.3333333333333</v>
      </c>
      <c r="H657" s="14">
        <v>470.66666666666657</v>
      </c>
      <c r="I657" s="14">
        <v>3422.6666666666661</v>
      </c>
    </row>
    <row r="658" spans="1:11" ht="16.5" x14ac:dyDescent="0.2">
      <c r="A658" s="4" t="s">
        <v>271</v>
      </c>
      <c r="B658">
        <v>2015</v>
      </c>
      <c r="C658" s="14">
        <v>4428</v>
      </c>
      <c r="D658" s="14">
        <v>235.33333333333329</v>
      </c>
      <c r="E658" s="14">
        <v>4.6666666666666661</v>
      </c>
      <c r="F658" s="14">
        <v>18</v>
      </c>
      <c r="G658" s="14">
        <v>1841.333333333333</v>
      </c>
      <c r="H658" s="14">
        <v>478.66666666666663</v>
      </c>
      <c r="I658" s="14">
        <v>3404</v>
      </c>
      <c r="K658" s="15"/>
    </row>
    <row r="659" spans="1:11" ht="16.5" x14ac:dyDescent="0.2">
      <c r="A659" s="4" t="s">
        <v>271</v>
      </c>
      <c r="B659">
        <v>2016</v>
      </c>
      <c r="C659" s="14">
        <v>4434.666666666667</v>
      </c>
      <c r="D659" s="14">
        <v>234</v>
      </c>
      <c r="E659" s="14">
        <v>4.6666666666666661</v>
      </c>
      <c r="F659" s="14">
        <v>18</v>
      </c>
      <c r="G659" s="14">
        <v>1846</v>
      </c>
      <c r="H659" s="14">
        <v>484.66666666666663</v>
      </c>
      <c r="I659" s="14">
        <v>3387.9999999999995</v>
      </c>
    </row>
    <row r="660" spans="1:11" ht="16.5" x14ac:dyDescent="0.2">
      <c r="A660" s="4" t="s">
        <v>270</v>
      </c>
      <c r="B660">
        <v>2009</v>
      </c>
      <c r="C660" s="14">
        <v>3885.3333333333326</v>
      </c>
      <c r="D660" s="14">
        <v>159.33333333333331</v>
      </c>
      <c r="E660" s="14">
        <v>147.33333333333334</v>
      </c>
      <c r="F660" s="14">
        <v>21.333333333333332</v>
      </c>
      <c r="G660" s="14">
        <v>1336</v>
      </c>
      <c r="H660" s="14">
        <v>308.66666666666663</v>
      </c>
      <c r="I660" s="14">
        <v>1658.6666666666665</v>
      </c>
      <c r="K660" s="15"/>
    </row>
    <row r="661" spans="1:11" ht="16.5" x14ac:dyDescent="0.2">
      <c r="A661" s="4" t="s">
        <v>270</v>
      </c>
      <c r="B661">
        <v>2010</v>
      </c>
      <c r="C661" s="14">
        <v>3924.6666666666665</v>
      </c>
      <c r="D661" s="14">
        <v>158.66666666666666</v>
      </c>
      <c r="E661" s="14">
        <v>146.66666666666666</v>
      </c>
      <c r="F661" s="14">
        <v>20.666666666666664</v>
      </c>
      <c r="G661" s="14">
        <v>1352</v>
      </c>
      <c r="H661" s="14">
        <v>310</v>
      </c>
      <c r="I661" s="14">
        <v>1601.333333333333</v>
      </c>
    </row>
    <row r="662" spans="1:11" ht="16.5" x14ac:dyDescent="0.2">
      <c r="A662" s="4" t="s">
        <v>270</v>
      </c>
      <c r="B662">
        <v>2011</v>
      </c>
      <c r="C662" s="14">
        <v>3924.6666666666665</v>
      </c>
      <c r="D662" s="14">
        <v>157.33333333333334</v>
      </c>
      <c r="E662" s="14">
        <v>146.66666666666666</v>
      </c>
      <c r="F662" s="14">
        <v>20</v>
      </c>
      <c r="G662" s="14">
        <v>1356.6666666666663</v>
      </c>
      <c r="H662" s="14">
        <v>313.33333333333331</v>
      </c>
      <c r="I662" s="14">
        <v>1593.3333333333333</v>
      </c>
      <c r="K662" s="15"/>
    </row>
    <row r="663" spans="1:11" ht="16.5" x14ac:dyDescent="0.2">
      <c r="A663" s="4" t="s">
        <v>270</v>
      </c>
      <c r="B663">
        <v>2012</v>
      </c>
      <c r="C663" s="14">
        <v>3931.3333333333335</v>
      </c>
      <c r="D663" s="14">
        <v>156.66666666666666</v>
      </c>
      <c r="E663" s="14">
        <v>146.66666666666666</v>
      </c>
      <c r="F663" s="14">
        <v>20</v>
      </c>
      <c r="G663" s="14">
        <v>1357.3333333333333</v>
      </c>
      <c r="H663" s="14">
        <v>315.99999999999994</v>
      </c>
      <c r="I663" s="14">
        <v>1583.9999999999998</v>
      </c>
    </row>
    <row r="664" spans="1:11" ht="16.5" x14ac:dyDescent="0.2">
      <c r="A664" s="4" t="s">
        <v>270</v>
      </c>
      <c r="B664">
        <v>2013</v>
      </c>
      <c r="C664" s="14">
        <v>3925.9999999999995</v>
      </c>
      <c r="D664" s="14">
        <v>155.99999999999997</v>
      </c>
      <c r="E664" s="14">
        <v>146.66666666666666</v>
      </c>
      <c r="F664" s="14">
        <v>20</v>
      </c>
      <c r="G664" s="14">
        <v>1365.9999999999998</v>
      </c>
      <c r="H664" s="14">
        <v>319.33333333333331</v>
      </c>
      <c r="I664" s="14">
        <v>1575.3333333333333</v>
      </c>
      <c r="K664" s="15"/>
    </row>
    <row r="665" spans="1:11" ht="16.5" x14ac:dyDescent="0.2">
      <c r="A665" s="4" t="s">
        <v>270</v>
      </c>
      <c r="B665">
        <v>2014</v>
      </c>
      <c r="C665" s="14">
        <v>3925.3333333333326</v>
      </c>
      <c r="D665" s="14">
        <v>154.66666666666666</v>
      </c>
      <c r="E665" s="14">
        <v>145.99999999999997</v>
      </c>
      <c r="F665" s="14">
        <v>18.666666666666664</v>
      </c>
      <c r="G665" s="14">
        <v>1372</v>
      </c>
      <c r="H665" s="14">
        <v>325.33333333333326</v>
      </c>
      <c r="I665" s="14">
        <v>1562.6666666666665</v>
      </c>
    </row>
    <row r="666" spans="1:11" ht="16.5" x14ac:dyDescent="0.2">
      <c r="A666" s="4" t="s">
        <v>270</v>
      </c>
      <c r="B666">
        <v>2015</v>
      </c>
      <c r="C666" s="14">
        <v>3921.9999999999995</v>
      </c>
      <c r="D666" s="14">
        <v>154</v>
      </c>
      <c r="E666" s="14">
        <v>145.99999999999997</v>
      </c>
      <c r="F666" s="14">
        <v>18.666666666666664</v>
      </c>
      <c r="G666" s="14">
        <v>1381.333333333333</v>
      </c>
      <c r="H666" s="14">
        <v>327.33333333333331</v>
      </c>
      <c r="I666" s="14">
        <v>1556</v>
      </c>
      <c r="K666" s="15"/>
    </row>
    <row r="667" spans="1:11" ht="16.5" x14ac:dyDescent="0.2">
      <c r="A667" s="4" t="s">
        <v>270</v>
      </c>
      <c r="B667">
        <v>2016</v>
      </c>
      <c r="C667" s="14">
        <v>3916.6666666666665</v>
      </c>
      <c r="D667" s="14">
        <v>153.33333333333331</v>
      </c>
      <c r="E667" s="14">
        <v>145.99999999999997</v>
      </c>
      <c r="F667" s="14">
        <v>18.666666666666664</v>
      </c>
      <c r="G667" s="14">
        <v>1392.6666666666665</v>
      </c>
      <c r="H667" s="14">
        <v>333.33333333333331</v>
      </c>
      <c r="I667" s="14">
        <v>1543.3333333333333</v>
      </c>
    </row>
    <row r="668" spans="1:11" ht="16.5" x14ac:dyDescent="0.2">
      <c r="A668" s="4" t="s">
        <v>269</v>
      </c>
      <c r="B668">
        <v>2009</v>
      </c>
      <c r="C668" s="14">
        <v>4740.6666666666661</v>
      </c>
      <c r="D668" s="14">
        <v>286.66666666666663</v>
      </c>
      <c r="E668" s="14">
        <v>199.33333333333331</v>
      </c>
      <c r="F668" s="14">
        <v>87.999999999999986</v>
      </c>
      <c r="G668" s="14">
        <v>1298.6666666666665</v>
      </c>
      <c r="H668" s="14">
        <v>338.66666666666663</v>
      </c>
      <c r="I668" s="14">
        <v>2988.6666666666665</v>
      </c>
      <c r="K668" s="15"/>
    </row>
    <row r="669" spans="1:11" ht="16.5" x14ac:dyDescent="0.2">
      <c r="A669" s="4" t="s">
        <v>269</v>
      </c>
      <c r="B669">
        <v>2010</v>
      </c>
      <c r="C669" s="14">
        <v>4728</v>
      </c>
      <c r="D669" s="14">
        <v>284</v>
      </c>
      <c r="E669" s="14">
        <v>199.33333333333331</v>
      </c>
      <c r="F669" s="14">
        <v>87.333333333333329</v>
      </c>
      <c r="G669" s="14">
        <v>1314.6666666666667</v>
      </c>
      <c r="H669" s="14">
        <v>342.66666666666663</v>
      </c>
      <c r="I669" s="14">
        <v>2984.6666666666665</v>
      </c>
    </row>
    <row r="670" spans="1:11" ht="16.5" x14ac:dyDescent="0.2">
      <c r="A670" s="4" t="s">
        <v>269</v>
      </c>
      <c r="B670">
        <v>2011</v>
      </c>
      <c r="C670" s="14">
        <v>4724.666666666667</v>
      </c>
      <c r="D670" s="14">
        <v>282.66666666666663</v>
      </c>
      <c r="E670" s="14">
        <v>198.66666666666666</v>
      </c>
      <c r="F670" s="14">
        <v>86</v>
      </c>
      <c r="G670" s="14">
        <v>1327.3333333333333</v>
      </c>
      <c r="H670" s="14">
        <v>348</v>
      </c>
      <c r="I670" s="14">
        <v>2972.6666666666661</v>
      </c>
      <c r="K670" s="15"/>
    </row>
    <row r="671" spans="1:11" ht="16.5" x14ac:dyDescent="0.2">
      <c r="A671" s="4" t="s">
        <v>269</v>
      </c>
      <c r="B671">
        <v>2012</v>
      </c>
      <c r="C671" s="14">
        <v>4724</v>
      </c>
      <c r="D671" s="14">
        <v>281.33333333333331</v>
      </c>
      <c r="E671" s="14">
        <v>198.66666666666666</v>
      </c>
      <c r="F671" s="14">
        <v>86</v>
      </c>
      <c r="G671" s="14">
        <v>1332.6666666666663</v>
      </c>
      <c r="H671" s="14">
        <v>349.99999999999994</v>
      </c>
      <c r="I671" s="14">
        <v>2965.333333333333</v>
      </c>
    </row>
    <row r="672" spans="1:11" ht="16.5" x14ac:dyDescent="0.2">
      <c r="A672" s="4" t="s">
        <v>269</v>
      </c>
      <c r="B672">
        <v>2013</v>
      </c>
      <c r="C672" s="14">
        <v>4719.333333333333</v>
      </c>
      <c r="D672" s="14">
        <v>280.66666666666663</v>
      </c>
      <c r="E672" s="14">
        <v>198.66666666666666</v>
      </c>
      <c r="F672" s="14">
        <v>86</v>
      </c>
      <c r="G672" s="14">
        <v>1341.3333333333333</v>
      </c>
      <c r="H672" s="14">
        <v>351.99999999999994</v>
      </c>
      <c r="I672" s="14">
        <v>2956.6666666666665</v>
      </c>
      <c r="K672" s="15"/>
    </row>
    <row r="673" spans="1:11" ht="16.5" x14ac:dyDescent="0.2">
      <c r="A673" s="4" t="s">
        <v>269</v>
      </c>
      <c r="B673">
        <v>2014</v>
      </c>
      <c r="C673" s="14">
        <v>4718.6666666666661</v>
      </c>
      <c r="D673" s="14">
        <v>279.33333333333331</v>
      </c>
      <c r="E673" s="14">
        <v>198.66666666666666</v>
      </c>
      <c r="F673" s="14">
        <v>85.333333333333329</v>
      </c>
      <c r="G673" s="14">
        <v>1357.3333333333333</v>
      </c>
      <c r="H673" s="14">
        <v>354.66666666666663</v>
      </c>
      <c r="I673" s="14">
        <v>2942.6666666666661</v>
      </c>
    </row>
    <row r="674" spans="1:11" ht="16.5" x14ac:dyDescent="0.2">
      <c r="A674" s="4" t="s">
        <v>269</v>
      </c>
      <c r="B674">
        <v>2015</v>
      </c>
      <c r="C674" s="14">
        <v>4725.9999999999991</v>
      </c>
      <c r="D674" s="14">
        <v>275.33333333333331</v>
      </c>
      <c r="E674" s="14">
        <v>198.66666666666666</v>
      </c>
      <c r="F674" s="14">
        <v>84.666666666666657</v>
      </c>
      <c r="G674" s="14">
        <v>1368.6666666666665</v>
      </c>
      <c r="H674" s="14">
        <v>356.66666666666663</v>
      </c>
      <c r="I674" s="14">
        <v>2926.6666666666665</v>
      </c>
      <c r="K674" s="15"/>
    </row>
    <row r="675" spans="1:11" ht="16.5" x14ac:dyDescent="0.2">
      <c r="A675" s="4" t="s">
        <v>269</v>
      </c>
      <c r="B675">
        <v>2016</v>
      </c>
      <c r="C675" s="14">
        <v>4730.6666666666661</v>
      </c>
      <c r="D675" s="14">
        <v>274.66666666666669</v>
      </c>
      <c r="E675" s="14">
        <v>198.66666666666666</v>
      </c>
      <c r="F675" s="14">
        <v>84.666666666666657</v>
      </c>
      <c r="G675" s="14">
        <v>1370.6666666666665</v>
      </c>
      <c r="H675" s="14">
        <v>359.99999999999994</v>
      </c>
      <c r="I675" s="14">
        <v>2917.9999999999995</v>
      </c>
    </row>
    <row r="676" spans="1:11" ht="16.5" x14ac:dyDescent="0.2">
      <c r="A676" s="4" t="s">
        <v>268</v>
      </c>
      <c r="B676">
        <v>2009</v>
      </c>
      <c r="C676" s="14">
        <v>8398.6666666666661</v>
      </c>
      <c r="D676" s="14">
        <v>160</v>
      </c>
      <c r="E676" s="14">
        <v>127.99999999999999</v>
      </c>
      <c r="F676" s="14">
        <v>80.666666666666657</v>
      </c>
      <c r="G676" s="14">
        <v>2057.9999999999995</v>
      </c>
      <c r="H676" s="14">
        <v>443.33333333333331</v>
      </c>
      <c r="I676" s="14">
        <v>5028</v>
      </c>
      <c r="K676" s="15"/>
    </row>
    <row r="677" spans="1:11" ht="16.5" x14ac:dyDescent="0.2">
      <c r="A677" s="4" t="s">
        <v>268</v>
      </c>
      <c r="B677">
        <v>2010</v>
      </c>
      <c r="C677" s="14">
        <v>8371.3333333333321</v>
      </c>
      <c r="D677" s="14">
        <v>158.66666666666666</v>
      </c>
      <c r="E677" s="14">
        <v>125.99999999999999</v>
      </c>
      <c r="F677" s="14">
        <v>74.666666666666657</v>
      </c>
      <c r="G677" s="14">
        <v>2106.6666666666665</v>
      </c>
      <c r="H677" s="14">
        <v>458</v>
      </c>
      <c r="I677" s="14">
        <v>5004.666666666667</v>
      </c>
    </row>
    <row r="678" spans="1:11" ht="16.5" x14ac:dyDescent="0.2">
      <c r="A678" s="4" t="s">
        <v>268</v>
      </c>
      <c r="B678">
        <v>2011</v>
      </c>
      <c r="C678" s="14">
        <v>8360</v>
      </c>
      <c r="D678" s="14">
        <v>157.99999999999997</v>
      </c>
      <c r="E678" s="14">
        <v>125.33333333333333</v>
      </c>
      <c r="F678" s="14">
        <v>71.333333333333329</v>
      </c>
      <c r="G678" s="14">
        <v>2134.6666666666665</v>
      </c>
      <c r="H678" s="14">
        <v>473.99999999999994</v>
      </c>
      <c r="I678" s="14">
        <v>4974</v>
      </c>
      <c r="K678" s="15"/>
    </row>
    <row r="679" spans="1:11" ht="16.5" x14ac:dyDescent="0.2">
      <c r="A679" s="4" t="s">
        <v>268</v>
      </c>
      <c r="B679">
        <v>2012</v>
      </c>
      <c r="C679" s="14">
        <v>8360.6666666666661</v>
      </c>
      <c r="D679" s="14">
        <v>157.99999999999997</v>
      </c>
      <c r="E679" s="14">
        <v>125.33333333333333</v>
      </c>
      <c r="F679" s="14">
        <v>72</v>
      </c>
      <c r="G679" s="14">
        <v>2150.6666666666665</v>
      </c>
      <c r="H679" s="14">
        <v>486</v>
      </c>
      <c r="I679" s="14">
        <v>4948</v>
      </c>
    </row>
    <row r="680" spans="1:11" ht="16.5" x14ac:dyDescent="0.2">
      <c r="A680" s="4" t="s">
        <v>268</v>
      </c>
      <c r="B680">
        <v>2013</v>
      </c>
      <c r="C680" s="14">
        <v>8366.6666666666661</v>
      </c>
      <c r="D680" s="14">
        <v>157.33333333333334</v>
      </c>
      <c r="E680" s="14">
        <v>124.66666666666666</v>
      </c>
      <c r="F680" s="14">
        <v>70</v>
      </c>
      <c r="G680" s="14">
        <v>2177.9999999999995</v>
      </c>
      <c r="H680" s="14">
        <v>493.33333333333331</v>
      </c>
      <c r="I680" s="14">
        <v>4911.9999999999991</v>
      </c>
      <c r="K680" s="15"/>
    </row>
    <row r="681" spans="1:11" ht="16.5" x14ac:dyDescent="0.2">
      <c r="A681" s="4" t="s">
        <v>268</v>
      </c>
      <c r="B681">
        <v>2014</v>
      </c>
      <c r="C681" s="14">
        <v>8363.3333333333321</v>
      </c>
      <c r="D681" s="14">
        <v>157.33333333333334</v>
      </c>
      <c r="E681" s="14">
        <v>124</v>
      </c>
      <c r="F681" s="14">
        <v>69.333333333333329</v>
      </c>
      <c r="G681" s="14">
        <v>2191.3333333333335</v>
      </c>
      <c r="H681" s="14">
        <v>504.66666666666663</v>
      </c>
      <c r="I681" s="14">
        <v>4894</v>
      </c>
    </row>
    <row r="682" spans="1:11" ht="16.5" x14ac:dyDescent="0.2">
      <c r="A682" s="4" t="s">
        <v>268</v>
      </c>
      <c r="B682">
        <v>2015</v>
      </c>
      <c r="C682" s="14">
        <v>8370.6666666666661</v>
      </c>
      <c r="D682" s="14">
        <v>156.66666666666666</v>
      </c>
      <c r="E682" s="14">
        <v>123.33333333333333</v>
      </c>
      <c r="F682" s="14">
        <v>68.666666666666671</v>
      </c>
      <c r="G682" s="14">
        <v>2210</v>
      </c>
      <c r="H682" s="14">
        <v>507.33333333333326</v>
      </c>
      <c r="I682" s="14">
        <v>4868.6666666666661</v>
      </c>
      <c r="K682" s="15"/>
    </row>
    <row r="683" spans="1:11" ht="16.5" x14ac:dyDescent="0.2">
      <c r="A683" s="4" t="s">
        <v>268</v>
      </c>
      <c r="B683">
        <v>2016</v>
      </c>
      <c r="C683" s="14">
        <v>8366.6666666666661</v>
      </c>
      <c r="D683" s="14">
        <v>155.99999999999997</v>
      </c>
      <c r="E683" s="14">
        <v>122.66666666666664</v>
      </c>
      <c r="F683" s="14">
        <v>66.666666666666657</v>
      </c>
      <c r="G683" s="14">
        <v>2227.3333333333335</v>
      </c>
      <c r="H683" s="14">
        <v>512.66666666666663</v>
      </c>
      <c r="I683" s="14">
        <v>4851.9999999999991</v>
      </c>
    </row>
    <row r="684" spans="1:11" ht="16.5" x14ac:dyDescent="0.2">
      <c r="A684" s="4" t="s">
        <v>267</v>
      </c>
      <c r="B684">
        <v>2009</v>
      </c>
      <c r="C684" s="14">
        <v>2847.333333333333</v>
      </c>
      <c r="D684" s="14">
        <v>134</v>
      </c>
      <c r="E684" s="14">
        <v>51.999999999999993</v>
      </c>
      <c r="F684" s="14">
        <v>12</v>
      </c>
      <c r="G684" s="14">
        <v>982</v>
      </c>
      <c r="H684" s="14">
        <v>264.66666666666669</v>
      </c>
      <c r="I684" s="14">
        <v>2207.3333333333335</v>
      </c>
      <c r="K684" s="15"/>
    </row>
    <row r="685" spans="1:11" ht="16.5" x14ac:dyDescent="0.2">
      <c r="A685" s="4" t="s">
        <v>267</v>
      </c>
      <c r="B685">
        <v>2010</v>
      </c>
      <c r="C685" s="14">
        <v>2838.6666666666665</v>
      </c>
      <c r="D685" s="14">
        <v>132</v>
      </c>
      <c r="E685" s="14">
        <v>51.333333333333329</v>
      </c>
      <c r="F685" s="14">
        <v>9.3333333333333321</v>
      </c>
      <c r="G685" s="14">
        <v>1001.9999999999998</v>
      </c>
      <c r="H685" s="14">
        <v>272.66666666666663</v>
      </c>
      <c r="I685" s="14">
        <v>2195.9999999999995</v>
      </c>
    </row>
    <row r="686" spans="1:11" ht="16.5" x14ac:dyDescent="0.2">
      <c r="A686" s="4" t="s">
        <v>267</v>
      </c>
      <c r="B686">
        <v>2011</v>
      </c>
      <c r="C686" s="14">
        <v>2841.333333333333</v>
      </c>
      <c r="D686" s="14">
        <v>130.66666666666666</v>
      </c>
      <c r="E686" s="14">
        <v>51.333333333333329</v>
      </c>
      <c r="F686" s="14">
        <v>7.9999999999999991</v>
      </c>
      <c r="G686" s="14">
        <v>1011.3333333333331</v>
      </c>
      <c r="H686" s="14">
        <v>279.33333333333331</v>
      </c>
      <c r="I686" s="14">
        <v>2181.333333333333</v>
      </c>
      <c r="K686" s="15"/>
    </row>
    <row r="687" spans="1:11" ht="16.5" x14ac:dyDescent="0.2">
      <c r="A687" s="4" t="s">
        <v>267</v>
      </c>
      <c r="B687">
        <v>2012</v>
      </c>
      <c r="C687" s="14">
        <v>2842.6666666666661</v>
      </c>
      <c r="D687" s="14">
        <v>130</v>
      </c>
      <c r="E687" s="14">
        <v>51.333333333333329</v>
      </c>
      <c r="F687" s="14">
        <v>6.6666666666666661</v>
      </c>
      <c r="G687" s="14">
        <v>1023.3333333333335</v>
      </c>
      <c r="H687" s="14">
        <v>280.66666666666663</v>
      </c>
      <c r="I687" s="14">
        <v>2170.6666666666665</v>
      </c>
    </row>
    <row r="688" spans="1:11" ht="16.5" x14ac:dyDescent="0.2">
      <c r="A688" s="4" t="s">
        <v>267</v>
      </c>
      <c r="B688">
        <v>2013</v>
      </c>
      <c r="C688" s="14">
        <v>2842</v>
      </c>
      <c r="D688" s="14">
        <v>129.33333333333331</v>
      </c>
      <c r="E688" s="14">
        <v>51.333333333333329</v>
      </c>
      <c r="F688" s="14">
        <v>6.6666666666666661</v>
      </c>
      <c r="G688" s="14">
        <v>1028.6666666666667</v>
      </c>
      <c r="H688" s="14">
        <v>283.33333333333331</v>
      </c>
      <c r="I688" s="14">
        <v>2165.333333333333</v>
      </c>
      <c r="K688" s="15"/>
    </row>
    <row r="689" spans="1:11" ht="16.5" x14ac:dyDescent="0.2">
      <c r="A689" s="4" t="s">
        <v>267</v>
      </c>
      <c r="B689">
        <v>2014</v>
      </c>
      <c r="C689" s="14">
        <v>2842</v>
      </c>
      <c r="D689" s="14">
        <v>127.99999999999999</v>
      </c>
      <c r="E689" s="14">
        <v>50.666666666666657</v>
      </c>
      <c r="F689" s="14">
        <v>6.6666666666666661</v>
      </c>
      <c r="G689" s="14">
        <v>1038</v>
      </c>
      <c r="H689" s="14">
        <v>285.99999999999994</v>
      </c>
      <c r="I689" s="14">
        <v>2155.333333333333</v>
      </c>
    </row>
    <row r="690" spans="1:11" ht="16.5" x14ac:dyDescent="0.2">
      <c r="A690" s="4" t="s">
        <v>267</v>
      </c>
      <c r="B690">
        <v>2015</v>
      </c>
      <c r="C690" s="14">
        <v>2855.9999999999995</v>
      </c>
      <c r="D690" s="14">
        <v>124.66666666666666</v>
      </c>
      <c r="E690" s="14">
        <v>50.666666666666657</v>
      </c>
      <c r="F690" s="14">
        <v>6</v>
      </c>
      <c r="G690" s="14">
        <v>1043.9999999999998</v>
      </c>
      <c r="H690" s="14">
        <v>288.66666666666663</v>
      </c>
      <c r="I690" s="14">
        <v>2139.333333333333</v>
      </c>
      <c r="K690" s="15"/>
    </row>
    <row r="691" spans="1:11" ht="16.5" x14ac:dyDescent="0.2">
      <c r="A691" s="4" t="s">
        <v>267</v>
      </c>
      <c r="B691">
        <v>2016</v>
      </c>
      <c r="C691" s="14">
        <v>2855.333333333333</v>
      </c>
      <c r="D691" s="14">
        <v>124</v>
      </c>
      <c r="E691" s="14">
        <v>50.666666666666657</v>
      </c>
      <c r="F691" s="14">
        <v>6</v>
      </c>
      <c r="G691" s="14">
        <v>1051.3333333333333</v>
      </c>
      <c r="H691" s="14">
        <v>294</v>
      </c>
      <c r="I691" s="14">
        <v>2129.333333333333</v>
      </c>
    </row>
    <row r="692" spans="1:11" ht="16.5" x14ac:dyDescent="0.2">
      <c r="A692" s="4" t="s">
        <v>266</v>
      </c>
      <c r="B692">
        <v>2009</v>
      </c>
      <c r="C692" s="14">
        <v>1582.6666666666665</v>
      </c>
      <c r="D692" s="14">
        <v>183.33333333333331</v>
      </c>
      <c r="E692" s="14">
        <v>244.66666666666666</v>
      </c>
      <c r="F692" s="14">
        <v>12.666666666666664</v>
      </c>
      <c r="G692" s="14">
        <v>719.99999999999989</v>
      </c>
      <c r="H692" s="14">
        <v>170.66666666666666</v>
      </c>
      <c r="I692" s="14">
        <v>845.33333333333326</v>
      </c>
      <c r="K692" s="15"/>
    </row>
    <row r="693" spans="1:11" ht="16.5" x14ac:dyDescent="0.2">
      <c r="A693" s="4" t="s">
        <v>266</v>
      </c>
      <c r="B693">
        <v>2010</v>
      </c>
      <c r="C693" s="14">
        <v>1572</v>
      </c>
      <c r="D693" s="14">
        <v>182</v>
      </c>
      <c r="E693" s="14">
        <v>244</v>
      </c>
      <c r="F693" s="14">
        <v>12.666666666666664</v>
      </c>
      <c r="G693" s="14">
        <v>734.66666666666663</v>
      </c>
      <c r="H693" s="14">
        <v>174</v>
      </c>
      <c r="I693" s="14">
        <v>841.33333333333326</v>
      </c>
    </row>
    <row r="694" spans="1:11" ht="16.5" x14ac:dyDescent="0.2">
      <c r="A694" s="4" t="s">
        <v>266</v>
      </c>
      <c r="B694">
        <v>2011</v>
      </c>
      <c r="C694" s="14">
        <v>1569.9999999999998</v>
      </c>
      <c r="D694" s="14">
        <v>180.66666666666666</v>
      </c>
      <c r="E694" s="14">
        <v>243.33333333333331</v>
      </c>
      <c r="F694" s="14">
        <v>13.333333333333332</v>
      </c>
      <c r="G694" s="14">
        <v>741.99999999999989</v>
      </c>
      <c r="H694" s="14">
        <v>175.33333333333331</v>
      </c>
      <c r="I694" s="14">
        <v>835.33333333333326</v>
      </c>
      <c r="K694" s="15"/>
    </row>
    <row r="695" spans="1:11" ht="16.5" x14ac:dyDescent="0.2">
      <c r="A695" s="4" t="s">
        <v>266</v>
      </c>
      <c r="B695">
        <v>2012</v>
      </c>
      <c r="C695" s="14">
        <v>1567.3333333333333</v>
      </c>
      <c r="D695" s="14">
        <v>178.66666666666666</v>
      </c>
      <c r="E695" s="14">
        <v>242.66666666666663</v>
      </c>
      <c r="F695" s="14">
        <v>12.666666666666664</v>
      </c>
      <c r="G695" s="14">
        <v>755.33333333333337</v>
      </c>
      <c r="H695" s="14">
        <v>177.99999999999997</v>
      </c>
      <c r="I695" s="14">
        <v>825.33333333333326</v>
      </c>
    </row>
    <row r="696" spans="1:11" ht="16.5" x14ac:dyDescent="0.2">
      <c r="A696" s="4" t="s">
        <v>266</v>
      </c>
      <c r="B696">
        <v>2013</v>
      </c>
      <c r="C696" s="14">
        <v>1572.6666666666665</v>
      </c>
      <c r="D696" s="14">
        <v>177.33333333333331</v>
      </c>
      <c r="E696" s="14">
        <v>242.66666666666663</v>
      </c>
      <c r="F696" s="14">
        <v>11.333333333333332</v>
      </c>
      <c r="G696" s="14">
        <v>758.66666666666663</v>
      </c>
      <c r="H696" s="14">
        <v>179.33333333333331</v>
      </c>
      <c r="I696" s="14">
        <v>818</v>
      </c>
      <c r="K696" s="15"/>
    </row>
    <row r="697" spans="1:11" ht="16.5" x14ac:dyDescent="0.2">
      <c r="A697" s="4" t="s">
        <v>266</v>
      </c>
      <c r="B697">
        <v>2014</v>
      </c>
      <c r="C697" s="14">
        <v>1563.3333333333333</v>
      </c>
      <c r="D697" s="14">
        <v>176.66666666666666</v>
      </c>
      <c r="E697" s="14">
        <v>241.99999999999997</v>
      </c>
      <c r="F697" s="14">
        <v>11.333333333333332</v>
      </c>
      <c r="G697" s="14">
        <v>769.33333333333326</v>
      </c>
      <c r="H697" s="14">
        <v>182.66666666666663</v>
      </c>
      <c r="I697" s="14">
        <v>811.99999999999989</v>
      </c>
    </row>
    <row r="698" spans="1:11" ht="16.5" x14ac:dyDescent="0.2">
      <c r="A698" s="4" t="s">
        <v>266</v>
      </c>
      <c r="B698">
        <v>2015</v>
      </c>
      <c r="C698" s="14">
        <v>1559.9999999999998</v>
      </c>
      <c r="D698" s="14">
        <v>174.66666666666666</v>
      </c>
      <c r="E698" s="14">
        <v>241.33333333333334</v>
      </c>
      <c r="F698" s="14">
        <v>11.333333333333332</v>
      </c>
      <c r="G698" s="14">
        <v>779.33333333333326</v>
      </c>
      <c r="H698" s="14">
        <v>184.66666666666666</v>
      </c>
      <c r="I698" s="14">
        <v>806</v>
      </c>
      <c r="K698" s="15"/>
    </row>
    <row r="699" spans="1:11" ht="16.5" x14ac:dyDescent="0.2">
      <c r="A699" s="4" t="s">
        <v>266</v>
      </c>
      <c r="B699">
        <v>2016</v>
      </c>
      <c r="C699" s="14">
        <v>1549.3333333333333</v>
      </c>
      <c r="D699" s="14">
        <v>172.66666666666663</v>
      </c>
      <c r="E699" s="14">
        <v>240.66666666666666</v>
      </c>
      <c r="F699" s="14">
        <v>10.666666666666666</v>
      </c>
      <c r="G699" s="14">
        <v>794</v>
      </c>
      <c r="H699" s="14">
        <v>187.99999999999997</v>
      </c>
      <c r="I699" s="14">
        <v>801.99999999999989</v>
      </c>
    </row>
    <row r="700" spans="1:11" ht="16.5" x14ac:dyDescent="0.2">
      <c r="A700" s="4" t="s">
        <v>265</v>
      </c>
      <c r="B700">
        <v>2009</v>
      </c>
      <c r="C700" s="14">
        <v>3015.333333333333</v>
      </c>
      <c r="D700" s="14">
        <v>48</v>
      </c>
      <c r="E700" s="14">
        <v>25.333333333333329</v>
      </c>
      <c r="F700" s="14">
        <v>8.6666666666666661</v>
      </c>
      <c r="G700" s="14">
        <v>887.33333333333326</v>
      </c>
      <c r="H700" s="14">
        <v>209.99999999999997</v>
      </c>
      <c r="I700" s="14">
        <v>1503.9999999999998</v>
      </c>
      <c r="K700" s="15"/>
    </row>
    <row r="701" spans="1:11" ht="16.5" x14ac:dyDescent="0.2">
      <c r="A701" s="4" t="s">
        <v>265</v>
      </c>
      <c r="B701">
        <v>2010</v>
      </c>
      <c r="C701" s="14">
        <v>2985.333333333333</v>
      </c>
      <c r="D701" s="14">
        <v>48</v>
      </c>
      <c r="E701" s="14">
        <v>24.666666666666664</v>
      </c>
      <c r="F701" s="14">
        <v>8.6666666666666661</v>
      </c>
      <c r="G701" s="14">
        <v>915.33333333333314</v>
      </c>
      <c r="H701" s="14">
        <v>217.33333333333331</v>
      </c>
      <c r="I701" s="14">
        <v>1497.3333333333333</v>
      </c>
    </row>
    <row r="702" spans="1:11" ht="16.5" x14ac:dyDescent="0.2">
      <c r="A702" s="4" t="s">
        <v>265</v>
      </c>
      <c r="B702">
        <v>2011</v>
      </c>
      <c r="C702" s="14">
        <v>2982</v>
      </c>
      <c r="D702" s="14">
        <v>45.333333333333329</v>
      </c>
      <c r="E702" s="14">
        <v>24</v>
      </c>
      <c r="F702" s="14">
        <v>7.9999999999999991</v>
      </c>
      <c r="G702" s="14">
        <v>928</v>
      </c>
      <c r="H702" s="14">
        <v>221.33333333333334</v>
      </c>
      <c r="I702" s="14">
        <v>1487.9999999999998</v>
      </c>
      <c r="K702" s="15"/>
    </row>
    <row r="703" spans="1:11" ht="16.5" x14ac:dyDescent="0.2">
      <c r="A703" s="4" t="s">
        <v>265</v>
      </c>
      <c r="B703">
        <v>2012</v>
      </c>
      <c r="C703" s="14">
        <v>2975.333333333333</v>
      </c>
      <c r="D703" s="14">
        <v>44.666666666666664</v>
      </c>
      <c r="E703" s="14">
        <v>24</v>
      </c>
      <c r="F703" s="14">
        <v>7.9999999999999991</v>
      </c>
      <c r="G703" s="14">
        <v>941.33333333333314</v>
      </c>
      <c r="H703" s="14">
        <v>224</v>
      </c>
      <c r="I703" s="14">
        <v>1481.333333333333</v>
      </c>
    </row>
    <row r="704" spans="1:11" ht="16.5" x14ac:dyDescent="0.2">
      <c r="A704" s="4" t="s">
        <v>265</v>
      </c>
      <c r="B704">
        <v>2013</v>
      </c>
      <c r="C704" s="14">
        <v>2967.333333333333</v>
      </c>
      <c r="D704" s="14">
        <v>44.666666666666664</v>
      </c>
      <c r="E704" s="14">
        <v>24</v>
      </c>
      <c r="F704" s="14">
        <v>6.6666666666666661</v>
      </c>
      <c r="G704" s="14">
        <v>955.33333333333337</v>
      </c>
      <c r="H704" s="14">
        <v>230.66666666666666</v>
      </c>
      <c r="I704" s="14">
        <v>1468.6666666666665</v>
      </c>
      <c r="K704" s="15"/>
    </row>
    <row r="705" spans="1:11" ht="16.5" x14ac:dyDescent="0.2">
      <c r="A705" s="4" t="s">
        <v>265</v>
      </c>
      <c r="B705">
        <v>2014</v>
      </c>
      <c r="C705" s="14">
        <v>2957.333333333333</v>
      </c>
      <c r="D705" s="14">
        <v>43.999999999999993</v>
      </c>
      <c r="E705" s="14">
        <v>23.333333333333332</v>
      </c>
      <c r="F705" s="14">
        <v>6.6666666666666661</v>
      </c>
      <c r="G705" s="14">
        <v>967.33333333333326</v>
      </c>
      <c r="H705" s="14">
        <v>238.66666666666663</v>
      </c>
      <c r="I705" s="14">
        <v>1457.9999999999998</v>
      </c>
    </row>
    <row r="706" spans="1:11" ht="16.5" x14ac:dyDescent="0.2">
      <c r="A706" s="4" t="s">
        <v>265</v>
      </c>
      <c r="B706">
        <v>2015</v>
      </c>
      <c r="C706" s="14">
        <v>2951.333333333333</v>
      </c>
      <c r="D706" s="14">
        <v>43.333333333333329</v>
      </c>
      <c r="E706" s="14">
        <v>23.333333333333332</v>
      </c>
      <c r="F706" s="14">
        <v>6.6666666666666661</v>
      </c>
      <c r="G706" s="14">
        <v>979.33333333333314</v>
      </c>
      <c r="H706" s="14">
        <v>244</v>
      </c>
      <c r="I706" s="14">
        <v>1448.6666666666665</v>
      </c>
      <c r="K706" s="15"/>
    </row>
    <row r="707" spans="1:11" ht="16.5" x14ac:dyDescent="0.2">
      <c r="A707" s="4" t="s">
        <v>265</v>
      </c>
      <c r="B707">
        <v>2016</v>
      </c>
      <c r="C707" s="14">
        <v>2947.333333333333</v>
      </c>
      <c r="D707" s="14">
        <v>42.666666666666664</v>
      </c>
      <c r="E707" s="14">
        <v>23.333333333333332</v>
      </c>
      <c r="F707" s="14">
        <v>6</v>
      </c>
      <c r="G707" s="14">
        <v>989.33333333333326</v>
      </c>
      <c r="H707" s="14">
        <v>247.33333333333331</v>
      </c>
      <c r="I707" s="14">
        <v>1439.9999999999998</v>
      </c>
    </row>
    <row r="708" spans="1:11" ht="16.5" x14ac:dyDescent="0.2">
      <c r="A708" s="4" t="s">
        <v>264</v>
      </c>
      <c r="B708">
        <v>2009</v>
      </c>
      <c r="C708" s="14">
        <v>4328.6666666666661</v>
      </c>
      <c r="D708" s="14">
        <v>284</v>
      </c>
      <c r="E708" s="14">
        <v>200.66666666666666</v>
      </c>
      <c r="F708" s="14">
        <v>0.66666666666666663</v>
      </c>
      <c r="G708" s="14">
        <v>1056.6666666666665</v>
      </c>
      <c r="H708" s="14">
        <v>320.66666666666663</v>
      </c>
      <c r="I708" s="14">
        <v>2280.6666666666665</v>
      </c>
      <c r="K708" s="15"/>
    </row>
    <row r="709" spans="1:11" ht="16.5" x14ac:dyDescent="0.2">
      <c r="A709" s="4" t="s">
        <v>264</v>
      </c>
      <c r="B709">
        <v>2010</v>
      </c>
      <c r="C709" s="14">
        <v>4318</v>
      </c>
      <c r="D709" s="14">
        <v>280</v>
      </c>
      <c r="E709" s="14">
        <v>197.33333333333331</v>
      </c>
      <c r="F709" s="14">
        <v>0.66666666666666663</v>
      </c>
      <c r="G709" s="14">
        <v>1073.9999999999998</v>
      </c>
      <c r="H709" s="14">
        <v>322.66666666666663</v>
      </c>
      <c r="I709" s="14">
        <v>2277.3333333333335</v>
      </c>
    </row>
    <row r="710" spans="1:11" ht="16.5" x14ac:dyDescent="0.2">
      <c r="A710" s="4" t="s">
        <v>264</v>
      </c>
      <c r="B710">
        <v>2011</v>
      </c>
      <c r="C710" s="14">
        <v>4308.6666666666661</v>
      </c>
      <c r="D710" s="14">
        <v>276.66666666666663</v>
      </c>
      <c r="E710" s="14">
        <v>194</v>
      </c>
      <c r="F710" s="14">
        <v>1.3333333333333333</v>
      </c>
      <c r="G710" s="14">
        <v>1081.3333333333333</v>
      </c>
      <c r="H710" s="14">
        <v>329.33333333333331</v>
      </c>
      <c r="I710" s="14">
        <v>2274</v>
      </c>
      <c r="K710" s="15"/>
    </row>
    <row r="711" spans="1:11" ht="16.5" x14ac:dyDescent="0.2">
      <c r="A711" s="4" t="s">
        <v>264</v>
      </c>
      <c r="B711">
        <v>2012</v>
      </c>
      <c r="C711" s="14">
        <v>4295.9999999999991</v>
      </c>
      <c r="D711" s="14">
        <v>271.99999999999994</v>
      </c>
      <c r="E711" s="14">
        <v>191.33333333333331</v>
      </c>
      <c r="F711" s="14">
        <v>1.3333333333333333</v>
      </c>
      <c r="G711" s="14">
        <v>1098</v>
      </c>
      <c r="H711" s="14">
        <v>334.66666666666663</v>
      </c>
      <c r="I711" s="14">
        <v>2267.9999999999995</v>
      </c>
    </row>
    <row r="712" spans="1:11" ht="16.5" x14ac:dyDescent="0.2">
      <c r="A712" s="4" t="s">
        <v>264</v>
      </c>
      <c r="B712">
        <v>2013</v>
      </c>
      <c r="C712" s="14">
        <v>4298</v>
      </c>
      <c r="D712" s="14">
        <v>269.33333333333331</v>
      </c>
      <c r="E712" s="14">
        <v>188.66666666666666</v>
      </c>
      <c r="F712" s="14">
        <v>1.3333333333333333</v>
      </c>
      <c r="G712" s="14">
        <v>1103.3333333333333</v>
      </c>
      <c r="H712" s="14">
        <v>336.66666666666663</v>
      </c>
      <c r="I712" s="14">
        <v>2256.6666666666665</v>
      </c>
      <c r="K712" s="15"/>
    </row>
    <row r="713" spans="1:11" ht="16.5" x14ac:dyDescent="0.2">
      <c r="A713" s="4" t="s">
        <v>264</v>
      </c>
      <c r="B713">
        <v>2014</v>
      </c>
      <c r="C713" s="14">
        <v>4302.6666666666661</v>
      </c>
      <c r="D713" s="14">
        <v>265.99999999999994</v>
      </c>
      <c r="E713" s="14">
        <v>187.33333333333331</v>
      </c>
      <c r="F713" s="14">
        <v>1.3333333333333333</v>
      </c>
      <c r="G713" s="14">
        <v>1108.6666666666667</v>
      </c>
      <c r="H713" s="14">
        <v>341.99999999999994</v>
      </c>
      <c r="I713" s="14">
        <v>2245.333333333333</v>
      </c>
    </row>
    <row r="714" spans="1:11" ht="16.5" x14ac:dyDescent="0.2">
      <c r="A714" s="4" t="s">
        <v>264</v>
      </c>
      <c r="B714">
        <v>2015</v>
      </c>
      <c r="C714" s="14">
        <v>4308.6666666666661</v>
      </c>
      <c r="D714" s="14">
        <v>264</v>
      </c>
      <c r="E714" s="14">
        <v>186.66666666666666</v>
      </c>
      <c r="F714" s="14">
        <v>1.3333333333333333</v>
      </c>
      <c r="G714" s="14">
        <v>1120</v>
      </c>
      <c r="H714" s="14">
        <v>345.33333333333326</v>
      </c>
      <c r="I714" s="14">
        <v>2229.333333333333</v>
      </c>
      <c r="K714" s="15"/>
    </row>
    <row r="715" spans="1:11" ht="16.5" x14ac:dyDescent="0.2">
      <c r="A715" s="4" t="s">
        <v>264</v>
      </c>
      <c r="B715">
        <v>2016</v>
      </c>
      <c r="C715" s="14">
        <v>4312.6666666666661</v>
      </c>
      <c r="D715" s="14">
        <v>262.66666666666663</v>
      </c>
      <c r="E715" s="14">
        <v>185.99999999999997</v>
      </c>
      <c r="F715" s="14">
        <v>1.3333333333333333</v>
      </c>
      <c r="G715" s="14">
        <v>1124.6666666666665</v>
      </c>
      <c r="H715" s="14">
        <v>346.66666666666663</v>
      </c>
      <c r="I715" s="14">
        <v>2219.333333333333</v>
      </c>
    </row>
    <row r="716" spans="1:11" ht="16.5" x14ac:dyDescent="0.2">
      <c r="A716" s="4" t="s">
        <v>263</v>
      </c>
      <c r="B716">
        <v>2009</v>
      </c>
      <c r="C716" s="14">
        <v>2168.6666666666665</v>
      </c>
      <c r="D716" s="14">
        <v>1077.3333333333333</v>
      </c>
      <c r="E716" s="14">
        <v>10254.666666666666</v>
      </c>
      <c r="F716" s="14">
        <v>176.66666666666666</v>
      </c>
      <c r="G716" s="14">
        <v>1293.9999999999998</v>
      </c>
      <c r="H716" s="14">
        <v>326.66666666666663</v>
      </c>
      <c r="I716" s="14">
        <v>1342.6666666666665</v>
      </c>
      <c r="K716" s="15"/>
    </row>
    <row r="717" spans="1:11" ht="16.5" x14ac:dyDescent="0.2">
      <c r="A717" s="4" t="s">
        <v>263</v>
      </c>
      <c r="B717">
        <v>2010</v>
      </c>
      <c r="C717" s="14">
        <v>2161.333333333333</v>
      </c>
      <c r="D717" s="14">
        <v>1064.6666666666665</v>
      </c>
      <c r="E717" s="14">
        <v>10240</v>
      </c>
      <c r="F717" s="14">
        <v>173.33333333333331</v>
      </c>
      <c r="G717" s="14">
        <v>1329.9999999999998</v>
      </c>
      <c r="H717" s="14">
        <v>334.66666666666663</v>
      </c>
      <c r="I717" s="14">
        <v>1334.6666666666665</v>
      </c>
    </row>
    <row r="718" spans="1:11" ht="16.5" x14ac:dyDescent="0.2">
      <c r="A718" s="4" t="s">
        <v>263</v>
      </c>
      <c r="B718">
        <v>2011</v>
      </c>
      <c r="C718" s="14">
        <v>2152</v>
      </c>
      <c r="D718" s="14">
        <v>1053.3333333333333</v>
      </c>
      <c r="E718" s="14">
        <v>10228.666666666666</v>
      </c>
      <c r="F718" s="14">
        <v>169.99999999999997</v>
      </c>
      <c r="G718" s="14">
        <v>1362.6666666666663</v>
      </c>
      <c r="H718" s="14">
        <v>342.66666666666663</v>
      </c>
      <c r="I718" s="14">
        <v>1329.9999999999998</v>
      </c>
      <c r="K718" s="15"/>
    </row>
    <row r="719" spans="1:11" ht="16.5" x14ac:dyDescent="0.2">
      <c r="A719" s="4" t="s">
        <v>263</v>
      </c>
      <c r="B719">
        <v>2012</v>
      </c>
      <c r="C719" s="14">
        <v>2135.333333333333</v>
      </c>
      <c r="D719" s="14">
        <v>1047.9999999999998</v>
      </c>
      <c r="E719" s="14">
        <v>10221.999999999998</v>
      </c>
      <c r="F719" s="14">
        <v>168.66666666666666</v>
      </c>
      <c r="G719" s="14">
        <v>1392.6666666666665</v>
      </c>
      <c r="H719" s="14">
        <v>346.66666666666663</v>
      </c>
      <c r="I719" s="14">
        <v>1324.6666666666665</v>
      </c>
    </row>
    <row r="720" spans="1:11" ht="16.5" x14ac:dyDescent="0.2">
      <c r="A720" s="4" t="s">
        <v>263</v>
      </c>
      <c r="B720">
        <v>2013</v>
      </c>
      <c r="C720" s="14">
        <v>2125.333333333333</v>
      </c>
      <c r="D720" s="14">
        <v>1037.3333333333333</v>
      </c>
      <c r="E720" s="14">
        <v>10210</v>
      </c>
      <c r="F720" s="14">
        <v>167.33333333333331</v>
      </c>
      <c r="G720" s="14">
        <v>1429.3333333333333</v>
      </c>
      <c r="H720" s="14">
        <v>354</v>
      </c>
      <c r="I720" s="14">
        <v>1312.6666666666665</v>
      </c>
      <c r="K720" s="15"/>
    </row>
    <row r="721" spans="1:11" ht="16.5" x14ac:dyDescent="0.2">
      <c r="A721" s="4" t="s">
        <v>263</v>
      </c>
      <c r="B721">
        <v>2014</v>
      </c>
      <c r="C721" s="14">
        <v>2115.333333333333</v>
      </c>
      <c r="D721" s="14">
        <v>1029.3333333333333</v>
      </c>
      <c r="E721" s="14">
        <v>10198.666666666666</v>
      </c>
      <c r="F721" s="14">
        <v>166.66666666666666</v>
      </c>
      <c r="G721" s="14">
        <v>1459.333333333333</v>
      </c>
      <c r="H721" s="14">
        <v>359.33333333333331</v>
      </c>
      <c r="I721" s="14">
        <v>1306</v>
      </c>
    </row>
    <row r="722" spans="1:11" ht="16.5" x14ac:dyDescent="0.2">
      <c r="A722" s="4" t="s">
        <v>263</v>
      </c>
      <c r="B722">
        <v>2015</v>
      </c>
      <c r="C722" s="14">
        <v>2117.9999999999995</v>
      </c>
      <c r="D722" s="14">
        <v>1026.6666666666665</v>
      </c>
      <c r="E722" s="14">
        <v>10192.666666666666</v>
      </c>
      <c r="F722" s="14">
        <v>165.99999999999997</v>
      </c>
      <c r="G722" s="14">
        <v>1466</v>
      </c>
      <c r="H722" s="14">
        <v>360.66666666666663</v>
      </c>
      <c r="I722" s="14">
        <v>1303.9999999999998</v>
      </c>
      <c r="K722" s="15"/>
    </row>
    <row r="723" spans="1:11" ht="16.5" x14ac:dyDescent="0.2">
      <c r="A723" s="4" t="s">
        <v>263</v>
      </c>
      <c r="B723">
        <v>2016</v>
      </c>
      <c r="C723" s="14">
        <v>2102</v>
      </c>
      <c r="D723" s="14">
        <v>1021.3333333333331</v>
      </c>
      <c r="E723" s="14">
        <v>10185.333333333332</v>
      </c>
      <c r="F723" s="14">
        <v>165.33333333333331</v>
      </c>
      <c r="G723" s="14">
        <v>1494.6666666666667</v>
      </c>
      <c r="H723" s="14">
        <v>364.66666666666663</v>
      </c>
      <c r="I723" s="14">
        <v>1299.3333333333333</v>
      </c>
    </row>
    <row r="724" spans="1:11" ht="16.5" x14ac:dyDescent="0.2">
      <c r="A724" s="4" t="s">
        <v>262</v>
      </c>
      <c r="B724">
        <v>2009</v>
      </c>
      <c r="C724" s="14">
        <v>2227.9999999999995</v>
      </c>
      <c r="D724" s="14">
        <v>463.99999999999994</v>
      </c>
      <c r="E724" s="14">
        <v>3719.333333333333</v>
      </c>
      <c r="F724" s="14">
        <v>83.999999999999986</v>
      </c>
      <c r="G724" s="14">
        <v>1327.3333333333333</v>
      </c>
      <c r="H724" s="14">
        <v>275.99999999999994</v>
      </c>
      <c r="I724" s="14">
        <v>1473.9999999999998</v>
      </c>
      <c r="K724" s="15"/>
    </row>
    <row r="725" spans="1:11" ht="16.5" x14ac:dyDescent="0.2">
      <c r="A725" s="4" t="s">
        <v>262</v>
      </c>
      <c r="B725">
        <v>2010</v>
      </c>
      <c r="C725" s="14">
        <v>2204.6666666666665</v>
      </c>
      <c r="D725" s="14">
        <v>469.99999999999994</v>
      </c>
      <c r="E725" s="14">
        <v>3721.3333333333335</v>
      </c>
      <c r="F725" s="14">
        <v>82</v>
      </c>
      <c r="G725" s="14">
        <v>1359.9999999999998</v>
      </c>
      <c r="H725" s="14">
        <v>288</v>
      </c>
      <c r="I725" s="14">
        <v>1447.9999999999998</v>
      </c>
    </row>
    <row r="726" spans="1:11" ht="16.5" x14ac:dyDescent="0.2">
      <c r="A726" s="4" t="s">
        <v>262</v>
      </c>
      <c r="B726">
        <v>2011</v>
      </c>
      <c r="C726" s="14">
        <v>2201.333333333333</v>
      </c>
      <c r="D726" s="14">
        <v>464.66666666666663</v>
      </c>
      <c r="E726" s="14">
        <v>3716.6666666666665</v>
      </c>
      <c r="F726" s="14">
        <v>79.333333333333329</v>
      </c>
      <c r="G726" s="14">
        <v>1397.3333333333333</v>
      </c>
      <c r="H726" s="14">
        <v>297.33333333333331</v>
      </c>
      <c r="I726" s="14">
        <v>1435.3333333333333</v>
      </c>
      <c r="K726" s="15"/>
    </row>
    <row r="727" spans="1:11" ht="16.5" x14ac:dyDescent="0.2">
      <c r="A727" s="4" t="s">
        <v>262</v>
      </c>
      <c r="B727">
        <v>2012</v>
      </c>
      <c r="C727" s="14">
        <v>2195.333333333333</v>
      </c>
      <c r="D727" s="14">
        <v>459.33333333333331</v>
      </c>
      <c r="E727" s="14">
        <v>3713.333333333333</v>
      </c>
      <c r="F727" s="14">
        <v>78.666666666666671</v>
      </c>
      <c r="G727" s="14">
        <v>1427.9999999999998</v>
      </c>
      <c r="H727" s="14">
        <v>301.99999999999994</v>
      </c>
      <c r="I727" s="14">
        <v>1415.3333333333333</v>
      </c>
    </row>
    <row r="728" spans="1:11" ht="16.5" x14ac:dyDescent="0.2">
      <c r="A728" s="4" t="s">
        <v>262</v>
      </c>
      <c r="B728">
        <v>2013</v>
      </c>
      <c r="C728" s="14">
        <v>2186.6666666666665</v>
      </c>
      <c r="D728" s="14">
        <v>453.99999999999994</v>
      </c>
      <c r="E728" s="14">
        <v>3709.9999999999995</v>
      </c>
      <c r="F728" s="14">
        <v>77.999999999999986</v>
      </c>
      <c r="G728" s="14">
        <v>1459.3333333333333</v>
      </c>
      <c r="H728" s="14">
        <v>308</v>
      </c>
      <c r="I728" s="14">
        <v>1393.3333333333333</v>
      </c>
      <c r="K728" s="15"/>
    </row>
    <row r="729" spans="1:11" ht="16.5" x14ac:dyDescent="0.2">
      <c r="A729" s="4" t="s">
        <v>262</v>
      </c>
      <c r="B729">
        <v>2014</v>
      </c>
      <c r="C729" s="14">
        <v>2183.333333333333</v>
      </c>
      <c r="D729" s="14">
        <v>449.33333333333331</v>
      </c>
      <c r="E729" s="14">
        <v>3705.9999999999995</v>
      </c>
      <c r="F729" s="14">
        <v>77.333333333333329</v>
      </c>
      <c r="G729" s="14">
        <v>1489.9999999999998</v>
      </c>
      <c r="H729" s="14">
        <v>314</v>
      </c>
      <c r="I729" s="14">
        <v>1368.6666666666665</v>
      </c>
    </row>
    <row r="730" spans="1:11" ht="16.5" x14ac:dyDescent="0.2">
      <c r="A730" s="4" t="s">
        <v>262</v>
      </c>
      <c r="B730">
        <v>2015</v>
      </c>
      <c r="C730" s="14">
        <v>2180.6666666666665</v>
      </c>
      <c r="D730" s="14">
        <v>446</v>
      </c>
      <c r="E730" s="14">
        <v>3704</v>
      </c>
      <c r="F730" s="14">
        <v>76.666666666666657</v>
      </c>
      <c r="G730" s="14">
        <v>1509.9999999999998</v>
      </c>
      <c r="H730" s="14">
        <v>320.66666666666663</v>
      </c>
      <c r="I730" s="14">
        <v>1350.6666666666665</v>
      </c>
      <c r="K730" s="15"/>
    </row>
    <row r="731" spans="1:11" ht="16.5" x14ac:dyDescent="0.2">
      <c r="A731" s="4" t="s">
        <v>262</v>
      </c>
      <c r="B731">
        <v>2016</v>
      </c>
      <c r="C731" s="14">
        <v>2174</v>
      </c>
      <c r="D731" s="14">
        <v>443.99999999999994</v>
      </c>
      <c r="E731" s="14">
        <v>3701.9999999999995</v>
      </c>
      <c r="F731" s="14">
        <v>76.666666666666657</v>
      </c>
      <c r="G731" s="14">
        <v>1526.6666666666665</v>
      </c>
      <c r="H731" s="14">
        <v>324.66666666666663</v>
      </c>
      <c r="I731" s="14">
        <v>1339.9999999999998</v>
      </c>
    </row>
    <row r="732" spans="1:11" ht="16.5" x14ac:dyDescent="0.2">
      <c r="A732" s="4" t="s">
        <v>261</v>
      </c>
      <c r="B732">
        <v>2009</v>
      </c>
      <c r="C732" s="14">
        <v>2433.333333333333</v>
      </c>
      <c r="D732" s="14">
        <v>321.99999999999994</v>
      </c>
      <c r="E732" s="14">
        <v>6584</v>
      </c>
      <c r="F732" s="14">
        <v>167.33333333333331</v>
      </c>
      <c r="G732" s="14">
        <v>809.99999999999989</v>
      </c>
      <c r="H732" s="14">
        <v>183.33333333333331</v>
      </c>
      <c r="I732" s="14">
        <v>1160</v>
      </c>
      <c r="K732" s="15"/>
    </row>
    <row r="733" spans="1:11" ht="16.5" x14ac:dyDescent="0.2">
      <c r="A733" s="4" t="s">
        <v>261</v>
      </c>
      <c r="B733">
        <v>2010</v>
      </c>
      <c r="C733" s="14">
        <v>2425.333333333333</v>
      </c>
      <c r="D733" s="14">
        <v>320.66666666666663</v>
      </c>
      <c r="E733" s="14">
        <v>6578.6666666666661</v>
      </c>
      <c r="F733" s="14">
        <v>164.66666666666666</v>
      </c>
      <c r="G733" s="14">
        <v>831.33333333333326</v>
      </c>
      <c r="H733" s="14">
        <v>186.66666666666666</v>
      </c>
      <c r="I733" s="14">
        <v>1151.3333333333333</v>
      </c>
    </row>
    <row r="734" spans="1:11" ht="16.5" x14ac:dyDescent="0.2">
      <c r="A734" s="4" t="s">
        <v>261</v>
      </c>
      <c r="B734">
        <v>2011</v>
      </c>
      <c r="C734" s="14">
        <v>2417.9999999999995</v>
      </c>
      <c r="D734" s="14">
        <v>318.66666666666663</v>
      </c>
      <c r="E734" s="14">
        <v>6574.6666666666661</v>
      </c>
      <c r="F734" s="14">
        <v>164</v>
      </c>
      <c r="G734" s="14">
        <v>847.33333333333326</v>
      </c>
      <c r="H734" s="14">
        <v>190.66666666666666</v>
      </c>
      <c r="I734" s="14">
        <v>1145.3333333333333</v>
      </c>
      <c r="K734" s="15"/>
    </row>
    <row r="735" spans="1:11" ht="16.5" x14ac:dyDescent="0.2">
      <c r="A735" s="4" t="s">
        <v>261</v>
      </c>
      <c r="B735">
        <v>2012</v>
      </c>
      <c r="C735" s="14">
        <v>2409.333333333333</v>
      </c>
      <c r="D735" s="14">
        <v>317.33333333333331</v>
      </c>
      <c r="E735" s="14">
        <v>6569.9999999999991</v>
      </c>
      <c r="F735" s="14">
        <v>162</v>
      </c>
      <c r="G735" s="14">
        <v>863.33333333333326</v>
      </c>
      <c r="H735" s="14">
        <v>194.66666666666666</v>
      </c>
      <c r="I735" s="14">
        <v>1140.6666666666665</v>
      </c>
    </row>
    <row r="736" spans="1:11" ht="16.5" x14ac:dyDescent="0.2">
      <c r="A736" s="4" t="s">
        <v>261</v>
      </c>
      <c r="B736">
        <v>2013</v>
      </c>
      <c r="C736" s="14">
        <v>2419.333333333333</v>
      </c>
      <c r="D736" s="14">
        <v>314.66666666666669</v>
      </c>
      <c r="E736" s="14">
        <v>6558</v>
      </c>
      <c r="F736" s="14">
        <v>160.66666666666666</v>
      </c>
      <c r="G736" s="14">
        <v>878</v>
      </c>
      <c r="H736" s="14">
        <v>199.99999999999997</v>
      </c>
      <c r="I736" s="14">
        <v>1125.3333333333333</v>
      </c>
      <c r="K736" s="15"/>
    </row>
    <row r="737" spans="1:11" ht="16.5" x14ac:dyDescent="0.2">
      <c r="A737" s="4" t="s">
        <v>261</v>
      </c>
      <c r="B737">
        <v>2014</v>
      </c>
      <c r="C737" s="14">
        <v>2424.6666666666665</v>
      </c>
      <c r="D737" s="14">
        <v>311.99999999999994</v>
      </c>
      <c r="E737" s="14">
        <v>6539.9999999999991</v>
      </c>
      <c r="F737" s="14">
        <v>159.33333333333331</v>
      </c>
      <c r="G737" s="14">
        <v>893.99999999999989</v>
      </c>
      <c r="H737" s="14">
        <v>207.33333333333331</v>
      </c>
      <c r="I737" s="14">
        <v>1116.6666666666665</v>
      </c>
    </row>
    <row r="738" spans="1:11" ht="16.5" x14ac:dyDescent="0.2">
      <c r="A738" s="4" t="s">
        <v>261</v>
      </c>
      <c r="B738">
        <v>2015</v>
      </c>
      <c r="C738" s="14">
        <v>2424</v>
      </c>
      <c r="D738" s="14">
        <v>310.66666666666663</v>
      </c>
      <c r="E738" s="14">
        <v>6527.333333333333</v>
      </c>
      <c r="F738" s="14">
        <v>158.66666666666666</v>
      </c>
      <c r="G738" s="14">
        <v>908.66666666666652</v>
      </c>
      <c r="H738" s="14">
        <v>216.66666666666666</v>
      </c>
      <c r="I738" s="14">
        <v>1126.6666666666665</v>
      </c>
      <c r="K738" s="15"/>
    </row>
    <row r="739" spans="1:11" ht="16.5" x14ac:dyDescent="0.2">
      <c r="A739" s="4" t="s">
        <v>261</v>
      </c>
      <c r="B739">
        <v>2016</v>
      </c>
      <c r="C739" s="14">
        <v>2422</v>
      </c>
      <c r="D739" s="14">
        <v>309.33333333333331</v>
      </c>
      <c r="E739" s="14">
        <v>6518.6666666666661</v>
      </c>
      <c r="F739" s="14">
        <v>157.99999999999997</v>
      </c>
      <c r="G739" s="14">
        <v>920.66666666666652</v>
      </c>
      <c r="H739" s="14">
        <v>226.66666666666666</v>
      </c>
      <c r="I739" s="14">
        <v>1115.3333333333333</v>
      </c>
    </row>
    <row r="740" spans="1:11" ht="16.5" x14ac:dyDescent="0.2">
      <c r="A740" s="4" t="s">
        <v>260</v>
      </c>
      <c r="B740">
        <v>2009</v>
      </c>
      <c r="C740" s="14">
        <v>2078.6666666666665</v>
      </c>
      <c r="D740" s="14">
        <v>272.66666666666663</v>
      </c>
      <c r="E740" s="14">
        <v>27.333333333333329</v>
      </c>
      <c r="F740" s="14">
        <v>49.999999999999993</v>
      </c>
      <c r="G740" s="14">
        <v>916</v>
      </c>
      <c r="H740" s="14">
        <v>221.99999999999997</v>
      </c>
      <c r="I740" s="14">
        <v>634.66666666666663</v>
      </c>
      <c r="K740" s="15"/>
    </row>
    <row r="741" spans="1:11" ht="16.5" x14ac:dyDescent="0.2">
      <c r="A741" s="4" t="s">
        <v>260</v>
      </c>
      <c r="B741">
        <v>2010</v>
      </c>
      <c r="C741" s="14">
        <v>2074.6666666666665</v>
      </c>
      <c r="D741" s="14">
        <v>259.33333333333331</v>
      </c>
      <c r="E741" s="14">
        <v>27.333333333333329</v>
      </c>
      <c r="F741" s="14">
        <v>43.999999999999993</v>
      </c>
      <c r="G741" s="14">
        <v>938.66666666666663</v>
      </c>
      <c r="H741" s="14">
        <v>225.33333333333329</v>
      </c>
      <c r="I741" s="14">
        <v>630.66666666666663</v>
      </c>
    </row>
    <row r="742" spans="1:11" ht="16.5" x14ac:dyDescent="0.2">
      <c r="A742" s="4" t="s">
        <v>260</v>
      </c>
      <c r="B742">
        <v>2011</v>
      </c>
      <c r="C742" s="14">
        <v>2075.9999999999995</v>
      </c>
      <c r="D742" s="14">
        <v>245.99999999999997</v>
      </c>
      <c r="E742" s="14">
        <v>26.666666666666664</v>
      </c>
      <c r="F742" s="14">
        <v>41.333333333333329</v>
      </c>
      <c r="G742" s="14">
        <v>952.6666666666664</v>
      </c>
      <c r="H742" s="14">
        <v>228.66666666666663</v>
      </c>
      <c r="I742" s="14">
        <v>627.33333333333326</v>
      </c>
      <c r="K742" s="15"/>
    </row>
    <row r="743" spans="1:11" ht="16.5" x14ac:dyDescent="0.2">
      <c r="A743" s="4" t="s">
        <v>260</v>
      </c>
      <c r="B743">
        <v>2012</v>
      </c>
      <c r="C743" s="14">
        <v>2078.6666666666665</v>
      </c>
      <c r="D743" s="14">
        <v>234</v>
      </c>
      <c r="E743" s="14">
        <v>26.666666666666664</v>
      </c>
      <c r="F743" s="14">
        <v>40.666666666666657</v>
      </c>
      <c r="G743" s="14">
        <v>962</v>
      </c>
      <c r="H743" s="14">
        <v>229.99999999999997</v>
      </c>
      <c r="I743" s="14">
        <v>625.33333333333326</v>
      </c>
    </row>
    <row r="744" spans="1:11" ht="16.5" x14ac:dyDescent="0.2">
      <c r="A744" s="4" t="s">
        <v>260</v>
      </c>
      <c r="B744">
        <v>2013</v>
      </c>
      <c r="C744" s="14">
        <v>2077.3333333333335</v>
      </c>
      <c r="D744" s="14">
        <v>226.66666666666666</v>
      </c>
      <c r="E744" s="14">
        <v>26.666666666666664</v>
      </c>
      <c r="F744" s="14">
        <v>38</v>
      </c>
      <c r="G744" s="14">
        <v>972.66666666666663</v>
      </c>
      <c r="H744" s="14">
        <v>232.66666666666663</v>
      </c>
      <c r="I744" s="14">
        <v>623.99999999999989</v>
      </c>
      <c r="K744" s="15"/>
    </row>
    <row r="745" spans="1:11" ht="16.5" x14ac:dyDescent="0.2">
      <c r="A745" s="4" t="s">
        <v>260</v>
      </c>
      <c r="B745">
        <v>2014</v>
      </c>
      <c r="C745" s="14">
        <v>2072</v>
      </c>
      <c r="D745" s="14">
        <v>219.33333333333331</v>
      </c>
      <c r="E745" s="14">
        <v>26.666666666666664</v>
      </c>
      <c r="F745" s="14">
        <v>37.333333333333329</v>
      </c>
      <c r="G745" s="14">
        <v>984.66666666666652</v>
      </c>
      <c r="H745" s="14">
        <v>235.99999999999997</v>
      </c>
      <c r="I745" s="14">
        <v>621.99999999999989</v>
      </c>
    </row>
    <row r="746" spans="1:11" ht="16.5" x14ac:dyDescent="0.2">
      <c r="A746" s="4" t="s">
        <v>260</v>
      </c>
      <c r="B746">
        <v>2015</v>
      </c>
      <c r="C746" s="14">
        <v>2068.6666666666665</v>
      </c>
      <c r="D746" s="14">
        <v>212</v>
      </c>
      <c r="E746" s="14">
        <v>26.666666666666664</v>
      </c>
      <c r="F746" s="14">
        <v>36</v>
      </c>
      <c r="G746" s="14">
        <v>996</v>
      </c>
      <c r="H746" s="14">
        <v>238</v>
      </c>
      <c r="I746" s="14">
        <v>620.66666666666663</v>
      </c>
      <c r="K746" s="15"/>
    </row>
    <row r="747" spans="1:11" ht="16.5" x14ac:dyDescent="0.2">
      <c r="A747" s="4" t="s">
        <v>260</v>
      </c>
      <c r="B747">
        <v>2016</v>
      </c>
      <c r="C747" s="14">
        <v>2061.333333333333</v>
      </c>
      <c r="D747" s="14">
        <v>205.99999999999997</v>
      </c>
      <c r="E747" s="14">
        <v>26.666666666666664</v>
      </c>
      <c r="F747" s="14">
        <v>35.333333333333329</v>
      </c>
      <c r="G747" s="14">
        <v>1008.6666666666666</v>
      </c>
      <c r="H747" s="14">
        <v>240.66666666666666</v>
      </c>
      <c r="I747" s="14">
        <v>619.33333333333337</v>
      </c>
    </row>
    <row r="748" spans="1:11" ht="16.5" x14ac:dyDescent="0.2">
      <c r="A748" s="4" t="s">
        <v>259</v>
      </c>
      <c r="B748">
        <v>2009</v>
      </c>
      <c r="C748" s="14">
        <v>1516.6666666666665</v>
      </c>
      <c r="D748" s="14">
        <v>556</v>
      </c>
      <c r="E748" s="14">
        <v>2185.9999999999995</v>
      </c>
      <c r="F748" s="14">
        <v>17.333333333333332</v>
      </c>
      <c r="G748" s="14">
        <v>679.99999999999989</v>
      </c>
      <c r="H748" s="14">
        <v>175.99999999999997</v>
      </c>
      <c r="I748" s="14">
        <v>633.33333333333326</v>
      </c>
      <c r="K748" s="15"/>
    </row>
    <row r="749" spans="1:11" ht="16.5" x14ac:dyDescent="0.2">
      <c r="A749" s="4" t="s">
        <v>259</v>
      </c>
      <c r="B749">
        <v>2010</v>
      </c>
      <c r="C749" s="14">
        <v>1520.6666666666665</v>
      </c>
      <c r="D749" s="14">
        <v>546.66666666666663</v>
      </c>
      <c r="E749" s="14">
        <v>2182.6666666666665</v>
      </c>
      <c r="F749" s="14">
        <v>15.999999999999998</v>
      </c>
      <c r="G749" s="14">
        <v>691.33333333333326</v>
      </c>
      <c r="H749" s="14">
        <v>179.33333333333331</v>
      </c>
      <c r="I749" s="14">
        <v>628</v>
      </c>
    </row>
    <row r="750" spans="1:11" ht="16.5" x14ac:dyDescent="0.2">
      <c r="A750" s="4" t="s">
        <v>259</v>
      </c>
      <c r="B750">
        <v>2011</v>
      </c>
      <c r="C750" s="14">
        <v>1518.6666666666665</v>
      </c>
      <c r="D750" s="14">
        <v>537.33333333333326</v>
      </c>
      <c r="E750" s="14">
        <v>2177.3333333333335</v>
      </c>
      <c r="F750" s="14">
        <v>15.33333333333333</v>
      </c>
      <c r="G750" s="14">
        <v>705.99999999999989</v>
      </c>
      <c r="H750" s="14">
        <v>182.66666666666663</v>
      </c>
      <c r="I750" s="14">
        <v>626</v>
      </c>
      <c r="K750" s="15"/>
    </row>
    <row r="751" spans="1:11" ht="16.5" x14ac:dyDescent="0.2">
      <c r="A751" s="4" t="s">
        <v>259</v>
      </c>
      <c r="B751">
        <v>2012</v>
      </c>
      <c r="C751" s="14">
        <v>1515.3333333333333</v>
      </c>
      <c r="D751" s="14">
        <v>532.66666666666663</v>
      </c>
      <c r="E751" s="14">
        <v>2175.333333333333</v>
      </c>
      <c r="F751" s="14">
        <v>14.666666666666666</v>
      </c>
      <c r="G751" s="14">
        <v>718</v>
      </c>
      <c r="H751" s="14">
        <v>184</v>
      </c>
      <c r="I751" s="14">
        <v>623.33333333333326</v>
      </c>
    </row>
    <row r="752" spans="1:11" ht="16.5" x14ac:dyDescent="0.2">
      <c r="A752" s="4" t="s">
        <v>259</v>
      </c>
      <c r="B752">
        <v>2013</v>
      </c>
      <c r="C752" s="14">
        <v>1516.6666666666665</v>
      </c>
      <c r="D752" s="14">
        <v>523.33333333333326</v>
      </c>
      <c r="E752" s="14">
        <v>2170.6666666666665</v>
      </c>
      <c r="F752" s="14">
        <v>14</v>
      </c>
      <c r="G752" s="14">
        <v>732.66666666666663</v>
      </c>
      <c r="H752" s="14">
        <v>187.99999999999997</v>
      </c>
      <c r="I752" s="14">
        <v>618</v>
      </c>
      <c r="K752" s="15"/>
    </row>
    <row r="753" spans="1:11" ht="16.5" x14ac:dyDescent="0.2">
      <c r="A753" s="4" t="s">
        <v>259</v>
      </c>
      <c r="B753">
        <v>2014</v>
      </c>
      <c r="C753" s="14">
        <v>1514.6666666666665</v>
      </c>
      <c r="D753" s="14">
        <v>516</v>
      </c>
      <c r="E753" s="14">
        <v>2165.333333333333</v>
      </c>
      <c r="F753" s="14">
        <v>13.333333333333332</v>
      </c>
      <c r="G753" s="14">
        <v>747.33333333333337</v>
      </c>
      <c r="H753" s="14">
        <v>192.66666666666663</v>
      </c>
      <c r="I753" s="14">
        <v>613.33333333333326</v>
      </c>
    </row>
    <row r="754" spans="1:11" ht="16.5" x14ac:dyDescent="0.2">
      <c r="A754" s="4" t="s">
        <v>259</v>
      </c>
      <c r="B754">
        <v>2015</v>
      </c>
      <c r="C754" s="14">
        <v>1512</v>
      </c>
      <c r="D754" s="14">
        <v>510.66666666666657</v>
      </c>
      <c r="E754" s="14">
        <v>2162.6666666666665</v>
      </c>
      <c r="F754" s="14">
        <v>13.333333333333332</v>
      </c>
      <c r="G754" s="14">
        <v>756</v>
      </c>
      <c r="H754" s="14">
        <v>194</v>
      </c>
      <c r="I754" s="14">
        <v>613.33333333333326</v>
      </c>
      <c r="K754" s="15"/>
    </row>
    <row r="755" spans="1:11" ht="16.5" x14ac:dyDescent="0.2">
      <c r="A755" s="4" t="s">
        <v>259</v>
      </c>
      <c r="B755">
        <v>2016</v>
      </c>
      <c r="C755" s="14">
        <v>1508.6666666666665</v>
      </c>
      <c r="D755" s="14">
        <v>506</v>
      </c>
      <c r="E755" s="14">
        <v>2160</v>
      </c>
      <c r="F755" s="14">
        <v>13.333333333333332</v>
      </c>
      <c r="G755" s="14">
        <v>766</v>
      </c>
      <c r="H755" s="14">
        <v>197.99999999999997</v>
      </c>
      <c r="I755" s="14">
        <v>610</v>
      </c>
    </row>
    <row r="756" spans="1:11" ht="16.5" x14ac:dyDescent="0.2">
      <c r="A756" s="4" t="s">
        <v>258</v>
      </c>
      <c r="B756">
        <v>2009</v>
      </c>
      <c r="C756" s="14">
        <v>2014.6666666666665</v>
      </c>
      <c r="D756" s="14">
        <v>683.33333333333326</v>
      </c>
      <c r="E756" s="14">
        <v>3554.6666666666665</v>
      </c>
      <c r="F756" s="14">
        <v>63.999999999999993</v>
      </c>
      <c r="G756" s="14">
        <v>845.33333333333326</v>
      </c>
      <c r="H756" s="14">
        <v>194.66666666666666</v>
      </c>
      <c r="I756" s="14">
        <v>732.66666666666663</v>
      </c>
      <c r="K756" s="15"/>
    </row>
    <row r="757" spans="1:11" ht="16.5" x14ac:dyDescent="0.2">
      <c r="A757" s="4" t="s">
        <v>258</v>
      </c>
      <c r="B757">
        <v>2010</v>
      </c>
      <c r="C757" s="14">
        <v>2011.333333333333</v>
      </c>
      <c r="D757" s="14">
        <v>670.66666666666652</v>
      </c>
      <c r="E757" s="14">
        <v>3551.3333333333335</v>
      </c>
      <c r="F757" s="14">
        <v>62</v>
      </c>
      <c r="G757" s="14">
        <v>866.66666666666663</v>
      </c>
      <c r="H757" s="14">
        <v>202</v>
      </c>
      <c r="I757" s="14">
        <v>726</v>
      </c>
    </row>
    <row r="758" spans="1:11" ht="16.5" x14ac:dyDescent="0.2">
      <c r="A758" s="4" t="s">
        <v>258</v>
      </c>
      <c r="B758">
        <v>2011</v>
      </c>
      <c r="C758" s="14">
        <v>2007.3333333333333</v>
      </c>
      <c r="D758" s="14">
        <v>659.99999999999989</v>
      </c>
      <c r="E758" s="14">
        <v>3548.6666666666661</v>
      </c>
      <c r="F758" s="14">
        <v>59.999999999999993</v>
      </c>
      <c r="G758" s="14">
        <v>889.99999999999989</v>
      </c>
      <c r="H758" s="14">
        <v>205.99999999999997</v>
      </c>
      <c r="I758" s="14">
        <v>719.33333333333326</v>
      </c>
      <c r="K758" s="15"/>
    </row>
    <row r="759" spans="1:11" ht="16.5" x14ac:dyDescent="0.2">
      <c r="A759" s="4" t="s">
        <v>258</v>
      </c>
      <c r="B759">
        <v>2012</v>
      </c>
      <c r="C759" s="14">
        <v>1999.9999999999998</v>
      </c>
      <c r="D759" s="14">
        <v>651.99999999999989</v>
      </c>
      <c r="E759" s="14">
        <v>3547.333333333333</v>
      </c>
      <c r="F759" s="14">
        <v>59.333333333333329</v>
      </c>
      <c r="G759" s="14">
        <v>907.33333333333337</v>
      </c>
      <c r="H759" s="14">
        <v>209.99999999999997</v>
      </c>
      <c r="I759" s="14">
        <v>714.66666666666663</v>
      </c>
    </row>
    <row r="760" spans="1:11" ht="16.5" x14ac:dyDescent="0.2">
      <c r="A760" s="4" t="s">
        <v>258</v>
      </c>
      <c r="B760">
        <v>2013</v>
      </c>
      <c r="C760" s="14">
        <v>1993.3333333333333</v>
      </c>
      <c r="D760" s="14">
        <v>646</v>
      </c>
      <c r="E760" s="14">
        <v>3545.9999999999995</v>
      </c>
      <c r="F760" s="14">
        <v>58.666666666666664</v>
      </c>
      <c r="G760" s="14">
        <v>922</v>
      </c>
      <c r="H760" s="14">
        <v>213.33333333333331</v>
      </c>
      <c r="I760" s="14">
        <v>711.33333333333326</v>
      </c>
      <c r="K760" s="15"/>
    </row>
    <row r="761" spans="1:11" ht="16.5" x14ac:dyDescent="0.2">
      <c r="A761" s="4" t="s">
        <v>258</v>
      </c>
      <c r="B761">
        <v>2014</v>
      </c>
      <c r="C761" s="14">
        <v>1987.3333333333333</v>
      </c>
      <c r="D761" s="14">
        <v>637.33333333333326</v>
      </c>
      <c r="E761" s="14">
        <v>3544</v>
      </c>
      <c r="F761" s="14">
        <v>57.999999999999993</v>
      </c>
      <c r="G761" s="14">
        <v>937.99999999999989</v>
      </c>
      <c r="H761" s="14">
        <v>218.66666666666663</v>
      </c>
      <c r="I761" s="14">
        <v>706</v>
      </c>
    </row>
    <row r="762" spans="1:11" ht="16.5" x14ac:dyDescent="0.2">
      <c r="A762" s="4" t="s">
        <v>258</v>
      </c>
      <c r="B762">
        <v>2015</v>
      </c>
      <c r="C762" s="14">
        <v>1986.6666666666665</v>
      </c>
      <c r="D762" s="14">
        <v>629.33333333333337</v>
      </c>
      <c r="E762" s="14">
        <v>3541.9999999999995</v>
      </c>
      <c r="F762" s="14">
        <v>57.333333333333329</v>
      </c>
      <c r="G762" s="14">
        <v>950.66666666666674</v>
      </c>
      <c r="H762" s="14">
        <v>221.33333333333334</v>
      </c>
      <c r="I762" s="14">
        <v>701.99999999999989</v>
      </c>
      <c r="K762" s="15"/>
    </row>
    <row r="763" spans="1:11" ht="16.5" x14ac:dyDescent="0.2">
      <c r="A763" s="4" t="s">
        <v>258</v>
      </c>
      <c r="B763">
        <v>2016</v>
      </c>
      <c r="C763" s="14">
        <v>1984.6666666666665</v>
      </c>
      <c r="D763" s="14">
        <v>623.99999999999989</v>
      </c>
      <c r="E763" s="14">
        <v>3540.6666666666665</v>
      </c>
      <c r="F763" s="14">
        <v>57.333333333333329</v>
      </c>
      <c r="G763" s="14">
        <v>958</v>
      </c>
      <c r="H763" s="14">
        <v>226.66666666666666</v>
      </c>
      <c r="I763" s="14">
        <v>698.66666666666663</v>
      </c>
    </row>
    <row r="764" spans="1:11" ht="16.5" x14ac:dyDescent="0.2">
      <c r="A764" s="4" t="s">
        <v>257</v>
      </c>
      <c r="B764">
        <v>2009</v>
      </c>
      <c r="C764" s="14">
        <v>2255.9999999999995</v>
      </c>
      <c r="D764" s="14">
        <v>789.33333333333326</v>
      </c>
      <c r="E764" s="14">
        <v>5923.333333333333</v>
      </c>
      <c r="F764" s="14">
        <v>89.333333333333329</v>
      </c>
      <c r="G764" s="14">
        <v>896</v>
      </c>
      <c r="H764" s="14">
        <v>244</v>
      </c>
      <c r="I764" s="14">
        <v>496.66666666666663</v>
      </c>
      <c r="K764" s="15"/>
    </row>
    <row r="765" spans="1:11" ht="16.5" x14ac:dyDescent="0.2">
      <c r="A765" s="4" t="s">
        <v>257</v>
      </c>
      <c r="B765">
        <v>2010</v>
      </c>
      <c r="C765" s="14">
        <v>2251.333333333333</v>
      </c>
      <c r="D765" s="14">
        <v>781.33333333333326</v>
      </c>
      <c r="E765" s="14">
        <v>5918.6666666666661</v>
      </c>
      <c r="F765" s="14">
        <v>85.333333333333329</v>
      </c>
      <c r="G765" s="14">
        <v>919.33333333333348</v>
      </c>
      <c r="H765" s="14">
        <v>246.66666666666666</v>
      </c>
      <c r="I765" s="14">
        <v>496</v>
      </c>
    </row>
    <row r="766" spans="1:11" ht="16.5" x14ac:dyDescent="0.2">
      <c r="A766" s="4" t="s">
        <v>257</v>
      </c>
      <c r="B766">
        <v>2011</v>
      </c>
      <c r="C766" s="14">
        <v>2241.333333333333</v>
      </c>
      <c r="D766" s="14">
        <v>773.33333333333326</v>
      </c>
      <c r="E766" s="14">
        <v>5912.6666666666661</v>
      </c>
      <c r="F766" s="14">
        <v>82</v>
      </c>
      <c r="G766" s="14">
        <v>938.66666666666663</v>
      </c>
      <c r="H766" s="14">
        <v>253.33333333333331</v>
      </c>
      <c r="I766" s="14">
        <v>497.33333333333326</v>
      </c>
      <c r="K766" s="15"/>
    </row>
    <row r="767" spans="1:11" ht="16.5" x14ac:dyDescent="0.2">
      <c r="A767" s="4" t="s">
        <v>257</v>
      </c>
      <c r="B767">
        <v>2012</v>
      </c>
      <c r="C767" s="14">
        <v>2237.3333333333335</v>
      </c>
      <c r="D767" s="14">
        <v>762.66666666666663</v>
      </c>
      <c r="E767" s="14">
        <v>5908.6666666666661</v>
      </c>
      <c r="F767" s="14">
        <v>80</v>
      </c>
      <c r="G767" s="14">
        <v>955.33333333333337</v>
      </c>
      <c r="H767" s="14">
        <v>255.99999999999997</v>
      </c>
      <c r="I767" s="14">
        <v>496.66666666666663</v>
      </c>
    </row>
    <row r="768" spans="1:11" ht="16.5" x14ac:dyDescent="0.2">
      <c r="A768" s="4" t="s">
        <v>257</v>
      </c>
      <c r="B768">
        <v>2013</v>
      </c>
      <c r="C768" s="14">
        <v>2232</v>
      </c>
      <c r="D768" s="14">
        <v>753.33333333333326</v>
      </c>
      <c r="E768" s="14">
        <v>5904</v>
      </c>
      <c r="F768" s="14">
        <v>78.666666666666671</v>
      </c>
      <c r="G768" s="14">
        <v>971.33333333333337</v>
      </c>
      <c r="H768" s="14">
        <v>261.99999999999994</v>
      </c>
      <c r="I768" s="14">
        <v>495.33333333333326</v>
      </c>
      <c r="K768" s="15"/>
    </row>
    <row r="769" spans="1:11" ht="16.5" x14ac:dyDescent="0.2">
      <c r="A769" s="4" t="s">
        <v>257</v>
      </c>
      <c r="B769">
        <v>2014</v>
      </c>
      <c r="C769" s="14">
        <v>2218.6666666666665</v>
      </c>
      <c r="D769" s="14">
        <v>743.33333333333326</v>
      </c>
      <c r="E769" s="14">
        <v>5898.6666666666661</v>
      </c>
      <c r="F769" s="14">
        <v>76.666666666666657</v>
      </c>
      <c r="G769" s="14">
        <v>993.99999999999989</v>
      </c>
      <c r="H769" s="14">
        <v>270</v>
      </c>
      <c r="I769" s="14">
        <v>493.99999999999994</v>
      </c>
    </row>
    <row r="770" spans="1:11" ht="16.5" x14ac:dyDescent="0.2">
      <c r="A770" s="4" t="s">
        <v>257</v>
      </c>
      <c r="B770">
        <v>2015</v>
      </c>
      <c r="C770" s="14">
        <v>2217.3333333333335</v>
      </c>
      <c r="D770" s="14">
        <v>733.99999999999989</v>
      </c>
      <c r="E770" s="14">
        <v>5894</v>
      </c>
      <c r="F770" s="14">
        <v>75.333333333333329</v>
      </c>
      <c r="G770" s="14">
        <v>1008.6666666666665</v>
      </c>
      <c r="H770" s="14">
        <v>274</v>
      </c>
      <c r="I770" s="14">
        <v>492.66666666666669</v>
      </c>
      <c r="K770" s="15"/>
    </row>
    <row r="771" spans="1:11" ht="16.5" x14ac:dyDescent="0.2">
      <c r="A771" s="4" t="s">
        <v>257</v>
      </c>
      <c r="B771">
        <v>2016</v>
      </c>
      <c r="C771" s="14">
        <v>2213.333333333333</v>
      </c>
      <c r="D771" s="14">
        <v>729.33333333333326</v>
      </c>
      <c r="E771" s="14">
        <v>5891.333333333333</v>
      </c>
      <c r="F771" s="14">
        <v>74.666666666666657</v>
      </c>
      <c r="G771" s="14">
        <v>1016.6666666666667</v>
      </c>
      <c r="H771" s="14">
        <v>278</v>
      </c>
      <c r="I771" s="14">
        <v>491.99999999999994</v>
      </c>
    </row>
    <row r="772" spans="1:11" ht="16.5" x14ac:dyDescent="0.2">
      <c r="A772" s="4" t="s">
        <v>256</v>
      </c>
      <c r="B772">
        <v>2009</v>
      </c>
      <c r="C772" s="14">
        <v>1361.333333333333</v>
      </c>
      <c r="D772" s="14">
        <v>902.66666666666663</v>
      </c>
      <c r="E772" s="14">
        <v>5384</v>
      </c>
      <c r="F772" s="14">
        <v>71.333333333333329</v>
      </c>
      <c r="G772" s="14">
        <v>470.66666666666669</v>
      </c>
      <c r="H772" s="14">
        <v>137.99999999999997</v>
      </c>
      <c r="I772" s="14">
        <v>364</v>
      </c>
      <c r="K772" s="15"/>
    </row>
    <row r="773" spans="1:11" ht="16.5" x14ac:dyDescent="0.2">
      <c r="A773" s="4" t="s">
        <v>256</v>
      </c>
      <c r="B773">
        <v>2010</v>
      </c>
      <c r="C773" s="14">
        <v>1369.3333333333333</v>
      </c>
      <c r="D773" s="14">
        <v>886.66666666666663</v>
      </c>
      <c r="E773" s="14">
        <v>5378</v>
      </c>
      <c r="F773" s="14">
        <v>70</v>
      </c>
      <c r="G773" s="14">
        <v>481.99999999999994</v>
      </c>
      <c r="H773" s="14">
        <v>142</v>
      </c>
      <c r="I773" s="14">
        <v>362.66666666666663</v>
      </c>
    </row>
    <row r="774" spans="1:11" ht="16.5" x14ac:dyDescent="0.2">
      <c r="A774" s="4" t="s">
        <v>256</v>
      </c>
      <c r="B774">
        <v>2011</v>
      </c>
      <c r="C774" s="14">
        <v>1375.3333333333333</v>
      </c>
      <c r="D774" s="14">
        <v>877.33333333333326</v>
      </c>
      <c r="E774" s="14">
        <v>5374.6666666666661</v>
      </c>
      <c r="F774" s="14">
        <v>69.333333333333329</v>
      </c>
      <c r="G774" s="14">
        <v>486.66666666666674</v>
      </c>
      <c r="H774" s="14">
        <v>142.66666666666666</v>
      </c>
      <c r="I774" s="14">
        <v>362.66666666666663</v>
      </c>
      <c r="K774" s="15"/>
    </row>
    <row r="775" spans="1:11" ht="16.5" x14ac:dyDescent="0.2">
      <c r="A775" s="4" t="s">
        <v>256</v>
      </c>
      <c r="B775">
        <v>2012</v>
      </c>
      <c r="C775" s="14">
        <v>1379.3333333333333</v>
      </c>
      <c r="D775" s="14">
        <v>867.33333333333326</v>
      </c>
      <c r="E775" s="14">
        <v>5368.6666666666661</v>
      </c>
      <c r="F775" s="14">
        <v>68.666666666666671</v>
      </c>
      <c r="G775" s="14">
        <v>496</v>
      </c>
      <c r="H775" s="14">
        <v>145.99999999999997</v>
      </c>
      <c r="I775" s="14">
        <v>361.99999999999994</v>
      </c>
    </row>
    <row r="776" spans="1:11" ht="16.5" x14ac:dyDescent="0.2">
      <c r="A776" s="4" t="s">
        <v>256</v>
      </c>
      <c r="B776">
        <v>2013</v>
      </c>
      <c r="C776" s="14">
        <v>1382.6666666666665</v>
      </c>
      <c r="D776" s="14">
        <v>854.66666666666652</v>
      </c>
      <c r="E776" s="14">
        <v>5361.9999999999991</v>
      </c>
      <c r="F776" s="14">
        <v>67.999999999999986</v>
      </c>
      <c r="G776" s="14">
        <v>509.33333333333326</v>
      </c>
      <c r="H776" s="14">
        <v>148.66666666666666</v>
      </c>
      <c r="I776" s="14">
        <v>361.33333333333331</v>
      </c>
      <c r="K776" s="15"/>
    </row>
    <row r="777" spans="1:11" ht="16.5" x14ac:dyDescent="0.2">
      <c r="A777" s="4" t="s">
        <v>256</v>
      </c>
      <c r="B777">
        <v>2014</v>
      </c>
      <c r="C777" s="14">
        <v>1387.3333333333333</v>
      </c>
      <c r="D777" s="14">
        <v>842.66666666666663</v>
      </c>
      <c r="E777" s="14">
        <v>5354</v>
      </c>
      <c r="F777" s="14">
        <v>66</v>
      </c>
      <c r="G777" s="14">
        <v>524.66666666666652</v>
      </c>
      <c r="H777" s="14">
        <v>151.33333333333331</v>
      </c>
      <c r="I777" s="14">
        <v>360.66666666666663</v>
      </c>
    </row>
    <row r="778" spans="1:11" ht="16.5" x14ac:dyDescent="0.2">
      <c r="A778" s="4" t="s">
        <v>256</v>
      </c>
      <c r="B778">
        <v>2015</v>
      </c>
      <c r="C778" s="14">
        <v>1395.3333333333333</v>
      </c>
      <c r="D778" s="14">
        <v>833.99999999999989</v>
      </c>
      <c r="E778" s="14">
        <v>5347.333333333333</v>
      </c>
      <c r="F778" s="14">
        <v>65.333333333333329</v>
      </c>
      <c r="G778" s="14">
        <v>531.99999999999989</v>
      </c>
      <c r="H778" s="14">
        <v>152</v>
      </c>
      <c r="I778" s="14">
        <v>360.66666666666663</v>
      </c>
      <c r="K778" s="15"/>
    </row>
    <row r="779" spans="1:11" ht="16.5" x14ac:dyDescent="0.2">
      <c r="A779" s="4" t="s">
        <v>256</v>
      </c>
      <c r="B779">
        <v>2016</v>
      </c>
      <c r="C779" s="14">
        <v>1398.6666666666665</v>
      </c>
      <c r="D779" s="14">
        <v>827.33333333333326</v>
      </c>
      <c r="E779" s="14">
        <v>5343.333333333333</v>
      </c>
      <c r="F779" s="14">
        <v>64.666666666666657</v>
      </c>
      <c r="G779" s="14">
        <v>536.66666666666663</v>
      </c>
      <c r="H779" s="14">
        <v>154.66666666666666</v>
      </c>
      <c r="I779" s="14">
        <v>359.99999999999994</v>
      </c>
    </row>
    <row r="780" spans="1:11" ht="16.5" x14ac:dyDescent="0.2">
      <c r="A780" s="4" t="s">
        <v>255</v>
      </c>
      <c r="B780">
        <v>2009</v>
      </c>
      <c r="C780" s="14">
        <v>241.99999999999997</v>
      </c>
      <c r="D780" s="14">
        <v>23.333333333333332</v>
      </c>
      <c r="E780" s="14">
        <v>520</v>
      </c>
      <c r="F780" s="14">
        <v>70</v>
      </c>
      <c r="G780" s="14">
        <v>227.33333333333331</v>
      </c>
      <c r="H780" s="14">
        <v>49.333333333333329</v>
      </c>
      <c r="I780" s="14">
        <v>243.33333333333331</v>
      </c>
      <c r="K780" s="15"/>
    </row>
    <row r="781" spans="1:11" ht="16.5" x14ac:dyDescent="0.2">
      <c r="A781" s="4" t="s">
        <v>255</v>
      </c>
      <c r="B781">
        <v>2010</v>
      </c>
      <c r="C781" s="14">
        <v>242.66666666666663</v>
      </c>
      <c r="D781" s="14">
        <v>22.666666666666664</v>
      </c>
      <c r="E781" s="14">
        <v>518</v>
      </c>
      <c r="F781" s="14">
        <v>69.333333333333329</v>
      </c>
      <c r="G781" s="14">
        <v>231.33333333333334</v>
      </c>
      <c r="H781" s="14">
        <v>50.666666666666657</v>
      </c>
      <c r="I781" s="14">
        <v>239.33333333333331</v>
      </c>
    </row>
    <row r="782" spans="1:11" ht="16.5" x14ac:dyDescent="0.2">
      <c r="A782" s="4" t="s">
        <v>255</v>
      </c>
      <c r="B782">
        <v>2011</v>
      </c>
      <c r="C782" s="14">
        <v>240.66666666666666</v>
      </c>
      <c r="D782" s="14">
        <v>21.999999999999996</v>
      </c>
      <c r="E782" s="14">
        <v>516</v>
      </c>
      <c r="F782" s="14">
        <v>69.333333333333329</v>
      </c>
      <c r="G782" s="14">
        <v>238.66666666666669</v>
      </c>
      <c r="H782" s="14">
        <v>52.666666666666664</v>
      </c>
      <c r="I782" s="14">
        <v>235.99999999999997</v>
      </c>
      <c r="K782" s="15"/>
    </row>
    <row r="783" spans="1:11" ht="16.5" x14ac:dyDescent="0.2">
      <c r="A783" s="4" t="s">
        <v>255</v>
      </c>
      <c r="B783">
        <v>2012</v>
      </c>
      <c r="C783" s="14">
        <v>238.66666666666663</v>
      </c>
      <c r="D783" s="14">
        <v>21.999999999999996</v>
      </c>
      <c r="E783" s="14">
        <v>514.66666666666663</v>
      </c>
      <c r="F783" s="14">
        <v>68.666666666666671</v>
      </c>
      <c r="G783" s="14">
        <v>244.66666666666663</v>
      </c>
      <c r="H783" s="14">
        <v>53.333333333333329</v>
      </c>
      <c r="I783" s="14">
        <v>234</v>
      </c>
    </row>
    <row r="784" spans="1:11" ht="16.5" x14ac:dyDescent="0.2">
      <c r="A784" s="4" t="s">
        <v>255</v>
      </c>
      <c r="B784">
        <v>2013</v>
      </c>
      <c r="C784" s="14">
        <v>237.33333333333331</v>
      </c>
      <c r="D784" s="14">
        <v>21.999999999999996</v>
      </c>
      <c r="E784" s="14">
        <v>511.99999999999994</v>
      </c>
      <c r="F784" s="14">
        <v>68.666666666666671</v>
      </c>
      <c r="G784" s="14">
        <v>250.66666666666666</v>
      </c>
      <c r="H784" s="14">
        <v>54.666666666666657</v>
      </c>
      <c r="I784" s="14">
        <v>230.66666666666666</v>
      </c>
      <c r="K784" s="15"/>
    </row>
    <row r="785" spans="1:11" ht="16.5" x14ac:dyDescent="0.2">
      <c r="A785" s="4" t="s">
        <v>255</v>
      </c>
      <c r="B785">
        <v>2014</v>
      </c>
      <c r="C785" s="14">
        <v>234.66666666666666</v>
      </c>
      <c r="D785" s="14">
        <v>21.333333333333332</v>
      </c>
      <c r="E785" s="14">
        <v>510.66666666666657</v>
      </c>
      <c r="F785" s="14">
        <v>68.666666666666671</v>
      </c>
      <c r="G785" s="14">
        <v>258</v>
      </c>
      <c r="H785" s="14">
        <v>55.333333333333336</v>
      </c>
      <c r="I785" s="14">
        <v>228</v>
      </c>
    </row>
    <row r="786" spans="1:11" ht="16.5" x14ac:dyDescent="0.2">
      <c r="A786" s="4" t="s">
        <v>255</v>
      </c>
      <c r="B786">
        <v>2015</v>
      </c>
      <c r="C786" s="14">
        <v>234</v>
      </c>
      <c r="D786" s="14">
        <v>21.333333333333332</v>
      </c>
      <c r="E786" s="14">
        <v>509.99999999999994</v>
      </c>
      <c r="F786" s="14">
        <v>67.999999999999986</v>
      </c>
      <c r="G786" s="14">
        <v>260.66666666666663</v>
      </c>
      <c r="H786" s="14">
        <v>56</v>
      </c>
      <c r="I786" s="14">
        <v>228</v>
      </c>
      <c r="K786" s="15"/>
    </row>
    <row r="787" spans="1:11" ht="16.5" x14ac:dyDescent="0.2">
      <c r="A787" s="4" t="s">
        <v>255</v>
      </c>
      <c r="B787">
        <v>2016</v>
      </c>
      <c r="C787" s="14">
        <v>231.33333333333334</v>
      </c>
      <c r="D787" s="14">
        <v>21.333333333333332</v>
      </c>
      <c r="E787" s="14">
        <v>507.33333333333326</v>
      </c>
      <c r="F787" s="14">
        <v>67.999999999999986</v>
      </c>
      <c r="G787" s="14">
        <v>267.99999999999994</v>
      </c>
      <c r="H787" s="14">
        <v>56.666666666666664</v>
      </c>
      <c r="I787" s="14">
        <v>225.99999999999997</v>
      </c>
    </row>
    <row r="788" spans="1:11" ht="16.5" x14ac:dyDescent="0.2">
      <c r="A788" s="4" t="s">
        <v>254</v>
      </c>
      <c r="B788">
        <v>2009</v>
      </c>
      <c r="C788" s="14">
        <v>1926.6666666666665</v>
      </c>
      <c r="D788" s="14">
        <v>624.66666666666663</v>
      </c>
      <c r="E788" s="14">
        <v>5068.6666666666661</v>
      </c>
      <c r="F788" s="14">
        <v>82</v>
      </c>
      <c r="G788" s="14">
        <v>849.99999999999989</v>
      </c>
      <c r="H788" s="14">
        <v>185.99999999999997</v>
      </c>
      <c r="I788" s="14">
        <v>1093.3333333333333</v>
      </c>
      <c r="K788" s="15"/>
    </row>
    <row r="789" spans="1:11" ht="16.5" x14ac:dyDescent="0.2">
      <c r="A789" s="4" t="s">
        <v>254</v>
      </c>
      <c r="B789">
        <v>2010</v>
      </c>
      <c r="C789" s="14">
        <v>1922</v>
      </c>
      <c r="D789" s="14">
        <v>618.66666666666663</v>
      </c>
      <c r="E789" s="14">
        <v>5062.6666666666661</v>
      </c>
      <c r="F789" s="14">
        <v>81.333333333333314</v>
      </c>
      <c r="G789" s="14">
        <v>865.33333333333314</v>
      </c>
      <c r="H789" s="14">
        <v>194</v>
      </c>
      <c r="I789" s="14">
        <v>1086.6666666666665</v>
      </c>
    </row>
    <row r="790" spans="1:11" ht="16.5" x14ac:dyDescent="0.2">
      <c r="A790" s="4" t="s">
        <v>254</v>
      </c>
      <c r="B790">
        <v>2011</v>
      </c>
      <c r="C790" s="14">
        <v>1922</v>
      </c>
      <c r="D790" s="14">
        <v>611.99999999999989</v>
      </c>
      <c r="E790" s="14">
        <v>5058.6666666666661</v>
      </c>
      <c r="F790" s="14">
        <v>80.666666666666657</v>
      </c>
      <c r="G790" s="14">
        <v>875.33333333333314</v>
      </c>
      <c r="H790" s="14">
        <v>199.99999999999997</v>
      </c>
      <c r="I790" s="14">
        <v>1081.3333333333333</v>
      </c>
      <c r="K790" s="15"/>
    </row>
    <row r="791" spans="1:11" ht="16.5" x14ac:dyDescent="0.2">
      <c r="A791" s="4" t="s">
        <v>254</v>
      </c>
      <c r="B791">
        <v>2012</v>
      </c>
      <c r="C791" s="14">
        <v>1923.3333333333333</v>
      </c>
      <c r="D791" s="14">
        <v>607.33333333333326</v>
      </c>
      <c r="E791" s="14">
        <v>5054</v>
      </c>
      <c r="F791" s="14">
        <v>80</v>
      </c>
      <c r="G791" s="14">
        <v>891.33333333333314</v>
      </c>
      <c r="H791" s="14">
        <v>203.33333333333331</v>
      </c>
      <c r="I791" s="14">
        <v>1068.6666666666667</v>
      </c>
    </row>
    <row r="792" spans="1:11" ht="16.5" x14ac:dyDescent="0.2">
      <c r="A792" s="4" t="s">
        <v>254</v>
      </c>
      <c r="B792">
        <v>2013</v>
      </c>
      <c r="C792" s="14">
        <v>1925.3333333333333</v>
      </c>
      <c r="D792" s="14">
        <v>600.66666666666663</v>
      </c>
      <c r="E792" s="14">
        <v>5046.6666666666661</v>
      </c>
      <c r="F792" s="14">
        <v>80</v>
      </c>
      <c r="G792" s="14">
        <v>906.66666666666663</v>
      </c>
      <c r="H792" s="14">
        <v>206.66666666666666</v>
      </c>
      <c r="I792" s="14">
        <v>1062.6666666666665</v>
      </c>
      <c r="K792" s="15"/>
    </row>
    <row r="793" spans="1:11" ht="16.5" x14ac:dyDescent="0.2">
      <c r="A793" s="4" t="s">
        <v>254</v>
      </c>
      <c r="B793">
        <v>2014</v>
      </c>
      <c r="C793" s="14">
        <v>1923.3333333333333</v>
      </c>
      <c r="D793" s="14">
        <v>595.33333333333326</v>
      </c>
      <c r="E793" s="14">
        <v>5041.9999999999991</v>
      </c>
      <c r="F793" s="14">
        <v>79.333333333333329</v>
      </c>
      <c r="G793" s="14">
        <v>924.66666666666674</v>
      </c>
      <c r="H793" s="14">
        <v>213.33333333333331</v>
      </c>
      <c r="I793" s="14">
        <v>1049.3333333333333</v>
      </c>
    </row>
    <row r="794" spans="1:11" ht="16.5" x14ac:dyDescent="0.2">
      <c r="A794" s="4" t="s">
        <v>254</v>
      </c>
      <c r="B794">
        <v>2015</v>
      </c>
      <c r="C794" s="14">
        <v>1925.3333333333333</v>
      </c>
      <c r="D794" s="14">
        <v>589.33333333333337</v>
      </c>
      <c r="E794" s="14">
        <v>5035.333333333333</v>
      </c>
      <c r="F794" s="14">
        <v>79.333333333333329</v>
      </c>
      <c r="G794" s="14">
        <v>937.33333333333337</v>
      </c>
      <c r="H794" s="14">
        <v>218.66666666666663</v>
      </c>
      <c r="I794" s="14">
        <v>1047.3333333333333</v>
      </c>
      <c r="K794" s="15"/>
    </row>
    <row r="795" spans="1:11" ht="16.5" x14ac:dyDescent="0.2">
      <c r="A795" s="4" t="s">
        <v>254</v>
      </c>
      <c r="B795">
        <v>2016</v>
      </c>
      <c r="C795" s="14">
        <v>1923.3333333333333</v>
      </c>
      <c r="D795" s="14">
        <v>580</v>
      </c>
      <c r="E795" s="14">
        <v>5031.333333333333</v>
      </c>
      <c r="F795" s="14">
        <v>78.666666666666671</v>
      </c>
      <c r="G795" s="14">
        <v>952.66666666666663</v>
      </c>
      <c r="H795" s="14">
        <v>226.66666666666666</v>
      </c>
      <c r="I795" s="14">
        <v>1039.3333333333333</v>
      </c>
    </row>
    <row r="796" spans="1:11" ht="16.5" x14ac:dyDescent="0.2">
      <c r="A796" s="4" t="s">
        <v>253</v>
      </c>
      <c r="B796">
        <v>2009</v>
      </c>
      <c r="C796" s="14">
        <v>1640.6666666666665</v>
      </c>
      <c r="D796" s="14">
        <v>576</v>
      </c>
      <c r="E796" s="14">
        <v>13650.666666666664</v>
      </c>
      <c r="F796" s="14">
        <v>166.66666666666666</v>
      </c>
      <c r="G796" s="14">
        <v>340.66666666666663</v>
      </c>
      <c r="H796" s="14">
        <v>130.66666666666666</v>
      </c>
      <c r="I796" s="14">
        <v>421.99999999999994</v>
      </c>
      <c r="K796" s="15"/>
    </row>
    <row r="797" spans="1:11" ht="16.5" x14ac:dyDescent="0.2">
      <c r="A797" s="4" t="s">
        <v>253</v>
      </c>
      <c r="B797">
        <v>2010</v>
      </c>
      <c r="C797" s="14">
        <v>1653.3333333333333</v>
      </c>
      <c r="D797" s="14">
        <v>567.33333333333326</v>
      </c>
      <c r="E797" s="14">
        <v>13634.666666666666</v>
      </c>
      <c r="F797" s="14">
        <v>162.66666666666663</v>
      </c>
      <c r="G797" s="14">
        <v>347.99999999999994</v>
      </c>
      <c r="H797" s="14">
        <v>137.99999999999997</v>
      </c>
      <c r="I797" s="14">
        <v>421.33333333333331</v>
      </c>
    </row>
    <row r="798" spans="1:11" ht="16.5" x14ac:dyDescent="0.2">
      <c r="A798" s="4" t="s">
        <v>253</v>
      </c>
      <c r="B798">
        <v>2011</v>
      </c>
      <c r="C798" s="14">
        <v>1663.3333333333333</v>
      </c>
      <c r="D798" s="14">
        <v>561.99999999999989</v>
      </c>
      <c r="E798" s="14">
        <v>13613.999999999998</v>
      </c>
      <c r="F798" s="14">
        <v>160.66666666666666</v>
      </c>
      <c r="G798" s="14">
        <v>358</v>
      </c>
      <c r="H798" s="14">
        <v>143.33333333333331</v>
      </c>
      <c r="I798" s="14">
        <v>421.33333333333331</v>
      </c>
      <c r="K798" s="15"/>
    </row>
    <row r="799" spans="1:11" ht="16.5" x14ac:dyDescent="0.2">
      <c r="A799" s="4" t="s">
        <v>253</v>
      </c>
      <c r="B799">
        <v>2012</v>
      </c>
      <c r="C799" s="14">
        <v>1680.6666666666665</v>
      </c>
      <c r="D799" s="14">
        <v>555.33333333333326</v>
      </c>
      <c r="E799" s="14">
        <v>13590.666666666664</v>
      </c>
      <c r="F799" s="14">
        <v>159.33333333333331</v>
      </c>
      <c r="G799" s="14">
        <v>368.66666666666669</v>
      </c>
      <c r="H799" s="14">
        <v>144</v>
      </c>
      <c r="I799" s="14">
        <v>420.66666666666663</v>
      </c>
    </row>
    <row r="800" spans="1:11" ht="16.5" x14ac:dyDescent="0.2">
      <c r="A800" s="4" t="s">
        <v>253</v>
      </c>
      <c r="B800">
        <v>2013</v>
      </c>
      <c r="C800" s="14">
        <v>1689.9999999999998</v>
      </c>
      <c r="D800" s="14">
        <v>546.66666666666663</v>
      </c>
      <c r="E800" s="14">
        <v>13569.999999999998</v>
      </c>
      <c r="F800" s="14">
        <v>158.66666666666666</v>
      </c>
      <c r="G800" s="14">
        <v>386.66666666666669</v>
      </c>
      <c r="H800" s="14">
        <v>145.99999999999997</v>
      </c>
      <c r="I800" s="14">
        <v>419.99999999999994</v>
      </c>
      <c r="K800" s="15"/>
    </row>
    <row r="801" spans="1:11" ht="16.5" x14ac:dyDescent="0.2">
      <c r="A801" s="4" t="s">
        <v>253</v>
      </c>
      <c r="B801">
        <v>2014</v>
      </c>
      <c r="C801" s="14">
        <v>1703.9999999999998</v>
      </c>
      <c r="D801" s="14">
        <v>541.33333333333326</v>
      </c>
      <c r="E801" s="14">
        <v>13546.666666666666</v>
      </c>
      <c r="F801" s="14">
        <v>157.99999999999997</v>
      </c>
      <c r="G801" s="14">
        <v>399.99999999999994</v>
      </c>
      <c r="H801" s="14">
        <v>147.33333333333334</v>
      </c>
      <c r="I801" s="14">
        <v>419.99999999999994</v>
      </c>
    </row>
    <row r="802" spans="1:11" ht="16.5" x14ac:dyDescent="0.2">
      <c r="A802" s="4" t="s">
        <v>253</v>
      </c>
      <c r="B802">
        <v>2015</v>
      </c>
      <c r="C802" s="14">
        <v>1724</v>
      </c>
      <c r="D802" s="14">
        <v>537.33333333333326</v>
      </c>
      <c r="E802" s="14">
        <v>13525.333333333332</v>
      </c>
      <c r="F802" s="14">
        <v>156.66666666666666</v>
      </c>
      <c r="G802" s="14">
        <v>404</v>
      </c>
      <c r="H802" s="14">
        <v>147.99999999999997</v>
      </c>
      <c r="I802" s="14">
        <v>419.33333333333331</v>
      </c>
      <c r="K802" s="15"/>
    </row>
    <row r="803" spans="1:11" ht="16.5" x14ac:dyDescent="0.2">
      <c r="A803" s="4" t="s">
        <v>253</v>
      </c>
      <c r="B803">
        <v>2016</v>
      </c>
      <c r="C803" s="14">
        <v>1726.6666666666665</v>
      </c>
      <c r="D803" s="14">
        <v>534.66666666666663</v>
      </c>
      <c r="E803" s="14">
        <v>13518</v>
      </c>
      <c r="F803" s="14">
        <v>155.99999999999997</v>
      </c>
      <c r="G803" s="14">
        <v>411.33333333333331</v>
      </c>
      <c r="H803" s="14">
        <v>149.33333333333331</v>
      </c>
      <c r="I803" s="14">
        <v>418.66666666666663</v>
      </c>
    </row>
    <row r="804" spans="1:11" ht="16.5" x14ac:dyDescent="0.2">
      <c r="A804" s="4" t="s">
        <v>252</v>
      </c>
      <c r="B804">
        <v>2009</v>
      </c>
      <c r="C804" s="14">
        <v>3720.6666666666665</v>
      </c>
      <c r="D804" s="14">
        <v>25.333333333333329</v>
      </c>
      <c r="E804" s="14">
        <v>493.99999999999994</v>
      </c>
      <c r="F804" s="14">
        <v>8.6666666666666661</v>
      </c>
      <c r="G804" s="14">
        <v>1121.9999999999998</v>
      </c>
      <c r="H804" s="14">
        <v>198.66666666666666</v>
      </c>
      <c r="I804" s="14">
        <v>1319.9999999999998</v>
      </c>
      <c r="K804" s="15"/>
    </row>
    <row r="805" spans="1:11" ht="16.5" x14ac:dyDescent="0.2">
      <c r="A805" s="4" t="s">
        <v>252</v>
      </c>
      <c r="B805">
        <v>2010</v>
      </c>
      <c r="C805" s="14">
        <v>3703.333333333333</v>
      </c>
      <c r="D805" s="14">
        <v>25.333333333333329</v>
      </c>
      <c r="E805" s="14">
        <v>492.66666666666669</v>
      </c>
      <c r="F805" s="14">
        <v>8.6666666666666661</v>
      </c>
      <c r="G805" s="14">
        <v>1137.3333333333333</v>
      </c>
      <c r="H805" s="14">
        <v>205.33333333333331</v>
      </c>
      <c r="I805" s="14">
        <v>1315.3333333333333</v>
      </c>
    </row>
    <row r="806" spans="1:11" ht="16.5" x14ac:dyDescent="0.2">
      <c r="A806" s="4" t="s">
        <v>252</v>
      </c>
      <c r="B806">
        <v>2011</v>
      </c>
      <c r="C806" s="14">
        <v>3693.333333333333</v>
      </c>
      <c r="D806" s="14">
        <v>24.666666666666664</v>
      </c>
      <c r="E806" s="14">
        <v>491.33333333333331</v>
      </c>
      <c r="F806" s="14">
        <v>7.333333333333333</v>
      </c>
      <c r="G806" s="14">
        <v>1150.6666666666665</v>
      </c>
      <c r="H806" s="14">
        <v>209.33333333333331</v>
      </c>
      <c r="I806" s="14">
        <v>1311.333333333333</v>
      </c>
      <c r="K806" s="15"/>
    </row>
    <row r="807" spans="1:11" ht="16.5" x14ac:dyDescent="0.2">
      <c r="A807" s="4" t="s">
        <v>252</v>
      </c>
      <c r="B807">
        <v>2012</v>
      </c>
      <c r="C807" s="14">
        <v>3680.6666666666665</v>
      </c>
      <c r="D807" s="14">
        <v>24.666666666666664</v>
      </c>
      <c r="E807" s="14">
        <v>489.33333333333331</v>
      </c>
      <c r="F807" s="14">
        <v>7.333333333333333</v>
      </c>
      <c r="G807" s="14">
        <v>1166.6666666666665</v>
      </c>
      <c r="H807" s="14">
        <v>214.66666666666666</v>
      </c>
      <c r="I807" s="14">
        <v>1303.3333333333333</v>
      </c>
    </row>
    <row r="808" spans="1:11" ht="16.5" x14ac:dyDescent="0.2">
      <c r="A808" s="4" t="s">
        <v>252</v>
      </c>
      <c r="B808">
        <v>2013</v>
      </c>
      <c r="C808" s="14">
        <v>3684.6666666666665</v>
      </c>
      <c r="D808" s="14">
        <v>24.666666666666664</v>
      </c>
      <c r="E808" s="14">
        <v>488.66666666666663</v>
      </c>
      <c r="F808" s="14">
        <v>6.6666666666666661</v>
      </c>
      <c r="G808" s="14">
        <v>1170</v>
      </c>
      <c r="H808" s="14">
        <v>218</v>
      </c>
      <c r="I808" s="14">
        <v>1293.3333333333333</v>
      </c>
      <c r="K808" s="15"/>
    </row>
    <row r="809" spans="1:11" ht="16.5" x14ac:dyDescent="0.2">
      <c r="A809" s="4" t="s">
        <v>252</v>
      </c>
      <c r="B809">
        <v>2014</v>
      </c>
      <c r="C809" s="14">
        <v>5599.333333333333</v>
      </c>
      <c r="D809" s="14">
        <v>56</v>
      </c>
      <c r="E809" s="14">
        <v>1079.3333333333333</v>
      </c>
      <c r="F809" s="14">
        <v>65.333333333333329</v>
      </c>
      <c r="G809" s="14">
        <v>1705.9999999999998</v>
      </c>
      <c r="H809" s="14">
        <v>317.33333333333331</v>
      </c>
      <c r="I809" s="14">
        <v>2352</v>
      </c>
    </row>
    <row r="810" spans="1:11" ht="16.5" x14ac:dyDescent="0.2">
      <c r="A810" s="4" t="s">
        <v>252</v>
      </c>
      <c r="B810">
        <v>2015</v>
      </c>
      <c r="C810" s="14">
        <v>5597.333333333333</v>
      </c>
      <c r="D810" s="14">
        <v>55.333333333333336</v>
      </c>
      <c r="E810" s="14">
        <v>1076</v>
      </c>
      <c r="F810" s="14">
        <v>64.666666666666657</v>
      </c>
      <c r="G810" s="14">
        <v>1716.6666666666665</v>
      </c>
      <c r="H810" s="14">
        <v>321.99999999999994</v>
      </c>
      <c r="I810" s="14">
        <v>2343.333333333333</v>
      </c>
      <c r="K810" s="15"/>
    </row>
    <row r="811" spans="1:11" ht="16.5" x14ac:dyDescent="0.2">
      <c r="A811" s="4" t="s">
        <v>252</v>
      </c>
      <c r="B811">
        <v>2016</v>
      </c>
      <c r="C811" s="14">
        <v>5579.9999999999991</v>
      </c>
      <c r="D811" s="14">
        <v>55.333333333333336</v>
      </c>
      <c r="E811" s="14">
        <v>1072</v>
      </c>
      <c r="F811" s="14">
        <v>63.999999999999993</v>
      </c>
      <c r="G811" s="14">
        <v>1733.9999999999995</v>
      </c>
      <c r="H811" s="14">
        <v>335.33333333333326</v>
      </c>
      <c r="I811" s="14">
        <v>2335.333333333333</v>
      </c>
    </row>
    <row r="812" spans="1:11" ht="16.5" x14ac:dyDescent="0.2">
      <c r="A812" s="4" t="s">
        <v>251</v>
      </c>
      <c r="B812">
        <v>2009</v>
      </c>
      <c r="C812" s="14">
        <v>1279.3333333333333</v>
      </c>
      <c r="D812" s="14">
        <v>29.999999999999996</v>
      </c>
      <c r="E812" s="14">
        <v>723.99999999999989</v>
      </c>
      <c r="F812" s="14">
        <v>25.999999999999996</v>
      </c>
      <c r="G812" s="14">
        <v>548.66666666666674</v>
      </c>
      <c r="H812" s="14">
        <v>79.333333333333329</v>
      </c>
      <c r="I812" s="14">
        <v>611.99999999999989</v>
      </c>
      <c r="K812" s="15"/>
    </row>
    <row r="813" spans="1:11" ht="16.5" x14ac:dyDescent="0.2">
      <c r="A813" s="4" t="s">
        <v>251</v>
      </c>
      <c r="B813">
        <v>2010</v>
      </c>
      <c r="C813" s="14">
        <v>1268.6666666666667</v>
      </c>
      <c r="D813" s="14">
        <v>29.333333333333332</v>
      </c>
      <c r="E813" s="14">
        <v>722.66666666666663</v>
      </c>
      <c r="F813" s="14">
        <v>25.333333333333329</v>
      </c>
      <c r="G813" s="14">
        <v>561.33333333333326</v>
      </c>
      <c r="H813" s="14">
        <v>84.666666666666657</v>
      </c>
      <c r="I813" s="14">
        <v>607.33333333333326</v>
      </c>
    </row>
    <row r="814" spans="1:11" ht="16.5" x14ac:dyDescent="0.2">
      <c r="A814" s="4" t="s">
        <v>251</v>
      </c>
      <c r="B814">
        <v>2011</v>
      </c>
      <c r="C814" s="14">
        <v>1401.333333333333</v>
      </c>
      <c r="D814" s="14">
        <v>29.333333333333332</v>
      </c>
      <c r="E814" s="14">
        <v>721.33333333333326</v>
      </c>
      <c r="F814" s="14">
        <v>26.666666666666664</v>
      </c>
      <c r="G814" s="14">
        <v>599.33333333333326</v>
      </c>
      <c r="H814" s="14">
        <v>96.666666666666657</v>
      </c>
      <c r="I814" s="14">
        <v>648.66666666666663</v>
      </c>
      <c r="K814" s="15"/>
    </row>
    <row r="815" spans="1:11" ht="16.5" x14ac:dyDescent="0.2">
      <c r="A815" s="4" t="s">
        <v>251</v>
      </c>
      <c r="B815">
        <v>2012</v>
      </c>
      <c r="C815" s="14">
        <v>1396</v>
      </c>
      <c r="D815" s="14">
        <v>29.333333333333332</v>
      </c>
      <c r="E815" s="14">
        <v>718.66666666666663</v>
      </c>
      <c r="F815" s="14">
        <v>25.999999999999996</v>
      </c>
      <c r="G815" s="14">
        <v>611.33333333333326</v>
      </c>
      <c r="H815" s="14">
        <v>99.999999999999986</v>
      </c>
      <c r="I815" s="14">
        <v>643.99999999999989</v>
      </c>
    </row>
    <row r="816" spans="1:11" ht="16.5" x14ac:dyDescent="0.2">
      <c r="A816" s="4" t="s">
        <v>251</v>
      </c>
      <c r="B816">
        <v>2013</v>
      </c>
      <c r="C816" s="14">
        <v>1506</v>
      </c>
      <c r="D816" s="14">
        <v>29.333333333333332</v>
      </c>
      <c r="E816" s="14">
        <v>719.33333333333326</v>
      </c>
      <c r="F816" s="14">
        <v>25.333333333333329</v>
      </c>
      <c r="G816" s="14">
        <v>647.33333333333326</v>
      </c>
      <c r="H816" s="14">
        <v>109.99999999999999</v>
      </c>
      <c r="I816" s="14">
        <v>714.66666666666663</v>
      </c>
      <c r="K816" s="15"/>
    </row>
    <row r="817" spans="1:11" ht="16.5" x14ac:dyDescent="0.2">
      <c r="A817" s="4" t="s">
        <v>251</v>
      </c>
      <c r="B817">
        <v>2014</v>
      </c>
      <c r="C817" s="14">
        <v>2677.333333333333</v>
      </c>
      <c r="D817" s="14">
        <v>36.666666666666664</v>
      </c>
      <c r="E817" s="14">
        <v>950.66666666666652</v>
      </c>
      <c r="F817" s="14">
        <v>75.333333333333329</v>
      </c>
      <c r="G817" s="14">
        <v>893.99999999999989</v>
      </c>
      <c r="H817" s="14">
        <v>150</v>
      </c>
      <c r="I817" s="14">
        <v>1155.3333333333333</v>
      </c>
    </row>
    <row r="818" spans="1:11" ht="16.5" x14ac:dyDescent="0.2">
      <c r="A818" s="4" t="s">
        <v>251</v>
      </c>
      <c r="B818">
        <v>2015</v>
      </c>
      <c r="C818" s="14">
        <v>2677.9999999999995</v>
      </c>
      <c r="D818" s="14">
        <v>36.666666666666664</v>
      </c>
      <c r="E818" s="14">
        <v>948.66666666666663</v>
      </c>
      <c r="F818" s="14">
        <v>73.999999999999986</v>
      </c>
      <c r="G818" s="14">
        <v>899.99999999999989</v>
      </c>
      <c r="H818" s="14">
        <v>154.66666666666666</v>
      </c>
      <c r="I818" s="14">
        <v>1147.9999999999998</v>
      </c>
      <c r="K818" s="15"/>
    </row>
    <row r="819" spans="1:11" ht="16.5" x14ac:dyDescent="0.2">
      <c r="A819" s="4" t="s">
        <v>251</v>
      </c>
      <c r="B819">
        <v>2016</v>
      </c>
      <c r="C819" s="14">
        <v>2676.6666666666665</v>
      </c>
      <c r="D819" s="14">
        <v>36</v>
      </c>
      <c r="E819" s="14">
        <v>945.33333333333337</v>
      </c>
      <c r="F819" s="14">
        <v>72.666666666666657</v>
      </c>
      <c r="G819" s="14">
        <v>911.33333333333314</v>
      </c>
      <c r="H819" s="14">
        <v>155.99999999999997</v>
      </c>
      <c r="I819" s="14">
        <v>1140.6666666666665</v>
      </c>
    </row>
    <row r="820" spans="1:11" ht="16.5" x14ac:dyDescent="0.2">
      <c r="A820" s="4" t="s">
        <v>250</v>
      </c>
      <c r="B820">
        <v>2009</v>
      </c>
      <c r="C820" s="14">
        <v>3791.9999999999995</v>
      </c>
      <c r="D820" s="14">
        <v>13.333333333333332</v>
      </c>
      <c r="E820" s="14">
        <v>182</v>
      </c>
      <c r="F820" s="14">
        <v>1.9999999999999998</v>
      </c>
      <c r="G820" s="14">
        <v>748</v>
      </c>
      <c r="H820" s="14">
        <v>187.33333333333331</v>
      </c>
      <c r="I820" s="14">
        <v>981.33333333333314</v>
      </c>
      <c r="K820" s="15"/>
    </row>
    <row r="821" spans="1:11" ht="16.5" x14ac:dyDescent="0.2">
      <c r="A821" s="4" t="s">
        <v>250</v>
      </c>
      <c r="B821">
        <v>2010</v>
      </c>
      <c r="C821" s="14">
        <v>3784</v>
      </c>
      <c r="D821" s="14">
        <v>13.333333333333332</v>
      </c>
      <c r="E821" s="14">
        <v>181.33333333333331</v>
      </c>
      <c r="F821" s="14">
        <v>1.9999999999999998</v>
      </c>
      <c r="G821" s="14">
        <v>755.33333333333326</v>
      </c>
      <c r="H821" s="14">
        <v>187.99999999999997</v>
      </c>
      <c r="I821" s="14">
        <v>981.33333333333314</v>
      </c>
    </row>
    <row r="822" spans="1:11" ht="16.5" x14ac:dyDescent="0.2">
      <c r="A822" s="4" t="s">
        <v>250</v>
      </c>
      <c r="B822">
        <v>2011</v>
      </c>
      <c r="C822" s="14">
        <v>3777.333333333333</v>
      </c>
      <c r="D822" s="14">
        <v>12.666666666666664</v>
      </c>
      <c r="E822" s="14">
        <v>179.99999999999997</v>
      </c>
      <c r="F822" s="14">
        <v>1.9999999999999998</v>
      </c>
      <c r="G822" s="14">
        <v>768</v>
      </c>
      <c r="H822" s="14">
        <v>189.33333333333331</v>
      </c>
      <c r="I822" s="14">
        <v>976</v>
      </c>
      <c r="K822" s="15"/>
    </row>
    <row r="823" spans="1:11" ht="16.5" x14ac:dyDescent="0.2">
      <c r="A823" s="4" t="s">
        <v>250</v>
      </c>
      <c r="B823">
        <v>2012</v>
      </c>
      <c r="C823" s="14">
        <v>3777.333333333333</v>
      </c>
      <c r="D823" s="14">
        <v>12.666666666666664</v>
      </c>
      <c r="E823" s="14">
        <v>176.66666666666666</v>
      </c>
      <c r="F823" s="14">
        <v>1.9999999999999998</v>
      </c>
      <c r="G823" s="14">
        <v>773.99999999999989</v>
      </c>
      <c r="H823" s="14">
        <v>192.66666666666663</v>
      </c>
      <c r="I823" s="14">
        <v>969.99999999999989</v>
      </c>
    </row>
    <row r="824" spans="1:11" ht="16.5" x14ac:dyDescent="0.2">
      <c r="A824" s="4" t="s">
        <v>250</v>
      </c>
      <c r="B824">
        <v>2013</v>
      </c>
      <c r="C824" s="14">
        <v>3781.3333333333335</v>
      </c>
      <c r="D824" s="14">
        <v>12.666666666666664</v>
      </c>
      <c r="E824" s="14">
        <v>173.33333333333331</v>
      </c>
      <c r="F824" s="14">
        <v>1.9999999999999998</v>
      </c>
      <c r="G824" s="14">
        <v>776</v>
      </c>
      <c r="H824" s="14">
        <v>194</v>
      </c>
      <c r="I824" s="14">
        <v>966</v>
      </c>
      <c r="K824" s="15"/>
    </row>
    <row r="825" spans="1:11" ht="16.5" x14ac:dyDescent="0.2">
      <c r="A825" s="4" t="s">
        <v>250</v>
      </c>
      <c r="B825">
        <v>2014</v>
      </c>
      <c r="C825" s="14">
        <v>3771.9999999999995</v>
      </c>
      <c r="D825" s="14">
        <v>12</v>
      </c>
      <c r="E825" s="14">
        <v>170.66666666666666</v>
      </c>
      <c r="F825" s="14">
        <v>1.9999999999999998</v>
      </c>
      <c r="G825" s="14">
        <v>787.99999999999989</v>
      </c>
      <c r="H825" s="14">
        <v>196.66666666666666</v>
      </c>
      <c r="I825" s="14">
        <v>962.66666666666663</v>
      </c>
    </row>
    <row r="826" spans="1:11" ht="16.5" x14ac:dyDescent="0.2">
      <c r="A826" s="4" t="s">
        <v>250</v>
      </c>
      <c r="B826">
        <v>2015</v>
      </c>
      <c r="C826" s="14">
        <v>3769.333333333333</v>
      </c>
      <c r="D826" s="14">
        <v>12</v>
      </c>
      <c r="E826" s="14">
        <v>168.66666666666666</v>
      </c>
      <c r="F826" s="14">
        <v>1.9999999999999998</v>
      </c>
      <c r="G826" s="14">
        <v>796.66666666666663</v>
      </c>
      <c r="H826" s="14">
        <v>198.66666666666666</v>
      </c>
      <c r="I826" s="14">
        <v>957.33333333333326</v>
      </c>
      <c r="K826" s="15"/>
    </row>
    <row r="827" spans="1:11" ht="16.5" x14ac:dyDescent="0.2">
      <c r="A827" s="4" t="s">
        <v>250</v>
      </c>
      <c r="B827">
        <v>2016</v>
      </c>
      <c r="C827" s="14">
        <v>3771.9999999999995</v>
      </c>
      <c r="D827" s="14">
        <v>12</v>
      </c>
      <c r="E827" s="14">
        <v>165.99999999999997</v>
      </c>
      <c r="F827" s="14">
        <v>1.9999999999999998</v>
      </c>
      <c r="G827" s="14">
        <v>795.33333333333326</v>
      </c>
      <c r="H827" s="14">
        <v>200.66666666666666</v>
      </c>
      <c r="I827" s="14">
        <v>956</v>
      </c>
    </row>
    <row r="828" spans="1:11" ht="16.5" x14ac:dyDescent="0.2">
      <c r="A828" s="4" t="s">
        <v>249</v>
      </c>
      <c r="B828">
        <v>2009</v>
      </c>
      <c r="C828" s="14">
        <v>1463.3333333333333</v>
      </c>
      <c r="D828" s="14">
        <v>18.666666666666664</v>
      </c>
      <c r="E828" s="14">
        <v>60.666666666666657</v>
      </c>
      <c r="F828" s="14">
        <v>6</v>
      </c>
      <c r="G828" s="14">
        <v>377.33333333333326</v>
      </c>
      <c r="H828" s="14">
        <v>89.999999999999986</v>
      </c>
      <c r="I828" s="14">
        <v>539.33333333333337</v>
      </c>
      <c r="K828" s="15"/>
    </row>
    <row r="829" spans="1:11" ht="16.5" x14ac:dyDescent="0.2">
      <c r="A829" s="4" t="s">
        <v>249</v>
      </c>
      <c r="B829">
        <v>2010</v>
      </c>
      <c r="C829" s="14">
        <v>1449.3333333333333</v>
      </c>
      <c r="D829" s="14">
        <v>20</v>
      </c>
      <c r="E829" s="14">
        <v>59.333333333333329</v>
      </c>
      <c r="F829" s="14">
        <v>6</v>
      </c>
      <c r="G829" s="14">
        <v>397.99999999999994</v>
      </c>
      <c r="H829" s="14">
        <v>88.666666666666657</v>
      </c>
      <c r="I829" s="14">
        <v>533.99999999999989</v>
      </c>
    </row>
    <row r="830" spans="1:11" ht="16.5" x14ac:dyDescent="0.2">
      <c r="A830" s="4" t="s">
        <v>249</v>
      </c>
      <c r="B830">
        <v>2011</v>
      </c>
      <c r="C830" s="14">
        <v>1445.3333333333333</v>
      </c>
      <c r="D830" s="14">
        <v>20</v>
      </c>
      <c r="E830" s="14">
        <v>58.666666666666664</v>
      </c>
      <c r="F830" s="14">
        <v>6</v>
      </c>
      <c r="G830" s="14">
        <v>408</v>
      </c>
      <c r="H830" s="14">
        <v>89.333333333333329</v>
      </c>
      <c r="I830" s="14">
        <v>528</v>
      </c>
      <c r="K830" s="15"/>
    </row>
    <row r="831" spans="1:11" ht="16.5" x14ac:dyDescent="0.2">
      <c r="A831" s="4" t="s">
        <v>249</v>
      </c>
      <c r="B831">
        <v>2012</v>
      </c>
      <c r="C831" s="14">
        <v>1444.6666666666665</v>
      </c>
      <c r="D831" s="14">
        <v>20</v>
      </c>
      <c r="E831" s="14">
        <v>57.999999999999993</v>
      </c>
      <c r="F831" s="14">
        <v>5.333333333333333</v>
      </c>
      <c r="G831" s="14">
        <v>417.99999999999994</v>
      </c>
      <c r="H831" s="14">
        <v>90.666666666666657</v>
      </c>
      <c r="I831" s="14">
        <v>518</v>
      </c>
    </row>
    <row r="832" spans="1:11" ht="16.5" x14ac:dyDescent="0.2">
      <c r="A832" s="4" t="s">
        <v>249</v>
      </c>
      <c r="B832">
        <v>2013</v>
      </c>
      <c r="C832" s="14">
        <v>1445.3333333333333</v>
      </c>
      <c r="D832" s="14">
        <v>19.333333333333332</v>
      </c>
      <c r="E832" s="14">
        <v>57.333333333333329</v>
      </c>
      <c r="F832" s="14">
        <v>5.333333333333333</v>
      </c>
      <c r="G832" s="14">
        <v>422.66666666666663</v>
      </c>
      <c r="H832" s="14">
        <v>91.333333333333314</v>
      </c>
      <c r="I832" s="14">
        <v>513.33333333333326</v>
      </c>
      <c r="K832" s="15"/>
    </row>
    <row r="833" spans="1:11" ht="16.5" x14ac:dyDescent="0.2">
      <c r="A833" s="4" t="s">
        <v>249</v>
      </c>
      <c r="B833">
        <v>2014</v>
      </c>
      <c r="C833" s="14">
        <v>1443.3333333333333</v>
      </c>
      <c r="D833" s="14">
        <v>19.333333333333332</v>
      </c>
      <c r="E833" s="14">
        <v>56.666666666666664</v>
      </c>
      <c r="F833" s="14">
        <v>5.333333333333333</v>
      </c>
      <c r="G833" s="14">
        <v>424</v>
      </c>
      <c r="H833" s="14">
        <v>95.333333333333329</v>
      </c>
      <c r="I833" s="14">
        <v>511.33333333333331</v>
      </c>
    </row>
    <row r="834" spans="1:11" ht="16.5" x14ac:dyDescent="0.2">
      <c r="A834" s="4" t="s">
        <v>249</v>
      </c>
      <c r="B834">
        <v>2015</v>
      </c>
      <c r="C834" s="14">
        <v>1442.6666666666665</v>
      </c>
      <c r="D834" s="14">
        <v>19.333333333333332</v>
      </c>
      <c r="E834" s="14">
        <v>56.666666666666664</v>
      </c>
      <c r="F834" s="14">
        <v>5.333333333333333</v>
      </c>
      <c r="G834" s="14">
        <v>425.99999999999994</v>
      </c>
      <c r="H834" s="14">
        <v>95.333333333333329</v>
      </c>
      <c r="I834" s="14">
        <v>509.33333333333331</v>
      </c>
      <c r="K834" s="15"/>
    </row>
    <row r="835" spans="1:11" ht="16.5" x14ac:dyDescent="0.2">
      <c r="A835" s="4" t="s">
        <v>249</v>
      </c>
      <c r="B835">
        <v>2016</v>
      </c>
      <c r="C835" s="14">
        <v>3403.333333333333</v>
      </c>
      <c r="D835" s="14">
        <v>21.999999999999996</v>
      </c>
      <c r="E835" s="14">
        <v>70.666666666666657</v>
      </c>
      <c r="F835" s="14">
        <v>5.333333333333333</v>
      </c>
      <c r="G835" s="14">
        <v>719.99999999999989</v>
      </c>
      <c r="H835" s="14">
        <v>165.99999999999997</v>
      </c>
      <c r="I835" s="14">
        <v>1106.6666666666665</v>
      </c>
    </row>
    <row r="836" spans="1:11" ht="16.5" x14ac:dyDescent="0.2">
      <c r="A836" s="4" t="s">
        <v>248</v>
      </c>
      <c r="B836">
        <v>2009</v>
      </c>
      <c r="C836" s="14">
        <v>662.66666666666663</v>
      </c>
      <c r="D836" s="14">
        <v>4.6666666666666661</v>
      </c>
      <c r="E836" s="14">
        <v>145.99999999999997</v>
      </c>
      <c r="F836" s="14">
        <v>5.333333333333333</v>
      </c>
      <c r="G836" s="14">
        <v>281.33333333333326</v>
      </c>
      <c r="H836" s="14">
        <v>28.666666666666664</v>
      </c>
      <c r="I836" s="14">
        <v>561.99999999999989</v>
      </c>
      <c r="K836" s="15"/>
    </row>
    <row r="837" spans="1:11" ht="16.5" x14ac:dyDescent="0.2">
      <c r="A837" s="4" t="s">
        <v>248</v>
      </c>
      <c r="B837">
        <v>2010</v>
      </c>
      <c r="C837" s="14">
        <v>659.99999999999989</v>
      </c>
      <c r="D837" s="14">
        <v>4.6666666666666661</v>
      </c>
      <c r="E837" s="14">
        <v>145.33333333333331</v>
      </c>
      <c r="F837" s="14">
        <v>5.333333333333333</v>
      </c>
      <c r="G837" s="14">
        <v>285.33333333333331</v>
      </c>
      <c r="H837" s="14">
        <v>30.666666666666661</v>
      </c>
      <c r="I837" s="14">
        <v>560</v>
      </c>
    </row>
    <row r="838" spans="1:11" ht="16.5" x14ac:dyDescent="0.2">
      <c r="A838" s="4" t="s">
        <v>248</v>
      </c>
      <c r="B838">
        <v>2011</v>
      </c>
      <c r="C838" s="14">
        <v>655.33333333333326</v>
      </c>
      <c r="D838" s="14">
        <v>4.6666666666666661</v>
      </c>
      <c r="E838" s="14">
        <v>144.66666666666666</v>
      </c>
      <c r="F838" s="14">
        <v>5.333333333333333</v>
      </c>
      <c r="G838" s="14">
        <v>294.66666666666669</v>
      </c>
      <c r="H838" s="14">
        <v>33.333333333333329</v>
      </c>
      <c r="I838" s="14">
        <v>553.99999999999989</v>
      </c>
      <c r="K838" s="15"/>
    </row>
    <row r="839" spans="1:11" ht="16.5" x14ac:dyDescent="0.2">
      <c r="A839" s="4" t="s">
        <v>248</v>
      </c>
      <c r="B839">
        <v>2012</v>
      </c>
      <c r="C839" s="14">
        <v>652.66666666666663</v>
      </c>
      <c r="D839" s="14">
        <v>4.6666666666666661</v>
      </c>
      <c r="E839" s="14">
        <v>144</v>
      </c>
      <c r="F839" s="14">
        <v>4.6666666666666661</v>
      </c>
      <c r="G839" s="14">
        <v>302.66666666666663</v>
      </c>
      <c r="H839" s="14">
        <v>34.666666666666664</v>
      </c>
      <c r="I839" s="14">
        <v>548</v>
      </c>
    </row>
    <row r="840" spans="1:11" ht="16.5" x14ac:dyDescent="0.2">
      <c r="A840" s="4" t="s">
        <v>248</v>
      </c>
      <c r="B840">
        <v>2013</v>
      </c>
      <c r="C840" s="14">
        <v>651.33333333333326</v>
      </c>
      <c r="D840" s="14">
        <v>3.9999999999999996</v>
      </c>
      <c r="E840" s="14">
        <v>144</v>
      </c>
      <c r="F840" s="14">
        <v>4.6666666666666661</v>
      </c>
      <c r="G840" s="14">
        <v>306.66666666666663</v>
      </c>
      <c r="H840" s="14">
        <v>35.333333333333329</v>
      </c>
      <c r="I840" s="14">
        <v>543.99999999999989</v>
      </c>
      <c r="K840" s="15"/>
    </row>
    <row r="841" spans="1:11" ht="16.5" x14ac:dyDescent="0.2">
      <c r="A841" s="4" t="s">
        <v>248</v>
      </c>
      <c r="B841">
        <v>2014</v>
      </c>
      <c r="C841" s="14">
        <v>1749.333333333333</v>
      </c>
      <c r="D841" s="14">
        <v>11.333333333333332</v>
      </c>
      <c r="E841" s="14">
        <v>590</v>
      </c>
      <c r="F841" s="14">
        <v>31.333333333333332</v>
      </c>
      <c r="G841" s="14">
        <v>553.33333333333326</v>
      </c>
      <c r="H841" s="14">
        <v>84.666666666666657</v>
      </c>
      <c r="I841" s="14">
        <v>971.33333333333314</v>
      </c>
    </row>
    <row r="842" spans="1:11" ht="16.5" x14ac:dyDescent="0.2">
      <c r="A842" s="4" t="s">
        <v>248</v>
      </c>
      <c r="B842">
        <v>2015</v>
      </c>
      <c r="C842" s="14">
        <v>1749.333333333333</v>
      </c>
      <c r="D842" s="14">
        <v>11.333333333333332</v>
      </c>
      <c r="E842" s="14">
        <v>590</v>
      </c>
      <c r="F842" s="14">
        <v>30.666666666666661</v>
      </c>
      <c r="G842" s="14">
        <v>556</v>
      </c>
      <c r="H842" s="14">
        <v>86</v>
      </c>
      <c r="I842" s="14">
        <v>966.66666666666663</v>
      </c>
      <c r="K842" s="15"/>
    </row>
    <row r="843" spans="1:11" ht="16.5" x14ac:dyDescent="0.2">
      <c r="A843" s="4" t="s">
        <v>248</v>
      </c>
      <c r="B843">
        <v>2016</v>
      </c>
      <c r="C843" s="14">
        <v>1744.6666666666665</v>
      </c>
      <c r="D843" s="14">
        <v>11.333333333333332</v>
      </c>
      <c r="E843" s="14">
        <v>588.66666666666663</v>
      </c>
      <c r="F843" s="14">
        <v>29.999999999999996</v>
      </c>
      <c r="G843" s="14">
        <v>566</v>
      </c>
      <c r="H843" s="14">
        <v>87.999999999999986</v>
      </c>
      <c r="I843" s="14">
        <v>962</v>
      </c>
    </row>
    <row r="844" spans="1:11" ht="16.5" x14ac:dyDescent="0.2">
      <c r="A844" s="4" t="s">
        <v>247</v>
      </c>
      <c r="B844">
        <v>2009</v>
      </c>
      <c r="C844" s="14">
        <v>1703.3333333333333</v>
      </c>
      <c r="D844" s="14">
        <v>30.666666666666661</v>
      </c>
      <c r="E844" s="14">
        <v>84.666666666666657</v>
      </c>
      <c r="F844" s="14">
        <v>4.6666666666666661</v>
      </c>
      <c r="G844" s="14">
        <v>475.99999999999989</v>
      </c>
      <c r="H844" s="14">
        <v>104.66666666666666</v>
      </c>
      <c r="I844" s="14">
        <v>274</v>
      </c>
      <c r="K844" s="15"/>
    </row>
    <row r="845" spans="1:11" ht="16.5" x14ac:dyDescent="0.2">
      <c r="A845" s="4" t="s">
        <v>247</v>
      </c>
      <c r="B845">
        <v>2010</v>
      </c>
      <c r="C845" s="14">
        <v>1693.9999999999998</v>
      </c>
      <c r="D845" s="14">
        <v>29.333333333333332</v>
      </c>
      <c r="E845" s="14">
        <v>83.999999999999986</v>
      </c>
      <c r="F845" s="14">
        <v>4.6666666666666661</v>
      </c>
      <c r="G845" s="14">
        <v>485.99999999999989</v>
      </c>
      <c r="H845" s="14">
        <v>107.33333333333333</v>
      </c>
      <c r="I845" s="14">
        <v>273.33333333333331</v>
      </c>
    </row>
    <row r="846" spans="1:11" ht="16.5" x14ac:dyDescent="0.2">
      <c r="A846" s="4" t="s">
        <v>247</v>
      </c>
      <c r="B846">
        <v>2011</v>
      </c>
      <c r="C846" s="14">
        <v>1689.3333333333333</v>
      </c>
      <c r="D846" s="14">
        <v>28.666666666666664</v>
      </c>
      <c r="E846" s="14">
        <v>83.333333333333329</v>
      </c>
      <c r="F846" s="14">
        <v>4.6666666666666661</v>
      </c>
      <c r="G846" s="14">
        <v>489.99999999999994</v>
      </c>
      <c r="H846" s="14">
        <v>109.99999999999999</v>
      </c>
      <c r="I846" s="14">
        <v>271.99999999999994</v>
      </c>
      <c r="K846" s="15"/>
    </row>
    <row r="847" spans="1:11" ht="16.5" x14ac:dyDescent="0.2">
      <c r="A847" s="4" t="s">
        <v>247</v>
      </c>
      <c r="B847">
        <v>2012</v>
      </c>
      <c r="C847" s="14">
        <v>1686</v>
      </c>
      <c r="D847" s="14">
        <v>28.666666666666664</v>
      </c>
      <c r="E847" s="14">
        <v>82</v>
      </c>
      <c r="F847" s="14">
        <v>5.333333333333333</v>
      </c>
      <c r="G847" s="14">
        <v>492.66666666666657</v>
      </c>
      <c r="H847" s="14">
        <v>112.66666666666664</v>
      </c>
      <c r="I847" s="14">
        <v>269.33333333333331</v>
      </c>
    </row>
    <row r="848" spans="1:11" ht="16.5" x14ac:dyDescent="0.2">
      <c r="A848" s="4" t="s">
        <v>247</v>
      </c>
      <c r="B848">
        <v>2013</v>
      </c>
      <c r="C848" s="14">
        <v>1685.3333333333333</v>
      </c>
      <c r="D848" s="14">
        <v>28</v>
      </c>
      <c r="E848" s="14">
        <v>82</v>
      </c>
      <c r="F848" s="14">
        <v>6</v>
      </c>
      <c r="G848" s="14">
        <v>493.33333333333331</v>
      </c>
      <c r="H848" s="14">
        <v>112.66666666666664</v>
      </c>
      <c r="I848" s="14">
        <v>268.66666666666663</v>
      </c>
      <c r="K848" s="15"/>
    </row>
    <row r="849" spans="1:11" ht="16.5" x14ac:dyDescent="0.2">
      <c r="A849" s="4" t="s">
        <v>247</v>
      </c>
      <c r="B849">
        <v>2014</v>
      </c>
      <c r="C849" s="14">
        <v>1680.6666666666665</v>
      </c>
      <c r="D849" s="14">
        <v>28</v>
      </c>
      <c r="E849" s="14">
        <v>80.666666666666657</v>
      </c>
      <c r="F849" s="14">
        <v>6</v>
      </c>
      <c r="G849" s="14">
        <v>500.66666666666657</v>
      </c>
      <c r="H849" s="14">
        <v>113.33333333333333</v>
      </c>
      <c r="I849" s="14">
        <v>265.99999999999994</v>
      </c>
    </row>
    <row r="850" spans="1:11" ht="16.5" x14ac:dyDescent="0.2">
      <c r="A850" s="4" t="s">
        <v>247</v>
      </c>
      <c r="B850">
        <v>2015</v>
      </c>
      <c r="C850" s="14">
        <v>1679.9999999999998</v>
      </c>
      <c r="D850" s="14">
        <v>28</v>
      </c>
      <c r="E850" s="14">
        <v>80.666666666666657</v>
      </c>
      <c r="F850" s="14">
        <v>6</v>
      </c>
      <c r="G850" s="14">
        <v>501.33333333333331</v>
      </c>
      <c r="H850" s="14">
        <v>115.33333333333333</v>
      </c>
      <c r="I850" s="14">
        <v>264</v>
      </c>
      <c r="K850" s="15"/>
    </row>
    <row r="851" spans="1:11" ht="16.5" x14ac:dyDescent="0.2">
      <c r="A851" s="4" t="s">
        <v>247</v>
      </c>
      <c r="B851">
        <v>2016</v>
      </c>
      <c r="C851" s="14">
        <v>1676</v>
      </c>
      <c r="D851" s="14">
        <v>28</v>
      </c>
      <c r="E851" s="14">
        <v>80</v>
      </c>
      <c r="F851" s="14">
        <v>6</v>
      </c>
      <c r="G851" s="14">
        <v>505.33333333333337</v>
      </c>
      <c r="H851" s="14">
        <v>117.33333333333333</v>
      </c>
      <c r="I851" s="14">
        <v>263.33333333333331</v>
      </c>
    </row>
    <row r="852" spans="1:11" ht="16.5" x14ac:dyDescent="0.2">
      <c r="A852" s="4" t="s">
        <v>246</v>
      </c>
      <c r="B852">
        <v>2009</v>
      </c>
      <c r="C852" s="14">
        <v>270</v>
      </c>
      <c r="D852" s="14">
        <v>3.333333333333333</v>
      </c>
      <c r="E852" s="14">
        <v>315.99999999999994</v>
      </c>
      <c r="F852" s="14">
        <v>10</v>
      </c>
      <c r="G852" s="14">
        <v>199.33333333333334</v>
      </c>
      <c r="H852" s="14">
        <v>22.666666666666664</v>
      </c>
      <c r="I852" s="14">
        <v>224.66666666666666</v>
      </c>
      <c r="K852" s="15"/>
    </row>
    <row r="853" spans="1:11" ht="16.5" x14ac:dyDescent="0.2">
      <c r="A853" s="4" t="s">
        <v>246</v>
      </c>
      <c r="B853">
        <v>2010</v>
      </c>
      <c r="C853" s="14">
        <v>266.66666666666663</v>
      </c>
      <c r="D853" s="14">
        <v>3.333333333333333</v>
      </c>
      <c r="E853" s="14">
        <v>315.99999999999994</v>
      </c>
      <c r="F853" s="14">
        <v>10.666666666666666</v>
      </c>
      <c r="G853" s="14">
        <v>202</v>
      </c>
      <c r="H853" s="14">
        <v>23.333333333333332</v>
      </c>
      <c r="I853" s="14">
        <v>224</v>
      </c>
    </row>
    <row r="854" spans="1:11" ht="16.5" x14ac:dyDescent="0.2">
      <c r="A854" s="4" t="s">
        <v>246</v>
      </c>
      <c r="B854">
        <v>2011</v>
      </c>
      <c r="C854" s="14">
        <v>264.66666666666669</v>
      </c>
      <c r="D854" s="14">
        <v>3.333333333333333</v>
      </c>
      <c r="E854" s="14">
        <v>314.66666666666669</v>
      </c>
      <c r="F854" s="14">
        <v>10.666666666666666</v>
      </c>
      <c r="G854" s="14">
        <v>205.33333333333329</v>
      </c>
      <c r="H854" s="14">
        <v>24.666666666666664</v>
      </c>
      <c r="I854" s="14">
        <v>224</v>
      </c>
      <c r="K854" s="15"/>
    </row>
    <row r="855" spans="1:11" ht="16.5" x14ac:dyDescent="0.2">
      <c r="A855" s="4" t="s">
        <v>246</v>
      </c>
      <c r="B855">
        <v>2012</v>
      </c>
      <c r="C855" s="14">
        <v>261.99999999999994</v>
      </c>
      <c r="D855" s="14">
        <v>3.333333333333333</v>
      </c>
      <c r="E855" s="14">
        <v>314</v>
      </c>
      <c r="F855" s="14">
        <v>10</v>
      </c>
      <c r="G855" s="14">
        <v>208.66666666666663</v>
      </c>
      <c r="H855" s="14">
        <v>25.333333333333329</v>
      </c>
      <c r="I855" s="14">
        <v>223.33333333333331</v>
      </c>
    </row>
    <row r="856" spans="1:11" ht="16.5" x14ac:dyDescent="0.2">
      <c r="A856" s="4" t="s">
        <v>246</v>
      </c>
      <c r="B856">
        <v>2013</v>
      </c>
      <c r="C856" s="14">
        <v>259.33333333333331</v>
      </c>
      <c r="D856" s="14">
        <v>3.333333333333333</v>
      </c>
      <c r="E856" s="14">
        <v>312.66666666666663</v>
      </c>
      <c r="F856" s="14">
        <v>10</v>
      </c>
      <c r="G856" s="14">
        <v>211.99999999999997</v>
      </c>
      <c r="H856" s="14">
        <v>27.333333333333329</v>
      </c>
      <c r="I856" s="14">
        <v>222.66666666666663</v>
      </c>
      <c r="K856" s="15"/>
    </row>
    <row r="857" spans="1:11" ht="16.5" x14ac:dyDescent="0.2">
      <c r="A857" s="4" t="s">
        <v>246</v>
      </c>
      <c r="B857">
        <v>2014</v>
      </c>
      <c r="C857" s="14">
        <v>258.66666666666663</v>
      </c>
      <c r="D857" s="14">
        <v>3.333333333333333</v>
      </c>
      <c r="E857" s="14">
        <v>311.33333333333331</v>
      </c>
      <c r="F857" s="14">
        <v>10</v>
      </c>
      <c r="G857" s="14">
        <v>214</v>
      </c>
      <c r="H857" s="14">
        <v>28.666666666666664</v>
      </c>
      <c r="I857" s="14">
        <v>221.33333333333334</v>
      </c>
    </row>
    <row r="858" spans="1:11" ht="16.5" x14ac:dyDescent="0.2">
      <c r="A858" s="4" t="s">
        <v>246</v>
      </c>
      <c r="B858">
        <v>2015</v>
      </c>
      <c r="C858" s="14">
        <v>258</v>
      </c>
      <c r="D858" s="14">
        <v>3.333333333333333</v>
      </c>
      <c r="E858" s="14">
        <v>310.66666666666663</v>
      </c>
      <c r="F858" s="14">
        <v>10</v>
      </c>
      <c r="G858" s="14">
        <v>214.66666666666666</v>
      </c>
      <c r="H858" s="14">
        <v>29.999999999999996</v>
      </c>
      <c r="I858" s="14">
        <v>219.99999999999997</v>
      </c>
      <c r="K858" s="15"/>
    </row>
    <row r="859" spans="1:11" ht="16.5" x14ac:dyDescent="0.2">
      <c r="A859" s="4" t="s">
        <v>246</v>
      </c>
      <c r="B859">
        <v>2016</v>
      </c>
      <c r="C859" s="14">
        <v>939.99999999999989</v>
      </c>
      <c r="D859" s="14">
        <v>7.333333333333333</v>
      </c>
      <c r="E859" s="14">
        <v>688</v>
      </c>
      <c r="F859" s="14">
        <v>26.666666666666664</v>
      </c>
      <c r="G859" s="14">
        <v>455.33333333333326</v>
      </c>
      <c r="H859" s="14">
        <v>59.999999999999993</v>
      </c>
      <c r="I859" s="14">
        <v>699.99999999999989</v>
      </c>
    </row>
    <row r="860" spans="1:11" ht="16.5" x14ac:dyDescent="0.2">
      <c r="A860" s="4" t="s">
        <v>245</v>
      </c>
      <c r="B860">
        <v>2009</v>
      </c>
      <c r="C860" s="14">
        <v>4480.6666666666661</v>
      </c>
      <c r="D860" s="14">
        <v>325.33333333333326</v>
      </c>
      <c r="E860" s="14">
        <v>5801.333333333333</v>
      </c>
      <c r="F860" s="14">
        <v>97.333333333333329</v>
      </c>
      <c r="G860" s="14">
        <v>1443.3333333333333</v>
      </c>
      <c r="H860" s="14">
        <v>192.66666666666663</v>
      </c>
      <c r="I860" s="14">
        <v>2816.6666666666665</v>
      </c>
      <c r="K860" s="15"/>
    </row>
    <row r="861" spans="1:11" ht="16.5" x14ac:dyDescent="0.2">
      <c r="A861" s="4" t="s">
        <v>245</v>
      </c>
      <c r="B861">
        <v>2010</v>
      </c>
      <c r="C861" s="14">
        <v>4478</v>
      </c>
      <c r="D861" s="14">
        <v>324</v>
      </c>
      <c r="E861" s="14">
        <v>5792.6666666666661</v>
      </c>
      <c r="F861" s="14">
        <v>97.333333333333329</v>
      </c>
      <c r="G861" s="14">
        <v>1460.6666666666665</v>
      </c>
      <c r="H861" s="14">
        <v>194</v>
      </c>
      <c r="I861" s="14">
        <v>2808.6666666666665</v>
      </c>
    </row>
    <row r="862" spans="1:11" ht="16.5" x14ac:dyDescent="0.2">
      <c r="A862" s="4" t="s">
        <v>245</v>
      </c>
      <c r="B862">
        <v>2011</v>
      </c>
      <c r="C862" s="14">
        <v>4479.333333333333</v>
      </c>
      <c r="D862" s="14">
        <v>324.66666666666663</v>
      </c>
      <c r="E862" s="14">
        <v>5779.333333333333</v>
      </c>
      <c r="F862" s="14">
        <v>96.666666666666657</v>
      </c>
      <c r="G862" s="14">
        <v>1473.3333333333333</v>
      </c>
      <c r="H862" s="14">
        <v>198.66666666666666</v>
      </c>
      <c r="I862" s="14">
        <v>2802.6666666666661</v>
      </c>
      <c r="K862" s="15"/>
    </row>
    <row r="863" spans="1:11" ht="16.5" x14ac:dyDescent="0.2">
      <c r="A863" s="4" t="s">
        <v>245</v>
      </c>
      <c r="B863">
        <v>2012</v>
      </c>
      <c r="C863" s="14">
        <v>4474</v>
      </c>
      <c r="D863" s="14">
        <v>324</v>
      </c>
      <c r="E863" s="14">
        <v>5772.6666666666661</v>
      </c>
      <c r="F863" s="14">
        <v>96</v>
      </c>
      <c r="G863" s="14">
        <v>1487.9999999999998</v>
      </c>
      <c r="H863" s="14">
        <v>202.66666666666663</v>
      </c>
      <c r="I863" s="14">
        <v>2797.333333333333</v>
      </c>
    </row>
    <row r="864" spans="1:11" ht="16.5" x14ac:dyDescent="0.2">
      <c r="A864" s="4" t="s">
        <v>245</v>
      </c>
      <c r="B864">
        <v>2013</v>
      </c>
      <c r="C864" s="14">
        <v>4472.6666666666661</v>
      </c>
      <c r="D864" s="14">
        <v>322.66666666666663</v>
      </c>
      <c r="E864" s="14">
        <v>5769.9999999999991</v>
      </c>
      <c r="F864" s="14">
        <v>95.333333333333329</v>
      </c>
      <c r="G864" s="14">
        <v>1494</v>
      </c>
      <c r="H864" s="14">
        <v>204.66666666666666</v>
      </c>
      <c r="I864" s="14">
        <v>2794.6666666666665</v>
      </c>
      <c r="K864" s="15"/>
    </row>
    <row r="865" spans="1:11" ht="16.5" x14ac:dyDescent="0.2">
      <c r="A865" s="4" t="s">
        <v>245</v>
      </c>
      <c r="B865">
        <v>2014</v>
      </c>
      <c r="C865" s="14">
        <v>4475.333333333333</v>
      </c>
      <c r="D865" s="14">
        <v>322.66666666666663</v>
      </c>
      <c r="E865" s="14">
        <v>5762.6666666666661</v>
      </c>
      <c r="F865" s="14">
        <v>93.999999999999986</v>
      </c>
      <c r="G865" s="14">
        <v>1503.3333333333333</v>
      </c>
      <c r="H865" s="14">
        <v>206.66666666666666</v>
      </c>
      <c r="I865" s="14">
        <v>2788.6666666666665</v>
      </c>
    </row>
    <row r="866" spans="1:11" ht="16.5" x14ac:dyDescent="0.2">
      <c r="A866" s="4" t="s">
        <v>245</v>
      </c>
      <c r="B866">
        <v>2015</v>
      </c>
      <c r="C866" s="14">
        <v>4474</v>
      </c>
      <c r="D866" s="14">
        <v>322.66666666666663</v>
      </c>
      <c r="E866" s="14">
        <v>5756.6666666666661</v>
      </c>
      <c r="F866" s="14">
        <v>93.333333333333329</v>
      </c>
      <c r="G866" s="14">
        <v>1512</v>
      </c>
      <c r="H866" s="14">
        <v>210.66666666666666</v>
      </c>
      <c r="I866" s="14">
        <v>2783.333333333333</v>
      </c>
      <c r="K866" s="15"/>
    </row>
    <row r="867" spans="1:11" ht="16.5" x14ac:dyDescent="0.2">
      <c r="A867" s="4" t="s">
        <v>245</v>
      </c>
      <c r="B867">
        <v>2016</v>
      </c>
      <c r="C867" s="14">
        <v>3786.6666666666665</v>
      </c>
      <c r="D867" s="14">
        <v>318.66666666666663</v>
      </c>
      <c r="E867" s="14">
        <v>5372.6666666666661</v>
      </c>
      <c r="F867" s="14">
        <v>76.666666666666657</v>
      </c>
      <c r="G867" s="14">
        <v>1280.6666666666665</v>
      </c>
      <c r="H867" s="14">
        <v>187.99999999999997</v>
      </c>
      <c r="I867" s="14">
        <v>2297.9999999999995</v>
      </c>
    </row>
    <row r="868" spans="1:11" ht="16.5" x14ac:dyDescent="0.2">
      <c r="A868" s="4" t="s">
        <v>244</v>
      </c>
      <c r="B868">
        <v>2009</v>
      </c>
      <c r="C868" s="14">
        <v>696.66666666666663</v>
      </c>
      <c r="D868" s="14">
        <v>816.66666666666663</v>
      </c>
      <c r="E868" s="14">
        <v>7400.6666666666652</v>
      </c>
      <c r="F868" s="14">
        <v>30.666666666666661</v>
      </c>
      <c r="G868" s="14">
        <v>281.33333333333331</v>
      </c>
      <c r="H868" s="14">
        <v>83.999999999999986</v>
      </c>
      <c r="I868" s="14">
        <v>290.66666666666663</v>
      </c>
      <c r="K868" s="15"/>
    </row>
    <row r="869" spans="1:11" ht="16.5" x14ac:dyDescent="0.2">
      <c r="A869" s="4" t="s">
        <v>244</v>
      </c>
      <c r="B869">
        <v>2010</v>
      </c>
      <c r="C869" s="14">
        <v>697.33333333333326</v>
      </c>
      <c r="D869" s="14">
        <v>810.66666666666652</v>
      </c>
      <c r="E869" s="14">
        <v>7398.6666666666661</v>
      </c>
      <c r="F869" s="14">
        <v>28.666666666666664</v>
      </c>
      <c r="G869" s="14">
        <v>288.66666666666669</v>
      </c>
      <c r="H869" s="14">
        <v>86.666666666666657</v>
      </c>
      <c r="I869" s="14">
        <v>289.33333333333331</v>
      </c>
    </row>
    <row r="870" spans="1:11" ht="16.5" x14ac:dyDescent="0.2">
      <c r="A870" s="4" t="s">
        <v>244</v>
      </c>
      <c r="B870">
        <v>2011</v>
      </c>
      <c r="C870" s="14">
        <v>692.66666666666663</v>
      </c>
      <c r="D870" s="14">
        <v>808.66666666666663</v>
      </c>
      <c r="E870" s="14">
        <v>7396</v>
      </c>
      <c r="F870" s="14">
        <v>27.333333333333329</v>
      </c>
      <c r="G870" s="14">
        <v>299.33333333333331</v>
      </c>
      <c r="H870" s="14">
        <v>87.333333333333329</v>
      </c>
      <c r="I870" s="14">
        <v>288</v>
      </c>
      <c r="K870" s="15"/>
    </row>
    <row r="871" spans="1:11" ht="16.5" x14ac:dyDescent="0.2">
      <c r="A871" s="4" t="s">
        <v>244</v>
      </c>
      <c r="B871">
        <v>2012</v>
      </c>
      <c r="C871" s="14">
        <v>691.33333333333326</v>
      </c>
      <c r="D871" s="14">
        <v>808</v>
      </c>
      <c r="E871" s="14">
        <v>7393.333333333333</v>
      </c>
      <c r="F871" s="14">
        <v>25.999999999999996</v>
      </c>
      <c r="G871" s="14">
        <v>303.33333333333331</v>
      </c>
      <c r="H871" s="14">
        <v>89.333333333333329</v>
      </c>
      <c r="I871" s="14">
        <v>286.66666666666663</v>
      </c>
    </row>
    <row r="872" spans="1:11" ht="16.5" x14ac:dyDescent="0.2">
      <c r="A872" s="4" t="s">
        <v>244</v>
      </c>
      <c r="B872">
        <v>2013</v>
      </c>
      <c r="C872" s="14">
        <v>689.33333333333326</v>
      </c>
      <c r="D872" s="14">
        <v>807.33333333333326</v>
      </c>
      <c r="E872" s="14">
        <v>7392.666666666667</v>
      </c>
      <c r="F872" s="14">
        <v>25.999999999999996</v>
      </c>
      <c r="G872" s="14">
        <v>307.33333333333331</v>
      </c>
      <c r="H872" s="14">
        <v>89.999999999999986</v>
      </c>
      <c r="I872" s="14">
        <v>286.66666666666663</v>
      </c>
      <c r="K872" s="15"/>
    </row>
    <row r="873" spans="1:11" ht="16.5" x14ac:dyDescent="0.2">
      <c r="A873" s="4" t="s">
        <v>244</v>
      </c>
      <c r="B873">
        <v>2014</v>
      </c>
      <c r="C873" s="14">
        <v>687.33333333333326</v>
      </c>
      <c r="D873" s="14">
        <v>806.66666666666663</v>
      </c>
      <c r="E873" s="14">
        <v>7389.9999999999991</v>
      </c>
      <c r="F873" s="14">
        <v>25.333333333333329</v>
      </c>
      <c r="G873" s="14">
        <v>311.33333333333331</v>
      </c>
      <c r="H873" s="14">
        <v>91.333333333333314</v>
      </c>
      <c r="I873" s="14">
        <v>285.99999999999994</v>
      </c>
    </row>
    <row r="874" spans="1:11" ht="16.5" x14ac:dyDescent="0.2">
      <c r="A874" s="4" t="s">
        <v>244</v>
      </c>
      <c r="B874">
        <v>2015</v>
      </c>
      <c r="C874" s="14">
        <v>687.33333333333326</v>
      </c>
      <c r="D874" s="14">
        <v>806</v>
      </c>
      <c r="E874" s="14">
        <v>7388.6666666666661</v>
      </c>
      <c r="F874" s="14">
        <v>24.666666666666664</v>
      </c>
      <c r="G874" s="14">
        <v>313.33333333333331</v>
      </c>
      <c r="H874" s="14">
        <v>92</v>
      </c>
      <c r="I874" s="14">
        <v>285.33333333333331</v>
      </c>
      <c r="K874" s="15"/>
    </row>
    <row r="875" spans="1:11" ht="16.5" x14ac:dyDescent="0.2">
      <c r="A875" s="4" t="s">
        <v>244</v>
      </c>
      <c r="B875">
        <v>2016</v>
      </c>
      <c r="C875" s="14">
        <v>685.33333333333326</v>
      </c>
      <c r="D875" s="14">
        <v>806</v>
      </c>
      <c r="E875" s="14">
        <v>7388</v>
      </c>
      <c r="F875" s="14">
        <v>24.666666666666664</v>
      </c>
      <c r="G875" s="14">
        <v>315.99999999999994</v>
      </c>
      <c r="H875" s="14">
        <v>92.666666666666657</v>
      </c>
      <c r="I875" s="14">
        <v>285.33333333333331</v>
      </c>
    </row>
    <row r="876" spans="1:11" ht="16.5" x14ac:dyDescent="0.2">
      <c r="A876" s="4" t="s">
        <v>243</v>
      </c>
      <c r="B876">
        <v>2009</v>
      </c>
      <c r="C876" s="14">
        <v>7174.6666666666661</v>
      </c>
      <c r="D876" s="14">
        <v>59.333333333333329</v>
      </c>
      <c r="E876" s="14">
        <v>1792</v>
      </c>
      <c r="F876" s="14">
        <v>194</v>
      </c>
      <c r="G876" s="14">
        <v>1388.6666666666665</v>
      </c>
      <c r="H876" s="14">
        <v>338.66666666666663</v>
      </c>
      <c r="I876" s="14">
        <v>2241.333333333333</v>
      </c>
      <c r="K876" s="15"/>
    </row>
    <row r="877" spans="1:11" ht="16.5" x14ac:dyDescent="0.2">
      <c r="A877" s="4" t="s">
        <v>243</v>
      </c>
      <c r="B877">
        <v>2010</v>
      </c>
      <c r="C877" s="14">
        <v>7175.3333333333321</v>
      </c>
      <c r="D877" s="14">
        <v>59.333333333333329</v>
      </c>
      <c r="E877" s="14">
        <v>1790.6666666666667</v>
      </c>
      <c r="F877" s="14">
        <v>193.33333333333331</v>
      </c>
      <c r="G877" s="14">
        <v>1392</v>
      </c>
      <c r="H877" s="14">
        <v>341.33333333333331</v>
      </c>
      <c r="I877" s="14">
        <v>2239.333333333333</v>
      </c>
    </row>
    <row r="878" spans="1:11" ht="16.5" x14ac:dyDescent="0.2">
      <c r="A878" s="4" t="s">
        <v>243</v>
      </c>
      <c r="B878">
        <v>2011</v>
      </c>
      <c r="C878" s="14">
        <v>7172.666666666667</v>
      </c>
      <c r="D878" s="14">
        <v>59.333333333333329</v>
      </c>
      <c r="E878" s="14">
        <v>1788.6666666666665</v>
      </c>
      <c r="F878" s="14">
        <v>192</v>
      </c>
      <c r="G878" s="14">
        <v>1397.9999999999998</v>
      </c>
      <c r="H878" s="14">
        <v>349.99999999999994</v>
      </c>
      <c r="I878" s="14">
        <v>2233.333333333333</v>
      </c>
      <c r="K878" s="15"/>
    </row>
    <row r="879" spans="1:11" ht="16.5" x14ac:dyDescent="0.2">
      <c r="A879" s="4" t="s">
        <v>243</v>
      </c>
      <c r="B879">
        <v>2012</v>
      </c>
      <c r="C879" s="14">
        <v>7169.333333333333</v>
      </c>
      <c r="D879" s="14">
        <v>58.666666666666664</v>
      </c>
      <c r="E879" s="14">
        <v>1785.3333333333333</v>
      </c>
      <c r="F879" s="14">
        <v>189.33333333333331</v>
      </c>
      <c r="G879" s="14">
        <v>1409.9999999999998</v>
      </c>
      <c r="H879" s="14">
        <v>355.33333333333326</v>
      </c>
      <c r="I879" s="14">
        <v>2224.6666666666665</v>
      </c>
    </row>
    <row r="880" spans="1:11" ht="16.5" x14ac:dyDescent="0.2">
      <c r="A880" s="4" t="s">
        <v>243</v>
      </c>
      <c r="B880">
        <v>2013</v>
      </c>
      <c r="C880" s="14">
        <v>7179.9999999999991</v>
      </c>
      <c r="D880" s="14">
        <v>58.666666666666664</v>
      </c>
      <c r="E880" s="14">
        <v>1782</v>
      </c>
      <c r="F880" s="14">
        <v>184.66666666666666</v>
      </c>
      <c r="G880" s="14">
        <v>1409.333333333333</v>
      </c>
      <c r="H880" s="14">
        <v>359.99999999999994</v>
      </c>
      <c r="I880" s="14">
        <v>2215.9999999999995</v>
      </c>
      <c r="K880" s="15"/>
    </row>
    <row r="881" spans="1:11" ht="16.5" x14ac:dyDescent="0.2">
      <c r="A881" s="4" t="s">
        <v>243</v>
      </c>
      <c r="B881">
        <v>2014</v>
      </c>
      <c r="C881" s="14">
        <v>7156</v>
      </c>
      <c r="D881" s="14">
        <v>58.666666666666664</v>
      </c>
      <c r="E881" s="14">
        <v>1778.6666666666665</v>
      </c>
      <c r="F881" s="14">
        <v>181.33333333333331</v>
      </c>
      <c r="G881" s="14">
        <v>1443.3333333333333</v>
      </c>
      <c r="H881" s="14">
        <v>369.33333333333331</v>
      </c>
      <c r="I881" s="14">
        <v>2204</v>
      </c>
    </row>
    <row r="882" spans="1:11" ht="16.5" x14ac:dyDescent="0.2">
      <c r="A882" s="4" t="s">
        <v>243</v>
      </c>
      <c r="B882">
        <v>2015</v>
      </c>
      <c r="C882" s="14">
        <v>7158.6666666666661</v>
      </c>
      <c r="D882" s="14">
        <v>58.666666666666664</v>
      </c>
      <c r="E882" s="14">
        <v>1775.9999999999998</v>
      </c>
      <c r="F882" s="14">
        <v>179.99999999999997</v>
      </c>
      <c r="G882" s="14">
        <v>1449.3333333333333</v>
      </c>
      <c r="H882" s="14">
        <v>370.66666666666663</v>
      </c>
      <c r="I882" s="14">
        <v>2196.6666666666665</v>
      </c>
      <c r="K882" s="15"/>
    </row>
    <row r="883" spans="1:11" ht="16.5" x14ac:dyDescent="0.2">
      <c r="A883" s="4" t="s">
        <v>243</v>
      </c>
      <c r="B883">
        <v>2016</v>
      </c>
      <c r="C883" s="14">
        <v>7153.333333333333</v>
      </c>
      <c r="D883" s="14">
        <v>57.999999999999993</v>
      </c>
      <c r="E883" s="14">
        <v>1772.6666666666663</v>
      </c>
      <c r="F883" s="14">
        <v>179.33333333333331</v>
      </c>
      <c r="G883" s="14">
        <v>1455.3333333333333</v>
      </c>
      <c r="H883" s="14">
        <v>379.33333333333331</v>
      </c>
      <c r="I883" s="14">
        <v>2191.333333333333</v>
      </c>
    </row>
    <row r="884" spans="1:11" ht="16.5" x14ac:dyDescent="0.2">
      <c r="A884" s="4" t="s">
        <v>242</v>
      </c>
      <c r="B884">
        <v>2009</v>
      </c>
      <c r="C884" s="14">
        <v>6541.9999999999991</v>
      </c>
      <c r="D884" s="14">
        <v>8.6666666666666661</v>
      </c>
      <c r="E884" s="14">
        <v>364</v>
      </c>
      <c r="F884" s="14">
        <v>0.66666666666666663</v>
      </c>
      <c r="G884" s="14">
        <v>1793.3333333333333</v>
      </c>
      <c r="H884" s="14">
        <v>324</v>
      </c>
      <c r="I884" s="14">
        <v>1068.6666666666667</v>
      </c>
      <c r="K884" s="15"/>
    </row>
    <row r="885" spans="1:11" ht="16.5" x14ac:dyDescent="0.2">
      <c r="A885" s="4" t="s">
        <v>242</v>
      </c>
      <c r="B885">
        <v>2010</v>
      </c>
      <c r="C885" s="14">
        <v>6531.9999999999991</v>
      </c>
      <c r="D885" s="14">
        <v>8.6666666666666661</v>
      </c>
      <c r="E885" s="14">
        <v>361.99999999999994</v>
      </c>
      <c r="F885" s="14">
        <v>0.66666666666666663</v>
      </c>
      <c r="G885" s="14">
        <v>1802</v>
      </c>
      <c r="H885" s="14">
        <v>325.99999999999994</v>
      </c>
      <c r="I885" s="14">
        <v>1069.3333333333333</v>
      </c>
    </row>
    <row r="886" spans="1:11" ht="16.5" x14ac:dyDescent="0.2">
      <c r="A886" s="4" t="s">
        <v>242</v>
      </c>
      <c r="B886">
        <v>2011</v>
      </c>
      <c r="C886" s="14">
        <v>6519.333333333333</v>
      </c>
      <c r="D886" s="14">
        <v>7.9999999999999991</v>
      </c>
      <c r="E886" s="14">
        <v>357.33333333333331</v>
      </c>
      <c r="F886" s="14">
        <v>0.66666666666666663</v>
      </c>
      <c r="G886" s="14">
        <v>1816.6666666666665</v>
      </c>
      <c r="H886" s="14">
        <v>331.33333333333331</v>
      </c>
      <c r="I886" s="14">
        <v>1066</v>
      </c>
      <c r="K886" s="15"/>
    </row>
    <row r="887" spans="1:11" ht="16.5" x14ac:dyDescent="0.2">
      <c r="A887" s="4" t="s">
        <v>242</v>
      </c>
      <c r="B887">
        <v>2012</v>
      </c>
      <c r="C887" s="14">
        <v>6512.6666666666661</v>
      </c>
      <c r="D887" s="14">
        <v>7.9999999999999991</v>
      </c>
      <c r="E887" s="14">
        <v>353.33333333333331</v>
      </c>
      <c r="F887" s="14">
        <v>0.66666666666666663</v>
      </c>
      <c r="G887" s="14">
        <v>1825.3333333333333</v>
      </c>
      <c r="H887" s="14">
        <v>334</v>
      </c>
      <c r="I887" s="14">
        <v>1064.6666666666665</v>
      </c>
    </row>
    <row r="888" spans="1:11" ht="16.5" x14ac:dyDescent="0.2">
      <c r="A888" s="4" t="s">
        <v>242</v>
      </c>
      <c r="B888">
        <v>2013</v>
      </c>
      <c r="C888" s="14">
        <v>6513.333333333333</v>
      </c>
      <c r="D888" s="14">
        <v>7.9999999999999991</v>
      </c>
      <c r="E888" s="14">
        <v>349.33333333333331</v>
      </c>
      <c r="F888" s="14">
        <v>0.66666666666666663</v>
      </c>
      <c r="G888" s="14">
        <v>1828.6666666666665</v>
      </c>
      <c r="H888" s="14">
        <v>335.33333333333326</v>
      </c>
      <c r="I888" s="14">
        <v>1063.9999999999998</v>
      </c>
      <c r="K888" s="15"/>
    </row>
    <row r="889" spans="1:11" ht="16.5" x14ac:dyDescent="0.2">
      <c r="A889" s="4" t="s">
        <v>242</v>
      </c>
      <c r="B889">
        <v>2014</v>
      </c>
      <c r="C889" s="14">
        <v>6494</v>
      </c>
      <c r="D889" s="14">
        <v>7.9999999999999991</v>
      </c>
      <c r="E889" s="14">
        <v>345.33333333333326</v>
      </c>
      <c r="F889" s="14">
        <v>0.66666666666666663</v>
      </c>
      <c r="G889" s="14">
        <v>1848.6666666666665</v>
      </c>
      <c r="H889" s="14">
        <v>339.33333333333331</v>
      </c>
      <c r="I889" s="14">
        <v>1060.6666666666665</v>
      </c>
    </row>
    <row r="890" spans="1:11" ht="16.5" x14ac:dyDescent="0.2">
      <c r="A890" s="4" t="s">
        <v>242</v>
      </c>
      <c r="B890">
        <v>2015</v>
      </c>
      <c r="C890" s="14">
        <v>6487.333333333333</v>
      </c>
      <c r="D890" s="14">
        <v>7.9999999999999991</v>
      </c>
      <c r="E890" s="14">
        <v>340.66666666666663</v>
      </c>
      <c r="F890" s="14">
        <v>0.66666666666666663</v>
      </c>
      <c r="G890" s="14">
        <v>1859.9999999999998</v>
      </c>
      <c r="H890" s="14">
        <v>339.99999999999994</v>
      </c>
      <c r="I890" s="14">
        <v>1059.3333333333333</v>
      </c>
      <c r="K890" s="15"/>
    </row>
    <row r="891" spans="1:11" ht="16.5" x14ac:dyDescent="0.2">
      <c r="A891" s="4" t="s">
        <v>242</v>
      </c>
      <c r="B891">
        <v>2016</v>
      </c>
      <c r="C891" s="14">
        <v>6478.6666666666661</v>
      </c>
      <c r="D891" s="14">
        <v>7.333333333333333</v>
      </c>
      <c r="E891" s="14">
        <v>330.66666666666663</v>
      </c>
      <c r="F891" s="14">
        <v>0.66666666666666663</v>
      </c>
      <c r="G891" s="14">
        <v>1874</v>
      </c>
      <c r="H891" s="14">
        <v>342.66666666666663</v>
      </c>
      <c r="I891" s="14">
        <v>1056</v>
      </c>
    </row>
    <row r="892" spans="1:11" ht="16.5" x14ac:dyDescent="0.2">
      <c r="A892" s="4" t="s">
        <v>241</v>
      </c>
      <c r="B892">
        <v>2009</v>
      </c>
      <c r="C892" s="14">
        <v>5738</v>
      </c>
      <c r="D892" s="14">
        <v>748.66666666666663</v>
      </c>
      <c r="E892" s="14">
        <v>499.99999999999994</v>
      </c>
      <c r="F892" s="14">
        <v>73.333333333333329</v>
      </c>
      <c r="G892" s="14">
        <v>1407.9999999999998</v>
      </c>
      <c r="H892" s="14">
        <v>394</v>
      </c>
      <c r="I892" s="14">
        <v>855.33333333333337</v>
      </c>
      <c r="K892" s="15"/>
    </row>
    <row r="893" spans="1:11" ht="16.5" x14ac:dyDescent="0.2">
      <c r="A893" s="4" t="s">
        <v>241</v>
      </c>
      <c r="B893">
        <v>2010</v>
      </c>
      <c r="C893" s="14">
        <v>5732.6666666666661</v>
      </c>
      <c r="D893" s="14">
        <v>746.66666666666663</v>
      </c>
      <c r="E893" s="14">
        <v>496.66666666666663</v>
      </c>
      <c r="F893" s="14">
        <v>73.333333333333329</v>
      </c>
      <c r="G893" s="14">
        <v>1419.9999999999998</v>
      </c>
      <c r="H893" s="14">
        <v>399.33333333333331</v>
      </c>
      <c r="I893" s="14">
        <v>848</v>
      </c>
    </row>
    <row r="894" spans="1:11" ht="16.5" x14ac:dyDescent="0.2">
      <c r="A894" s="4" t="s">
        <v>241</v>
      </c>
      <c r="B894">
        <v>2011</v>
      </c>
      <c r="C894" s="14">
        <v>5723.333333333333</v>
      </c>
      <c r="D894" s="14">
        <v>743.99999999999989</v>
      </c>
      <c r="E894" s="14">
        <v>495.33333333333326</v>
      </c>
      <c r="F894" s="14">
        <v>71.333333333333329</v>
      </c>
      <c r="G894" s="14">
        <v>1431.3333333333333</v>
      </c>
      <c r="H894" s="14">
        <v>408.66666666666663</v>
      </c>
      <c r="I894" s="14">
        <v>841.99999999999989</v>
      </c>
      <c r="K894" s="15"/>
    </row>
    <row r="895" spans="1:11" ht="16.5" x14ac:dyDescent="0.2">
      <c r="A895" s="4" t="s">
        <v>241</v>
      </c>
      <c r="B895">
        <v>2012</v>
      </c>
      <c r="C895" s="14">
        <v>5714</v>
      </c>
      <c r="D895" s="14">
        <v>741.33333333333326</v>
      </c>
      <c r="E895" s="14">
        <v>493.33333333333331</v>
      </c>
      <c r="F895" s="14">
        <v>69.333333333333329</v>
      </c>
      <c r="G895" s="14">
        <v>1443.3333333333333</v>
      </c>
      <c r="H895" s="14">
        <v>413.33333333333331</v>
      </c>
      <c r="I895" s="14">
        <v>838.66666666666663</v>
      </c>
    </row>
    <row r="896" spans="1:11" ht="16.5" x14ac:dyDescent="0.2">
      <c r="A896" s="4" t="s">
        <v>241</v>
      </c>
      <c r="B896">
        <v>2013</v>
      </c>
      <c r="C896" s="14">
        <v>5714.6666666666661</v>
      </c>
      <c r="D896" s="14">
        <v>741.33333333333326</v>
      </c>
      <c r="E896" s="14">
        <v>491.33333333333331</v>
      </c>
      <c r="F896" s="14">
        <v>69.333333333333329</v>
      </c>
      <c r="G896" s="14">
        <v>1442.6666666666665</v>
      </c>
      <c r="H896" s="14">
        <v>415.99999999999994</v>
      </c>
      <c r="I896" s="14">
        <v>837.33333333333326</v>
      </c>
      <c r="K896" s="15"/>
    </row>
    <row r="897" spans="1:11" ht="16.5" x14ac:dyDescent="0.2">
      <c r="A897" s="4" t="s">
        <v>241</v>
      </c>
      <c r="B897">
        <v>2014</v>
      </c>
      <c r="C897" s="14">
        <v>5711.9999999999991</v>
      </c>
      <c r="D897" s="14">
        <v>739.99999999999989</v>
      </c>
      <c r="E897" s="14">
        <v>488</v>
      </c>
      <c r="F897" s="14">
        <v>68.666666666666671</v>
      </c>
      <c r="G897" s="14">
        <v>1449.3333333333333</v>
      </c>
      <c r="H897" s="14">
        <v>416.66666666666663</v>
      </c>
      <c r="I897" s="14">
        <v>832.66666666666663</v>
      </c>
    </row>
    <row r="898" spans="1:11" ht="16.5" x14ac:dyDescent="0.2">
      <c r="A898" s="4" t="s">
        <v>241</v>
      </c>
      <c r="B898">
        <v>2015</v>
      </c>
      <c r="C898" s="14">
        <v>5718.6666666666661</v>
      </c>
      <c r="D898" s="14">
        <v>738</v>
      </c>
      <c r="E898" s="14">
        <v>480.66666666666657</v>
      </c>
      <c r="F898" s="14">
        <v>67.999999999999986</v>
      </c>
      <c r="G898" s="14">
        <v>1456</v>
      </c>
      <c r="H898" s="14">
        <v>419.99999999999994</v>
      </c>
      <c r="I898" s="14">
        <v>827.33333333333326</v>
      </c>
      <c r="K898" s="15"/>
    </row>
    <row r="899" spans="1:11" ht="16.5" x14ac:dyDescent="0.2">
      <c r="A899" s="4" t="s">
        <v>241</v>
      </c>
      <c r="B899">
        <v>2016</v>
      </c>
      <c r="C899" s="14">
        <v>5726.6666666666661</v>
      </c>
      <c r="D899" s="14">
        <v>735.33333333333326</v>
      </c>
      <c r="E899" s="14">
        <v>469.33333333333331</v>
      </c>
      <c r="F899" s="14">
        <v>67.999999999999986</v>
      </c>
      <c r="G899" s="14">
        <v>1463.3333333333333</v>
      </c>
      <c r="H899" s="14">
        <v>424.66666666666663</v>
      </c>
      <c r="I899" s="14">
        <v>821.33333333333326</v>
      </c>
    </row>
    <row r="900" spans="1:11" ht="16.5" x14ac:dyDescent="0.2">
      <c r="A900" s="4" t="s">
        <v>240</v>
      </c>
      <c r="B900">
        <v>2009</v>
      </c>
      <c r="C900" s="14">
        <v>7202.666666666667</v>
      </c>
      <c r="D900" s="14">
        <v>498</v>
      </c>
      <c r="E900" s="14">
        <v>6045.3333333333321</v>
      </c>
      <c r="F900" s="14">
        <v>60.666666666666657</v>
      </c>
      <c r="G900" s="14">
        <v>1663.3333333333333</v>
      </c>
      <c r="H900" s="14">
        <v>298.66666666666663</v>
      </c>
      <c r="I900" s="14">
        <v>2325.9999999999995</v>
      </c>
    </row>
    <row r="901" spans="1:11" ht="16.5" x14ac:dyDescent="0.2">
      <c r="A901" s="4" t="s">
        <v>240</v>
      </c>
      <c r="B901">
        <v>2010</v>
      </c>
      <c r="C901" s="14">
        <v>7196.6666666666661</v>
      </c>
      <c r="D901" s="14">
        <v>496.66666666666663</v>
      </c>
      <c r="E901" s="14">
        <v>6041.9999999999991</v>
      </c>
      <c r="F901" s="14">
        <v>60.666666666666657</v>
      </c>
      <c r="G901" s="14">
        <v>1680.6666666666663</v>
      </c>
      <c r="H901" s="14">
        <v>302.66666666666663</v>
      </c>
      <c r="I901" s="14">
        <v>2314</v>
      </c>
      <c r="K901" s="15"/>
    </row>
    <row r="902" spans="1:11" ht="16.5" x14ac:dyDescent="0.2">
      <c r="A902" s="4" t="s">
        <v>240</v>
      </c>
      <c r="B902">
        <v>2011</v>
      </c>
      <c r="C902" s="14">
        <v>7183.333333333333</v>
      </c>
      <c r="D902" s="14">
        <v>496.66666666666663</v>
      </c>
      <c r="E902" s="14">
        <v>6037.333333333333</v>
      </c>
      <c r="F902" s="14">
        <v>59.999999999999993</v>
      </c>
      <c r="G902" s="14">
        <v>1703.9999999999995</v>
      </c>
      <c r="H902" s="14">
        <v>304</v>
      </c>
      <c r="I902" s="14">
        <v>2308.6666666666665</v>
      </c>
    </row>
    <row r="903" spans="1:11" ht="16.5" x14ac:dyDescent="0.2">
      <c r="A903" s="4" t="s">
        <v>240</v>
      </c>
      <c r="B903">
        <v>2012</v>
      </c>
      <c r="C903" s="14">
        <v>7179.9999999999991</v>
      </c>
      <c r="D903" s="14">
        <v>495.33333333333326</v>
      </c>
      <c r="E903" s="14">
        <v>6034</v>
      </c>
      <c r="F903" s="14">
        <v>57.999999999999993</v>
      </c>
      <c r="G903" s="14">
        <v>1717.9999999999998</v>
      </c>
      <c r="H903" s="14">
        <v>305.99999999999994</v>
      </c>
      <c r="I903" s="14">
        <v>2301.333333333333</v>
      </c>
      <c r="K903" s="15"/>
    </row>
    <row r="904" spans="1:11" ht="16.5" x14ac:dyDescent="0.2">
      <c r="A904" s="4" t="s">
        <v>240</v>
      </c>
      <c r="B904">
        <v>2013</v>
      </c>
      <c r="C904" s="14">
        <v>7177.3333333333321</v>
      </c>
      <c r="D904" s="14">
        <v>495.33333333333326</v>
      </c>
      <c r="E904" s="14">
        <v>6030.6666666666661</v>
      </c>
      <c r="F904" s="14">
        <v>56.666666666666664</v>
      </c>
      <c r="G904" s="14">
        <v>1727.3333333333333</v>
      </c>
      <c r="H904" s="14">
        <v>308.66666666666663</v>
      </c>
      <c r="I904" s="14">
        <v>2296.6666666666665</v>
      </c>
    </row>
    <row r="905" spans="1:11" ht="16.5" x14ac:dyDescent="0.2">
      <c r="A905" s="4" t="s">
        <v>240</v>
      </c>
      <c r="B905">
        <v>2014</v>
      </c>
      <c r="C905" s="14">
        <v>7164.6666666666661</v>
      </c>
      <c r="D905" s="14">
        <v>493.99999999999994</v>
      </c>
      <c r="E905" s="14">
        <v>6023.333333333333</v>
      </c>
      <c r="F905" s="14">
        <v>55.333333333333336</v>
      </c>
      <c r="G905" s="14">
        <v>1747.333333333333</v>
      </c>
      <c r="H905" s="14">
        <v>318.66666666666663</v>
      </c>
      <c r="I905" s="14">
        <v>2287.9999999999995</v>
      </c>
    </row>
    <row r="906" spans="1:11" ht="16.5" x14ac:dyDescent="0.2">
      <c r="A906" s="4" t="s">
        <v>240</v>
      </c>
      <c r="B906">
        <v>2015</v>
      </c>
      <c r="C906" s="14">
        <v>7178</v>
      </c>
      <c r="D906" s="14">
        <v>491.99999999999994</v>
      </c>
      <c r="E906" s="14">
        <v>6016.6666666666661</v>
      </c>
      <c r="F906" s="14">
        <v>54.666666666666657</v>
      </c>
      <c r="G906" s="14">
        <v>1745.3333333333333</v>
      </c>
      <c r="H906" s="14">
        <v>321.33333333333331</v>
      </c>
      <c r="I906" s="14">
        <v>2283.333333333333</v>
      </c>
      <c r="K906" s="15"/>
    </row>
    <row r="907" spans="1:11" ht="16.5" x14ac:dyDescent="0.2">
      <c r="A907" s="4" t="s">
        <v>240</v>
      </c>
      <c r="B907">
        <v>2016</v>
      </c>
      <c r="C907" s="14">
        <v>5199.333333333333</v>
      </c>
      <c r="D907" s="14">
        <v>483.99999999999994</v>
      </c>
      <c r="E907" s="14">
        <v>5995.3333333333321</v>
      </c>
      <c r="F907" s="14">
        <v>53.999999999999993</v>
      </c>
      <c r="G907" s="14">
        <v>1477.9999999999998</v>
      </c>
      <c r="H907" s="14">
        <v>255.33333333333329</v>
      </c>
      <c r="I907" s="14">
        <v>1682.6666666666665</v>
      </c>
    </row>
    <row r="908" spans="1:11" ht="16.5" x14ac:dyDescent="0.2">
      <c r="A908" s="4" t="s">
        <v>239</v>
      </c>
      <c r="B908">
        <v>2009</v>
      </c>
      <c r="C908" s="14">
        <v>5989.9999999999991</v>
      </c>
      <c r="D908" s="14">
        <v>50.666666666666657</v>
      </c>
      <c r="E908" s="14">
        <v>195.33333333333331</v>
      </c>
      <c r="F908" s="14">
        <v>1.3333333333333333</v>
      </c>
      <c r="G908" s="14">
        <v>1252.6666666666665</v>
      </c>
      <c r="H908" s="14">
        <v>301.33333333333331</v>
      </c>
      <c r="I908" s="14">
        <v>709.33333333333326</v>
      </c>
      <c r="K908" s="15"/>
    </row>
    <row r="909" spans="1:11" ht="16.5" x14ac:dyDescent="0.2">
      <c r="A909" s="4" t="s">
        <v>239</v>
      </c>
      <c r="B909">
        <v>2010</v>
      </c>
      <c r="C909" s="14">
        <v>5974.6666666666661</v>
      </c>
      <c r="D909" s="14">
        <v>49.999999999999993</v>
      </c>
      <c r="E909" s="14">
        <v>194.66666666666666</v>
      </c>
      <c r="F909" s="14">
        <v>1.3333333333333333</v>
      </c>
      <c r="G909" s="14">
        <v>1268.6666666666665</v>
      </c>
      <c r="H909" s="14">
        <v>303.33333333333331</v>
      </c>
      <c r="I909" s="14">
        <v>708</v>
      </c>
    </row>
    <row r="910" spans="1:11" ht="16.5" x14ac:dyDescent="0.2">
      <c r="A910" s="4" t="s">
        <v>239</v>
      </c>
      <c r="B910">
        <v>2011</v>
      </c>
      <c r="C910" s="14">
        <v>5981.9999999999991</v>
      </c>
      <c r="D910" s="14">
        <v>49.333333333333329</v>
      </c>
      <c r="E910" s="14">
        <v>187.33333333333331</v>
      </c>
      <c r="F910" s="14">
        <v>1.3333333333333333</v>
      </c>
      <c r="G910" s="14">
        <v>1269.3333333333335</v>
      </c>
      <c r="H910" s="14">
        <v>306.66666666666663</v>
      </c>
      <c r="I910" s="14">
        <v>702.66666666666663</v>
      </c>
    </row>
    <row r="911" spans="1:11" ht="16.5" x14ac:dyDescent="0.2">
      <c r="A911" s="4" t="s">
        <v>239</v>
      </c>
      <c r="B911">
        <v>2012</v>
      </c>
      <c r="C911" s="14">
        <v>5993.333333333333</v>
      </c>
      <c r="D911" s="14">
        <v>48.666666666666664</v>
      </c>
      <c r="E911" s="14">
        <v>182</v>
      </c>
      <c r="F911" s="14">
        <v>1.3333333333333333</v>
      </c>
      <c r="G911" s="14">
        <v>1266.6666666666665</v>
      </c>
      <c r="H911" s="14">
        <v>309.33333333333331</v>
      </c>
      <c r="I911" s="14">
        <v>699.33333333333326</v>
      </c>
      <c r="K911" s="15"/>
    </row>
    <row r="912" spans="1:11" ht="16.5" x14ac:dyDescent="0.2">
      <c r="A912" s="4" t="s">
        <v>239</v>
      </c>
      <c r="B912">
        <v>2013</v>
      </c>
      <c r="C912" s="14">
        <v>5994</v>
      </c>
      <c r="D912" s="14">
        <v>48</v>
      </c>
      <c r="E912" s="14">
        <v>177.33333333333331</v>
      </c>
      <c r="F912" s="14">
        <v>1.3333333333333333</v>
      </c>
      <c r="G912" s="14">
        <v>1272</v>
      </c>
      <c r="H912" s="14">
        <v>311.33333333333331</v>
      </c>
      <c r="I912" s="14">
        <v>695.33333333333326</v>
      </c>
    </row>
    <row r="913" spans="1:11" ht="16.5" x14ac:dyDescent="0.2">
      <c r="A913" s="4" t="s">
        <v>239</v>
      </c>
      <c r="B913">
        <v>2014</v>
      </c>
      <c r="C913" s="14">
        <v>5990.6666666666661</v>
      </c>
      <c r="D913" s="14">
        <v>46.666666666666664</v>
      </c>
      <c r="E913" s="14">
        <v>172</v>
      </c>
      <c r="F913" s="14">
        <v>1.3333333333333333</v>
      </c>
      <c r="G913" s="14">
        <v>1279.333333333333</v>
      </c>
      <c r="H913" s="14">
        <v>317.33333333333331</v>
      </c>
      <c r="I913" s="14">
        <v>691.99999999999989</v>
      </c>
      <c r="K913" s="15"/>
    </row>
    <row r="914" spans="1:11" ht="16.5" x14ac:dyDescent="0.2">
      <c r="A914" s="4" t="s">
        <v>239</v>
      </c>
      <c r="B914">
        <v>2015</v>
      </c>
      <c r="C914" s="14">
        <v>5985.9999999999991</v>
      </c>
      <c r="D914" s="14">
        <v>45.333333333333329</v>
      </c>
      <c r="E914" s="14">
        <v>169.33333333333331</v>
      </c>
      <c r="F914" s="14">
        <v>1.3333333333333333</v>
      </c>
      <c r="G914" s="14">
        <v>1288.6666666666665</v>
      </c>
      <c r="H914" s="14">
        <v>318.66666666666663</v>
      </c>
      <c r="I914" s="14">
        <v>690.66666666666652</v>
      </c>
    </row>
    <row r="915" spans="1:11" ht="16.5" x14ac:dyDescent="0.2">
      <c r="A915" s="4" t="s">
        <v>239</v>
      </c>
      <c r="B915">
        <v>2016</v>
      </c>
      <c r="C915" s="14">
        <v>5985.9999999999991</v>
      </c>
      <c r="D915" s="14">
        <v>41.333333333333329</v>
      </c>
      <c r="E915" s="14">
        <v>164</v>
      </c>
      <c r="F915" s="14">
        <v>1.3333333333333333</v>
      </c>
      <c r="G915" s="14">
        <v>1298.6666666666665</v>
      </c>
      <c r="H915" s="14">
        <v>322.66666666666663</v>
      </c>
      <c r="I915" s="14">
        <v>680.66666666666652</v>
      </c>
    </row>
    <row r="916" spans="1:11" ht="16.5" x14ac:dyDescent="0.2">
      <c r="A916" s="4" t="s">
        <v>238</v>
      </c>
      <c r="B916">
        <v>2009</v>
      </c>
      <c r="C916" s="14">
        <v>1389.9999999999998</v>
      </c>
      <c r="D916" s="14">
        <v>185.99999999999997</v>
      </c>
      <c r="E916" s="14">
        <v>5398</v>
      </c>
      <c r="F916" s="14">
        <v>51.333333333333329</v>
      </c>
      <c r="G916" s="14">
        <v>417.33333333333331</v>
      </c>
      <c r="H916" s="14">
        <v>97.333333333333329</v>
      </c>
      <c r="I916" s="14">
        <v>749.33333333333326</v>
      </c>
      <c r="K916" s="15"/>
    </row>
    <row r="917" spans="1:11" ht="16.5" x14ac:dyDescent="0.2">
      <c r="A917" s="4" t="s">
        <v>238</v>
      </c>
      <c r="B917">
        <v>2010</v>
      </c>
      <c r="C917" s="14">
        <v>1387.3333333333333</v>
      </c>
      <c r="D917" s="14">
        <v>185.99999999999997</v>
      </c>
      <c r="E917" s="14">
        <v>5395.3333333333321</v>
      </c>
      <c r="F917" s="14">
        <v>50.666666666666657</v>
      </c>
      <c r="G917" s="14">
        <v>425.33333333333326</v>
      </c>
      <c r="H917" s="14">
        <v>97.333333333333329</v>
      </c>
      <c r="I917" s="14">
        <v>747.33333333333326</v>
      </c>
    </row>
    <row r="918" spans="1:11" ht="16.5" x14ac:dyDescent="0.2">
      <c r="A918" s="4" t="s">
        <v>238</v>
      </c>
      <c r="B918">
        <v>2011</v>
      </c>
      <c r="C918" s="14">
        <v>1385.3333333333333</v>
      </c>
      <c r="D918" s="14">
        <v>185.33333333333331</v>
      </c>
      <c r="E918" s="14">
        <v>5385.3333333333321</v>
      </c>
      <c r="F918" s="14">
        <v>49.333333333333329</v>
      </c>
      <c r="G918" s="14">
        <v>440.66666666666669</v>
      </c>
      <c r="H918" s="14">
        <v>99.999999999999986</v>
      </c>
      <c r="I918" s="14">
        <v>742.66666666666663</v>
      </c>
      <c r="K918" s="15"/>
    </row>
    <row r="919" spans="1:11" ht="16.5" x14ac:dyDescent="0.2">
      <c r="A919" s="4" t="s">
        <v>238</v>
      </c>
      <c r="B919">
        <v>2012</v>
      </c>
      <c r="C919" s="14">
        <v>1378.6666666666665</v>
      </c>
      <c r="D919" s="14">
        <v>184.66666666666666</v>
      </c>
      <c r="E919" s="14">
        <v>5379.333333333333</v>
      </c>
      <c r="F919" s="14">
        <v>47.333333333333329</v>
      </c>
      <c r="G919" s="14">
        <v>451.99999999999994</v>
      </c>
      <c r="H919" s="14">
        <v>105.33333333333333</v>
      </c>
      <c r="I919" s="14">
        <v>739.99999999999989</v>
      </c>
    </row>
    <row r="920" spans="1:11" ht="16.5" x14ac:dyDescent="0.2">
      <c r="A920" s="4" t="s">
        <v>238</v>
      </c>
      <c r="B920">
        <v>2013</v>
      </c>
      <c r="C920" s="14">
        <v>1383.3333333333333</v>
      </c>
      <c r="D920" s="14">
        <v>184.66666666666666</v>
      </c>
      <c r="E920" s="14">
        <v>5375.3333333333321</v>
      </c>
      <c r="F920" s="14">
        <v>46</v>
      </c>
      <c r="G920" s="14">
        <v>458</v>
      </c>
      <c r="H920" s="14">
        <v>106</v>
      </c>
      <c r="I920" s="14">
        <v>735.33333333333326</v>
      </c>
    </row>
    <row r="921" spans="1:11" ht="16.5" x14ac:dyDescent="0.2">
      <c r="A921" s="4" t="s">
        <v>238</v>
      </c>
      <c r="B921">
        <v>2014</v>
      </c>
      <c r="C921" s="14">
        <v>1379.9999999999998</v>
      </c>
      <c r="D921" s="14">
        <v>184.66666666666666</v>
      </c>
      <c r="E921" s="14">
        <v>5371.333333333333</v>
      </c>
      <c r="F921" s="14">
        <v>45.333333333333329</v>
      </c>
      <c r="G921" s="14">
        <v>465.99999999999989</v>
      </c>
      <c r="H921" s="14">
        <v>108.66666666666666</v>
      </c>
      <c r="I921" s="14">
        <v>732.66666666666663</v>
      </c>
      <c r="K921" s="15"/>
    </row>
    <row r="922" spans="1:11" ht="16.5" x14ac:dyDescent="0.2">
      <c r="A922" s="4" t="s">
        <v>238</v>
      </c>
      <c r="B922">
        <v>2015</v>
      </c>
      <c r="C922" s="14">
        <v>1380.6666666666665</v>
      </c>
      <c r="D922" s="14">
        <v>184.66666666666666</v>
      </c>
      <c r="E922" s="14">
        <v>5368.6666666666661</v>
      </c>
      <c r="F922" s="14">
        <v>44.666666666666664</v>
      </c>
      <c r="G922" s="14">
        <v>469.99999999999994</v>
      </c>
      <c r="H922" s="14">
        <v>108.66666666666666</v>
      </c>
      <c r="I922" s="14">
        <v>731.33333333333326</v>
      </c>
    </row>
    <row r="923" spans="1:11" ht="16.5" x14ac:dyDescent="0.2">
      <c r="A923" s="4" t="s">
        <v>238</v>
      </c>
      <c r="B923">
        <v>2016</v>
      </c>
      <c r="C923" s="14">
        <v>1382.6666666666665</v>
      </c>
      <c r="D923" s="14">
        <v>184.66666666666666</v>
      </c>
      <c r="E923" s="14">
        <v>5364.6666666666661</v>
      </c>
      <c r="F923" s="14">
        <v>43.999999999999993</v>
      </c>
      <c r="G923" s="14">
        <v>470.00000000000006</v>
      </c>
      <c r="H923" s="14">
        <v>110.66666666666667</v>
      </c>
      <c r="I923" s="14">
        <v>729.99999999999989</v>
      </c>
      <c r="K923" s="15"/>
    </row>
    <row r="924" spans="1:11" ht="16.5" x14ac:dyDescent="0.2">
      <c r="A924" s="4" t="s">
        <v>237</v>
      </c>
      <c r="B924">
        <v>2009</v>
      </c>
      <c r="C924" s="14">
        <v>2498.6666666666665</v>
      </c>
      <c r="D924" s="14">
        <v>697.33333333333326</v>
      </c>
      <c r="E924" s="14">
        <v>7016.6666666666661</v>
      </c>
      <c r="F924" s="14">
        <v>87.333333333333329</v>
      </c>
      <c r="G924" s="14">
        <v>805.99999999999989</v>
      </c>
      <c r="H924" s="14">
        <v>142.66666666666666</v>
      </c>
      <c r="I924" s="14">
        <v>931.33333333333314</v>
      </c>
    </row>
    <row r="925" spans="1:11" ht="16.5" x14ac:dyDescent="0.2">
      <c r="A925" s="4" t="s">
        <v>237</v>
      </c>
      <c r="B925">
        <v>2010</v>
      </c>
      <c r="C925" s="14">
        <v>2485.9999999999995</v>
      </c>
      <c r="D925" s="14">
        <v>696</v>
      </c>
      <c r="E925" s="14">
        <v>7014.6666666666661</v>
      </c>
      <c r="F925" s="14">
        <v>84.666666666666657</v>
      </c>
      <c r="G925" s="14">
        <v>814.66666666666663</v>
      </c>
      <c r="H925" s="14">
        <v>152</v>
      </c>
      <c r="I925" s="14">
        <v>929.99999999999989</v>
      </c>
    </row>
    <row r="926" spans="1:11" ht="16.5" x14ac:dyDescent="0.2">
      <c r="A926" s="4" t="s">
        <v>237</v>
      </c>
      <c r="B926">
        <v>2011</v>
      </c>
      <c r="C926" s="14">
        <v>2485.333333333333</v>
      </c>
      <c r="D926" s="14">
        <v>695.33333333333326</v>
      </c>
      <c r="E926" s="14">
        <v>7006.6666666666661</v>
      </c>
      <c r="F926" s="14">
        <v>82</v>
      </c>
      <c r="G926" s="14">
        <v>821.99999999999989</v>
      </c>
      <c r="H926" s="14">
        <v>157.99999999999997</v>
      </c>
      <c r="I926" s="14">
        <v>927.99999999999989</v>
      </c>
      <c r="K926" s="15"/>
    </row>
    <row r="927" spans="1:11" ht="16.5" x14ac:dyDescent="0.2">
      <c r="A927" s="4" t="s">
        <v>237</v>
      </c>
      <c r="B927">
        <v>2012</v>
      </c>
      <c r="C927" s="14">
        <v>2482.6666666666665</v>
      </c>
      <c r="D927" s="14">
        <v>693.33333333333326</v>
      </c>
      <c r="E927" s="14">
        <v>6996</v>
      </c>
      <c r="F927" s="14">
        <v>79.333333333333329</v>
      </c>
      <c r="G927" s="14">
        <v>837.33333333333337</v>
      </c>
      <c r="H927" s="14">
        <v>162</v>
      </c>
      <c r="I927" s="14">
        <v>926</v>
      </c>
    </row>
    <row r="928" spans="1:11" ht="16.5" x14ac:dyDescent="0.2">
      <c r="A928" s="4" t="s">
        <v>237</v>
      </c>
      <c r="B928">
        <v>2013</v>
      </c>
      <c r="C928" s="14">
        <v>2484</v>
      </c>
      <c r="D928" s="14">
        <v>691.99999999999989</v>
      </c>
      <c r="E928" s="14">
        <v>6986.6666666666661</v>
      </c>
      <c r="F928" s="14">
        <v>77.999999999999986</v>
      </c>
      <c r="G928" s="14">
        <v>843.99999999999989</v>
      </c>
      <c r="H928" s="14">
        <v>166.66666666666666</v>
      </c>
      <c r="I928" s="14">
        <v>923.99999999999989</v>
      </c>
      <c r="K928" s="15"/>
    </row>
    <row r="929" spans="1:11" ht="16.5" x14ac:dyDescent="0.2">
      <c r="A929" s="4" t="s">
        <v>237</v>
      </c>
      <c r="B929">
        <v>2014</v>
      </c>
      <c r="C929" s="14">
        <v>2480.6666666666665</v>
      </c>
      <c r="D929" s="14">
        <v>690.66666666666652</v>
      </c>
      <c r="E929" s="14">
        <v>6975.3333333333321</v>
      </c>
      <c r="F929" s="14">
        <v>77.333333333333329</v>
      </c>
      <c r="G929" s="14">
        <v>857.33333333333326</v>
      </c>
      <c r="H929" s="14">
        <v>172.66666666666663</v>
      </c>
      <c r="I929" s="14">
        <v>920.66666666666652</v>
      </c>
    </row>
    <row r="930" spans="1:11" ht="16.5" x14ac:dyDescent="0.2">
      <c r="A930" s="4" t="s">
        <v>237</v>
      </c>
      <c r="B930">
        <v>2015</v>
      </c>
      <c r="C930" s="14">
        <v>2482.6666666666665</v>
      </c>
      <c r="D930" s="14">
        <v>688.66666666666663</v>
      </c>
      <c r="E930" s="14">
        <v>6969.9999999999991</v>
      </c>
      <c r="F930" s="14">
        <v>76</v>
      </c>
      <c r="G930" s="14">
        <v>862</v>
      </c>
      <c r="H930" s="14">
        <v>175.33333333333331</v>
      </c>
      <c r="I930" s="14">
        <v>918.66666666666663</v>
      </c>
    </row>
    <row r="931" spans="1:11" ht="16.5" x14ac:dyDescent="0.2">
      <c r="A931" s="4" t="s">
        <v>237</v>
      </c>
      <c r="B931">
        <v>2016</v>
      </c>
      <c r="C931" s="14">
        <v>2482.6666666666665</v>
      </c>
      <c r="D931" s="14">
        <v>688</v>
      </c>
      <c r="E931" s="14">
        <v>6963.9999999999991</v>
      </c>
      <c r="F931" s="14">
        <v>75.333333333333329</v>
      </c>
      <c r="G931" s="14">
        <v>867.99999999999989</v>
      </c>
      <c r="H931" s="14">
        <v>179.33333333333331</v>
      </c>
      <c r="I931" s="14">
        <v>916.66666666666663</v>
      </c>
      <c r="K931" s="15"/>
    </row>
    <row r="932" spans="1:11" ht="16.5" x14ac:dyDescent="0.2">
      <c r="A932" s="4" t="s">
        <v>236</v>
      </c>
      <c r="B932">
        <v>2009</v>
      </c>
      <c r="C932" s="14">
        <v>1645.3333333333333</v>
      </c>
      <c r="D932" s="14">
        <v>570</v>
      </c>
      <c r="E932" s="14">
        <v>7031.9999999999991</v>
      </c>
      <c r="F932" s="14">
        <v>116.66666666666666</v>
      </c>
      <c r="G932" s="14">
        <v>838</v>
      </c>
      <c r="H932" s="14">
        <v>207.33333333333331</v>
      </c>
      <c r="I932" s="14">
        <v>1306.6666666666665</v>
      </c>
    </row>
    <row r="933" spans="1:11" ht="16.5" x14ac:dyDescent="0.2">
      <c r="A933" s="4" t="s">
        <v>236</v>
      </c>
      <c r="B933">
        <v>2010</v>
      </c>
      <c r="C933" s="14">
        <v>1635.3333333333333</v>
      </c>
      <c r="D933" s="14">
        <v>562.66666666666663</v>
      </c>
      <c r="E933" s="14">
        <v>7013.333333333333</v>
      </c>
      <c r="F933" s="14">
        <v>120.66666666666667</v>
      </c>
      <c r="G933" s="14">
        <v>857.33333333333326</v>
      </c>
      <c r="H933" s="14">
        <v>228</v>
      </c>
      <c r="I933" s="14">
        <v>1296.6666666666665</v>
      </c>
      <c r="K933" s="15"/>
    </row>
    <row r="934" spans="1:11" ht="16.5" x14ac:dyDescent="0.2">
      <c r="A934" s="4" t="s">
        <v>236</v>
      </c>
      <c r="B934">
        <v>2011</v>
      </c>
      <c r="C934" s="14">
        <v>1623.9999999999998</v>
      </c>
      <c r="D934" s="14">
        <v>560.66666666666663</v>
      </c>
      <c r="E934" s="14">
        <v>7001.333333333333</v>
      </c>
      <c r="F934" s="14">
        <v>119.99999999999999</v>
      </c>
      <c r="G934" s="14">
        <v>886.66666666666663</v>
      </c>
      <c r="H934" s="14">
        <v>235.99999999999997</v>
      </c>
      <c r="I934" s="14">
        <v>1287.3333333333333</v>
      </c>
    </row>
    <row r="935" spans="1:11" ht="16.5" x14ac:dyDescent="0.2">
      <c r="A935" s="4" t="s">
        <v>236</v>
      </c>
      <c r="B935">
        <v>2012</v>
      </c>
      <c r="C935" s="14">
        <v>1526.6666666666665</v>
      </c>
      <c r="D935" s="14">
        <v>558</v>
      </c>
      <c r="E935" s="14">
        <v>6901.333333333333</v>
      </c>
      <c r="F935" s="14">
        <v>109.33333333333331</v>
      </c>
      <c r="G935" s="14">
        <v>862</v>
      </c>
      <c r="H935" s="14">
        <v>232.66666666666663</v>
      </c>
      <c r="I935" s="14">
        <v>1180.6666666666665</v>
      </c>
    </row>
    <row r="936" spans="1:11" ht="16.5" x14ac:dyDescent="0.2">
      <c r="A936" s="4" t="s">
        <v>236</v>
      </c>
      <c r="B936">
        <v>2013</v>
      </c>
      <c r="C936" s="14">
        <v>1517.9999999999998</v>
      </c>
      <c r="D936" s="14">
        <v>550</v>
      </c>
      <c r="E936" s="14">
        <v>6892.666666666667</v>
      </c>
      <c r="F936" s="14">
        <v>113.33333333333333</v>
      </c>
      <c r="G936" s="14">
        <v>887.33333333333326</v>
      </c>
      <c r="H936" s="14">
        <v>235.99999999999997</v>
      </c>
      <c r="I936" s="14">
        <v>1175.3333333333333</v>
      </c>
      <c r="K936" s="15"/>
    </row>
    <row r="937" spans="1:11" ht="16.5" x14ac:dyDescent="0.2">
      <c r="A937" s="4" t="s">
        <v>236</v>
      </c>
      <c r="B937">
        <v>2014</v>
      </c>
      <c r="C937" s="14">
        <v>1506</v>
      </c>
      <c r="D937" s="14">
        <v>545.33333333333326</v>
      </c>
      <c r="E937" s="14">
        <v>6885.3333333333321</v>
      </c>
      <c r="F937" s="14">
        <v>114.66666666666666</v>
      </c>
      <c r="G937" s="14">
        <v>904.00000000000011</v>
      </c>
      <c r="H937" s="14">
        <v>248</v>
      </c>
      <c r="I937" s="14">
        <v>1169.3333333333333</v>
      </c>
    </row>
    <row r="938" spans="1:11" ht="16.5" x14ac:dyDescent="0.2">
      <c r="A938" s="4" t="s">
        <v>236</v>
      </c>
      <c r="B938">
        <v>2015</v>
      </c>
      <c r="C938" s="14">
        <v>1497.3333333333333</v>
      </c>
      <c r="D938" s="14">
        <v>541.99999999999989</v>
      </c>
      <c r="E938" s="14">
        <v>6880.6666666666652</v>
      </c>
      <c r="F938" s="14">
        <v>115.33333333333333</v>
      </c>
      <c r="G938" s="14">
        <v>920.66666666666674</v>
      </c>
      <c r="H938" s="14">
        <v>258</v>
      </c>
      <c r="I938" s="14">
        <v>1165.3333333333333</v>
      </c>
      <c r="K938" s="15"/>
    </row>
    <row r="939" spans="1:11" ht="16.5" x14ac:dyDescent="0.2">
      <c r="A939" s="4" t="s">
        <v>236</v>
      </c>
      <c r="B939">
        <v>2016</v>
      </c>
      <c r="C939" s="14">
        <v>1493.3333333333333</v>
      </c>
      <c r="D939" s="14">
        <v>538.66666666666663</v>
      </c>
      <c r="E939" s="14">
        <v>6876.6666666666661</v>
      </c>
      <c r="F939" s="14">
        <v>116.66666666666666</v>
      </c>
      <c r="G939" s="14">
        <v>932.6666666666664</v>
      </c>
      <c r="H939" s="14">
        <v>264.66666666666669</v>
      </c>
      <c r="I939" s="14">
        <v>1160</v>
      </c>
    </row>
    <row r="940" spans="1:11" ht="16.5" x14ac:dyDescent="0.2">
      <c r="A940" s="4" t="s">
        <v>235</v>
      </c>
      <c r="B940">
        <v>2009</v>
      </c>
      <c r="C940" s="14">
        <v>218.66666666666663</v>
      </c>
      <c r="D940" s="14">
        <v>199.33333333333331</v>
      </c>
      <c r="E940" s="14">
        <v>498</v>
      </c>
      <c r="F940" s="14">
        <v>6.6666666666666661</v>
      </c>
      <c r="G940" s="14">
        <v>382.66666666666663</v>
      </c>
      <c r="H940" s="14">
        <v>106</v>
      </c>
      <c r="I940" s="14">
        <v>234.66666666666666</v>
      </c>
    </row>
    <row r="941" spans="1:11" ht="16.5" x14ac:dyDescent="0.2">
      <c r="A941" s="4" t="s">
        <v>235</v>
      </c>
      <c r="B941">
        <v>2010</v>
      </c>
      <c r="C941" s="14">
        <v>210.66666666666666</v>
      </c>
      <c r="D941" s="14">
        <v>191.33333333333331</v>
      </c>
      <c r="E941" s="14">
        <v>495.33333333333326</v>
      </c>
      <c r="F941" s="14">
        <v>10.666666666666666</v>
      </c>
      <c r="G941" s="14">
        <v>393.33333333333331</v>
      </c>
      <c r="H941" s="14">
        <v>110.66666666666667</v>
      </c>
      <c r="I941" s="14">
        <v>234</v>
      </c>
      <c r="K941" s="15"/>
    </row>
    <row r="942" spans="1:11" ht="16.5" x14ac:dyDescent="0.2">
      <c r="A942" s="4" t="s">
        <v>235</v>
      </c>
      <c r="B942">
        <v>2011</v>
      </c>
      <c r="C942" s="14">
        <v>205.99999999999997</v>
      </c>
      <c r="D942" s="14">
        <v>185.99999999999997</v>
      </c>
      <c r="E942" s="14">
        <v>494.66666666666663</v>
      </c>
      <c r="F942" s="14">
        <v>12.666666666666664</v>
      </c>
      <c r="G942" s="14">
        <v>399.99999999999994</v>
      </c>
      <c r="H942" s="14">
        <v>115.99999999999999</v>
      </c>
      <c r="I942" s="14">
        <v>230.66666666666666</v>
      </c>
    </row>
    <row r="943" spans="1:11" ht="16.5" x14ac:dyDescent="0.2">
      <c r="A943" s="4" t="s">
        <v>235</v>
      </c>
      <c r="B943">
        <v>2012</v>
      </c>
      <c r="C943" s="14">
        <v>201.33333333333331</v>
      </c>
      <c r="D943" s="14">
        <v>182.66666666666663</v>
      </c>
      <c r="E943" s="14">
        <v>493.99999999999994</v>
      </c>
      <c r="F943" s="14">
        <v>12.666666666666664</v>
      </c>
      <c r="G943" s="14">
        <v>408.66666666666669</v>
      </c>
      <c r="H943" s="14">
        <v>118.66666666666666</v>
      </c>
      <c r="I943" s="14">
        <v>229.33333333333331</v>
      </c>
      <c r="K943" s="15"/>
    </row>
    <row r="944" spans="1:11" ht="16.5" x14ac:dyDescent="0.2">
      <c r="A944" s="4" t="s">
        <v>235</v>
      </c>
      <c r="B944">
        <v>2013</v>
      </c>
      <c r="C944" s="14">
        <v>197.99999999999997</v>
      </c>
      <c r="D944" s="14">
        <v>180.66666666666666</v>
      </c>
      <c r="E944" s="14">
        <v>493.99999999999994</v>
      </c>
      <c r="F944" s="14">
        <v>12</v>
      </c>
      <c r="G944" s="14">
        <v>416</v>
      </c>
      <c r="H944" s="14">
        <v>119.33333333333331</v>
      </c>
      <c r="I944" s="14">
        <v>227.33333333333331</v>
      </c>
    </row>
    <row r="945" spans="1:11" ht="16.5" x14ac:dyDescent="0.2">
      <c r="A945" s="4" t="s">
        <v>235</v>
      </c>
      <c r="B945">
        <v>2014</v>
      </c>
      <c r="C945" s="14">
        <v>194</v>
      </c>
      <c r="D945" s="14">
        <v>177.99999999999997</v>
      </c>
      <c r="E945" s="14">
        <v>493.33333333333331</v>
      </c>
      <c r="F945" s="14">
        <v>12</v>
      </c>
      <c r="G945" s="14">
        <v>422.66666666666669</v>
      </c>
      <c r="H945" s="14">
        <v>122.66666666666664</v>
      </c>
      <c r="I945" s="14">
        <v>225.99999999999997</v>
      </c>
    </row>
    <row r="946" spans="1:11" ht="16.5" x14ac:dyDescent="0.2">
      <c r="A946" s="4" t="s">
        <v>235</v>
      </c>
      <c r="B946">
        <v>2015</v>
      </c>
      <c r="C946" s="14">
        <v>192.66666666666663</v>
      </c>
      <c r="D946" s="14">
        <v>176.66666666666666</v>
      </c>
      <c r="E946" s="14">
        <v>492.66666666666669</v>
      </c>
      <c r="F946" s="14">
        <v>11.333333333333332</v>
      </c>
      <c r="G946" s="14">
        <v>425.99999999999994</v>
      </c>
      <c r="H946" s="14">
        <v>125.33333333333333</v>
      </c>
      <c r="I946" s="14">
        <v>224.66666666666666</v>
      </c>
      <c r="K946" s="15"/>
    </row>
    <row r="947" spans="1:11" ht="16.5" x14ac:dyDescent="0.2">
      <c r="A947" s="4" t="s">
        <v>235</v>
      </c>
      <c r="B947">
        <v>2016</v>
      </c>
      <c r="C947" s="14">
        <v>190.66666666666666</v>
      </c>
      <c r="D947" s="14">
        <v>175.33333333333331</v>
      </c>
      <c r="E947" s="14">
        <v>492.66666666666669</v>
      </c>
      <c r="F947" s="14">
        <v>11.333333333333332</v>
      </c>
      <c r="G947" s="14">
        <v>428.66666666666669</v>
      </c>
      <c r="H947" s="14">
        <v>127.33333333333333</v>
      </c>
      <c r="I947" s="14">
        <v>224</v>
      </c>
    </row>
    <row r="948" spans="1:11" ht="16.5" x14ac:dyDescent="0.2">
      <c r="A948" s="4" t="s">
        <v>234</v>
      </c>
      <c r="B948">
        <v>2009</v>
      </c>
      <c r="C948" s="14">
        <v>753.99999999999989</v>
      </c>
      <c r="D948" s="14">
        <v>279.33333333333331</v>
      </c>
      <c r="E948" s="14">
        <v>1869.333333333333</v>
      </c>
      <c r="F948" s="14">
        <v>111.33333333333331</v>
      </c>
      <c r="G948" s="14">
        <v>406.66666666666657</v>
      </c>
      <c r="H948" s="14">
        <v>74.666666666666657</v>
      </c>
      <c r="I948" s="14">
        <v>407.33333333333331</v>
      </c>
      <c r="K948" s="15"/>
    </row>
    <row r="949" spans="1:11" ht="16.5" x14ac:dyDescent="0.2">
      <c r="A949" s="4" t="s">
        <v>234</v>
      </c>
      <c r="B949">
        <v>2010</v>
      </c>
      <c r="C949" s="14">
        <v>747.33333333333326</v>
      </c>
      <c r="D949" s="14">
        <v>274</v>
      </c>
      <c r="E949" s="14">
        <v>1867.3333333333333</v>
      </c>
      <c r="F949" s="14">
        <v>112</v>
      </c>
      <c r="G949" s="14">
        <v>415.33333333333326</v>
      </c>
      <c r="H949" s="14">
        <v>84.666666666666657</v>
      </c>
      <c r="I949" s="14">
        <v>405.33333333333326</v>
      </c>
    </row>
    <row r="950" spans="1:11" ht="16.5" x14ac:dyDescent="0.2">
      <c r="A950" s="4" t="s">
        <v>234</v>
      </c>
      <c r="B950">
        <v>2011</v>
      </c>
      <c r="C950" s="14">
        <v>747.33333333333326</v>
      </c>
      <c r="D950" s="14">
        <v>272.66666666666663</v>
      </c>
      <c r="E950" s="14">
        <v>1864.6666666666665</v>
      </c>
      <c r="F950" s="14">
        <v>104.66666666666666</v>
      </c>
      <c r="G950" s="14">
        <v>422.66666666666657</v>
      </c>
      <c r="H950" s="14">
        <v>92.666666666666657</v>
      </c>
      <c r="I950" s="14">
        <v>403.33333333333331</v>
      </c>
    </row>
    <row r="951" spans="1:11" ht="16.5" x14ac:dyDescent="0.2">
      <c r="A951" s="4" t="s">
        <v>234</v>
      </c>
      <c r="B951">
        <v>2012</v>
      </c>
      <c r="C951" s="14">
        <v>748</v>
      </c>
      <c r="D951" s="14">
        <v>270</v>
      </c>
      <c r="E951" s="14">
        <v>1864.6666666666665</v>
      </c>
      <c r="F951" s="14">
        <v>99.333333333333329</v>
      </c>
      <c r="G951" s="14">
        <v>428.66666666666663</v>
      </c>
      <c r="H951" s="14">
        <v>94.666666666666657</v>
      </c>
      <c r="I951" s="14">
        <v>403.33333333333331</v>
      </c>
      <c r="K951" s="15"/>
    </row>
    <row r="952" spans="1:11" ht="16.5" x14ac:dyDescent="0.2">
      <c r="A952" s="4" t="s">
        <v>234</v>
      </c>
      <c r="B952">
        <v>2013</v>
      </c>
      <c r="C952" s="14">
        <v>747.33333333333326</v>
      </c>
      <c r="D952" s="14">
        <v>266.66666666666663</v>
      </c>
      <c r="E952" s="14">
        <v>1863.3333333333333</v>
      </c>
      <c r="F952" s="14">
        <v>96</v>
      </c>
      <c r="G952" s="14">
        <v>435.99999999999989</v>
      </c>
      <c r="H952" s="14">
        <v>99.999999999999986</v>
      </c>
      <c r="I952" s="14">
        <v>401.33333333333331</v>
      </c>
    </row>
    <row r="953" spans="1:11" ht="16.5" x14ac:dyDescent="0.2">
      <c r="A953" s="4" t="s">
        <v>234</v>
      </c>
      <c r="B953">
        <v>2014</v>
      </c>
      <c r="C953" s="14">
        <v>741.33333333333326</v>
      </c>
      <c r="D953" s="14">
        <v>265.33333333333331</v>
      </c>
      <c r="E953" s="14">
        <v>1862.6666666666663</v>
      </c>
      <c r="F953" s="14">
        <v>95.333333333333329</v>
      </c>
      <c r="G953" s="14">
        <v>443.33333333333331</v>
      </c>
      <c r="H953" s="14">
        <v>105.33333333333333</v>
      </c>
      <c r="I953" s="14">
        <v>399.33333333333331</v>
      </c>
      <c r="K953" s="15"/>
    </row>
    <row r="954" spans="1:11" ht="16.5" x14ac:dyDescent="0.2">
      <c r="A954" s="4" t="s">
        <v>234</v>
      </c>
      <c r="B954">
        <v>2015</v>
      </c>
      <c r="C954" s="14">
        <v>738.66666666666663</v>
      </c>
      <c r="D954" s="14">
        <v>263.33333333333331</v>
      </c>
      <c r="E954" s="14">
        <v>1862</v>
      </c>
      <c r="F954" s="14">
        <v>93.999999999999986</v>
      </c>
      <c r="G954" s="14">
        <v>448</v>
      </c>
      <c r="H954" s="14">
        <v>109.99999999999999</v>
      </c>
      <c r="I954" s="14">
        <v>398</v>
      </c>
    </row>
    <row r="955" spans="1:11" ht="16.5" x14ac:dyDescent="0.2">
      <c r="A955" s="4" t="s">
        <v>234</v>
      </c>
      <c r="B955">
        <v>2016</v>
      </c>
      <c r="C955" s="14">
        <v>736</v>
      </c>
      <c r="D955" s="14">
        <v>261.99999999999994</v>
      </c>
      <c r="E955" s="14">
        <v>1859.9999999999998</v>
      </c>
      <c r="F955" s="14">
        <v>91.333333333333314</v>
      </c>
      <c r="G955" s="14">
        <v>467.33333333333326</v>
      </c>
      <c r="H955" s="14">
        <v>115.33333333333333</v>
      </c>
      <c r="I955" s="14">
        <v>381.33333333333331</v>
      </c>
    </row>
    <row r="956" spans="1:11" ht="16.5" x14ac:dyDescent="0.2">
      <c r="A956" s="4" t="s">
        <v>233</v>
      </c>
      <c r="B956">
        <v>2009</v>
      </c>
      <c r="C956" s="14">
        <v>1920.6666666666667</v>
      </c>
      <c r="D956" s="14">
        <v>749.99999999999989</v>
      </c>
      <c r="E956" s="14">
        <v>18378.666666666668</v>
      </c>
      <c r="F956" s="14">
        <v>307.33333333333331</v>
      </c>
      <c r="G956" s="14">
        <v>451.99999999999994</v>
      </c>
      <c r="H956" s="14">
        <v>237.33333333333331</v>
      </c>
      <c r="I956" s="14">
        <v>453.99999999999994</v>
      </c>
      <c r="K956" s="15"/>
    </row>
    <row r="957" spans="1:11" ht="16.5" x14ac:dyDescent="0.2">
      <c r="A957" s="4" t="s">
        <v>233</v>
      </c>
      <c r="B957">
        <v>2010</v>
      </c>
      <c r="C957" s="14">
        <v>1919.9999999999998</v>
      </c>
      <c r="D957" s="14">
        <v>719.33333333333326</v>
      </c>
      <c r="E957" s="14">
        <v>18360</v>
      </c>
      <c r="F957" s="14">
        <v>337.33333333333331</v>
      </c>
      <c r="G957" s="14">
        <v>471.33333333333331</v>
      </c>
      <c r="H957" s="14">
        <v>245.33333333333329</v>
      </c>
      <c r="I957" s="14">
        <v>452.66666666666669</v>
      </c>
    </row>
    <row r="958" spans="1:11" ht="16.5" x14ac:dyDescent="0.2">
      <c r="A958" s="4" t="s">
        <v>233</v>
      </c>
      <c r="B958">
        <v>2011</v>
      </c>
      <c r="C958" s="14">
        <v>1923.3333333333333</v>
      </c>
      <c r="D958" s="14">
        <v>715.33333333333326</v>
      </c>
      <c r="E958" s="14">
        <v>18346.666666666664</v>
      </c>
      <c r="F958" s="14">
        <v>339.33333333333331</v>
      </c>
      <c r="G958" s="14">
        <v>486.66666666666663</v>
      </c>
      <c r="H958" s="14">
        <v>249.99999999999997</v>
      </c>
      <c r="I958" s="14">
        <v>451.99999999999994</v>
      </c>
      <c r="K958" s="15"/>
    </row>
    <row r="959" spans="1:11" ht="16.5" x14ac:dyDescent="0.2">
      <c r="A959" s="4" t="s">
        <v>233</v>
      </c>
      <c r="B959">
        <v>2012</v>
      </c>
      <c r="C959" s="14">
        <v>1934.6666666666665</v>
      </c>
      <c r="D959" s="14">
        <v>709.99999999999989</v>
      </c>
      <c r="E959" s="14">
        <v>18339.333333333332</v>
      </c>
      <c r="F959" s="14">
        <v>338.66666666666663</v>
      </c>
      <c r="G959" s="14">
        <v>496</v>
      </c>
      <c r="H959" s="14">
        <v>252.66666666666663</v>
      </c>
      <c r="I959" s="14">
        <v>451.33333333333331</v>
      </c>
    </row>
    <row r="960" spans="1:11" ht="16.5" x14ac:dyDescent="0.2">
      <c r="A960" s="4" t="s">
        <v>233</v>
      </c>
      <c r="B960">
        <v>2013</v>
      </c>
      <c r="C960" s="14">
        <v>1942.6666666666663</v>
      </c>
      <c r="D960" s="14">
        <v>703.99999999999989</v>
      </c>
      <c r="E960" s="14">
        <v>18329.333333333332</v>
      </c>
      <c r="F960" s="14">
        <v>339.33333333333331</v>
      </c>
      <c r="G960" s="14">
        <v>506.66666666666663</v>
      </c>
      <c r="H960" s="14">
        <v>256.66666666666663</v>
      </c>
      <c r="I960" s="14">
        <v>449.99999999999994</v>
      </c>
    </row>
    <row r="961" spans="1:11" ht="16.5" x14ac:dyDescent="0.2">
      <c r="A961" s="4" t="s">
        <v>233</v>
      </c>
      <c r="B961">
        <v>2014</v>
      </c>
      <c r="C961" s="14">
        <v>1946.6666666666665</v>
      </c>
      <c r="D961" s="14">
        <v>696.66666666666663</v>
      </c>
      <c r="E961" s="14">
        <v>18318.666666666668</v>
      </c>
      <c r="F961" s="14">
        <v>341.99999999999994</v>
      </c>
      <c r="G961" s="14">
        <v>515.33333333333337</v>
      </c>
      <c r="H961" s="14">
        <v>262.66666666666663</v>
      </c>
      <c r="I961" s="14">
        <v>450.66666666666657</v>
      </c>
      <c r="K961" s="15"/>
    </row>
    <row r="962" spans="1:11" ht="16.5" x14ac:dyDescent="0.2">
      <c r="A962" s="4" t="s">
        <v>233</v>
      </c>
      <c r="B962">
        <v>2015</v>
      </c>
      <c r="C962" s="14">
        <v>1949.9999999999998</v>
      </c>
      <c r="D962" s="14">
        <v>691.99999999999989</v>
      </c>
      <c r="E962" s="14">
        <v>18306.666666666664</v>
      </c>
      <c r="F962" s="14">
        <v>345.33333333333326</v>
      </c>
      <c r="G962" s="14">
        <v>520</v>
      </c>
      <c r="H962" s="14">
        <v>272.66666666666663</v>
      </c>
      <c r="I962" s="14">
        <v>449.99999999999994</v>
      </c>
    </row>
    <row r="963" spans="1:11" ht="16.5" x14ac:dyDescent="0.2">
      <c r="A963" s="4" t="s">
        <v>233</v>
      </c>
      <c r="B963">
        <v>2016</v>
      </c>
      <c r="C963" s="14">
        <v>1954</v>
      </c>
      <c r="D963" s="14">
        <v>689.99999999999989</v>
      </c>
      <c r="E963" s="14">
        <v>18300.666666666664</v>
      </c>
      <c r="F963" s="14">
        <v>344</v>
      </c>
      <c r="G963" s="14">
        <v>523.33333333333326</v>
      </c>
      <c r="H963" s="14">
        <v>274.66666666666669</v>
      </c>
      <c r="I963" s="14">
        <v>451.33333333333331</v>
      </c>
      <c r="K963" s="15"/>
    </row>
    <row r="964" spans="1:11" ht="16.5" x14ac:dyDescent="0.2">
      <c r="A964" s="4" t="s">
        <v>232</v>
      </c>
      <c r="B964">
        <v>2009</v>
      </c>
      <c r="C964" s="14">
        <v>1484.6666666666665</v>
      </c>
      <c r="D964" s="14">
        <v>1178.6666666666667</v>
      </c>
      <c r="E964" s="14">
        <v>5666.6666666666661</v>
      </c>
      <c r="F964" s="14">
        <v>361.99999999999994</v>
      </c>
      <c r="G964" s="14">
        <v>1251.3333333333333</v>
      </c>
      <c r="H964" s="14">
        <v>254</v>
      </c>
      <c r="I964" s="14">
        <v>633.33333333333326</v>
      </c>
    </row>
    <row r="965" spans="1:11" ht="16.5" x14ac:dyDescent="0.2">
      <c r="A965" s="4" t="s">
        <v>232</v>
      </c>
      <c r="B965">
        <v>2010</v>
      </c>
      <c r="C965" s="14">
        <v>1474.6666666666665</v>
      </c>
      <c r="D965" s="14">
        <v>1160</v>
      </c>
      <c r="E965" s="14">
        <v>5654.6666666666661</v>
      </c>
      <c r="F965" s="14">
        <v>371.33333333333331</v>
      </c>
      <c r="G965" s="14">
        <v>1272.6666666666665</v>
      </c>
      <c r="H965" s="14">
        <v>265.33333333333331</v>
      </c>
      <c r="I965" s="14">
        <v>628.66666666666663</v>
      </c>
    </row>
    <row r="966" spans="1:11" ht="16.5" x14ac:dyDescent="0.2">
      <c r="A966" s="4" t="s">
        <v>232</v>
      </c>
      <c r="B966">
        <v>2011</v>
      </c>
      <c r="C966" s="14">
        <v>1469.9999999999998</v>
      </c>
      <c r="D966" s="14">
        <v>1152</v>
      </c>
      <c r="E966" s="14">
        <v>5645.3333333333321</v>
      </c>
      <c r="F966" s="14">
        <v>365.33333333333326</v>
      </c>
      <c r="G966" s="14">
        <v>1292</v>
      </c>
      <c r="H966" s="14">
        <v>280</v>
      </c>
      <c r="I966" s="14">
        <v>624.66666666666663</v>
      </c>
      <c r="K966" s="15"/>
    </row>
    <row r="967" spans="1:11" ht="16.5" x14ac:dyDescent="0.2">
      <c r="A967" s="4" t="s">
        <v>232</v>
      </c>
      <c r="B967">
        <v>2012</v>
      </c>
      <c r="C967" s="14">
        <v>1467.3333333333333</v>
      </c>
      <c r="D967" s="14">
        <v>1143.9999999999998</v>
      </c>
      <c r="E967" s="14">
        <v>5640.6666666666661</v>
      </c>
      <c r="F967" s="14">
        <v>361.33333333333331</v>
      </c>
      <c r="G967" s="14">
        <v>1310.6666666666665</v>
      </c>
      <c r="H967" s="14">
        <v>289.33333333333331</v>
      </c>
      <c r="I967" s="14">
        <v>621.33333333333326</v>
      </c>
    </row>
    <row r="968" spans="1:11" ht="16.5" x14ac:dyDescent="0.2">
      <c r="A968" s="4" t="s">
        <v>232</v>
      </c>
      <c r="B968">
        <v>2013</v>
      </c>
      <c r="C968" s="14">
        <v>1461.333333333333</v>
      </c>
      <c r="D968" s="14">
        <v>1129.3333333333333</v>
      </c>
      <c r="E968" s="14">
        <v>5631.333333333333</v>
      </c>
      <c r="F968" s="14">
        <v>365.33333333333326</v>
      </c>
      <c r="G968" s="14">
        <v>1333.3333333333333</v>
      </c>
      <c r="H968" s="14">
        <v>296.66666666666663</v>
      </c>
      <c r="I968" s="14">
        <v>619.33333333333337</v>
      </c>
      <c r="K968" s="15"/>
    </row>
    <row r="969" spans="1:11" ht="16.5" x14ac:dyDescent="0.2">
      <c r="A969" s="4" t="s">
        <v>232</v>
      </c>
      <c r="B969">
        <v>2014</v>
      </c>
      <c r="C969" s="14">
        <v>1453.3333333333333</v>
      </c>
      <c r="D969" s="14">
        <v>1124.6666666666665</v>
      </c>
      <c r="E969" s="14">
        <v>5624.6666666666661</v>
      </c>
      <c r="F969" s="14">
        <v>360.66666666666663</v>
      </c>
      <c r="G969" s="14">
        <v>1353.3333333333333</v>
      </c>
      <c r="H969" s="14">
        <v>307.33333333333331</v>
      </c>
      <c r="I969" s="14">
        <v>616</v>
      </c>
    </row>
    <row r="970" spans="1:11" ht="16.5" x14ac:dyDescent="0.2">
      <c r="A970" s="4" t="s">
        <v>232</v>
      </c>
      <c r="B970">
        <v>2015</v>
      </c>
      <c r="C970" s="14">
        <v>1451.333333333333</v>
      </c>
      <c r="D970" s="14">
        <v>1118.6666666666667</v>
      </c>
      <c r="E970" s="14">
        <v>5620.6666666666661</v>
      </c>
      <c r="F970" s="14">
        <v>358</v>
      </c>
      <c r="G970" s="14">
        <v>1368.6666666666665</v>
      </c>
      <c r="H970" s="14">
        <v>313.33333333333331</v>
      </c>
      <c r="I970" s="14">
        <v>614.66666666666663</v>
      </c>
    </row>
    <row r="971" spans="1:11" ht="16.5" x14ac:dyDescent="0.2">
      <c r="A971" s="4" t="s">
        <v>232</v>
      </c>
      <c r="B971">
        <v>2016</v>
      </c>
      <c r="C971" s="14">
        <v>1448.6666666666665</v>
      </c>
      <c r="D971" s="14">
        <v>1113.3333333333333</v>
      </c>
      <c r="E971" s="14">
        <v>5617.333333333333</v>
      </c>
      <c r="F971" s="14">
        <v>358.66666666666663</v>
      </c>
      <c r="G971" s="14">
        <v>1376.6666666666665</v>
      </c>
      <c r="H971" s="14">
        <v>318</v>
      </c>
      <c r="I971" s="14">
        <v>613.33333333333326</v>
      </c>
      <c r="K971" s="15"/>
    </row>
    <row r="972" spans="1:11" ht="16.5" x14ac:dyDescent="0.2">
      <c r="A972" s="4" t="s">
        <v>231</v>
      </c>
      <c r="B972">
        <v>2009</v>
      </c>
      <c r="C972" s="14">
        <v>1804</v>
      </c>
      <c r="D972" s="14">
        <v>2470.6666666666665</v>
      </c>
      <c r="E972" s="14">
        <v>5975.3333333333321</v>
      </c>
      <c r="F972" s="14">
        <v>288.66666666666663</v>
      </c>
      <c r="G972" s="14">
        <v>706</v>
      </c>
      <c r="H972" s="14">
        <v>235.33333333333329</v>
      </c>
      <c r="I972" s="14">
        <v>843.99999999999989</v>
      </c>
    </row>
    <row r="973" spans="1:11" ht="16.5" x14ac:dyDescent="0.2">
      <c r="A973" s="4" t="s">
        <v>231</v>
      </c>
      <c r="B973">
        <v>2010</v>
      </c>
      <c r="C973" s="14">
        <v>1799.9999999999998</v>
      </c>
      <c r="D973" s="14">
        <v>2445.333333333333</v>
      </c>
      <c r="E973" s="14">
        <v>5959.333333333333</v>
      </c>
      <c r="F973" s="14">
        <v>304</v>
      </c>
      <c r="G973" s="14">
        <v>729.99999999999989</v>
      </c>
      <c r="H973" s="14">
        <v>243.33333333333331</v>
      </c>
      <c r="I973" s="14">
        <v>840.66666666666652</v>
      </c>
      <c r="K973" s="15"/>
    </row>
    <row r="974" spans="1:11" ht="16.5" x14ac:dyDescent="0.2">
      <c r="A974" s="4" t="s">
        <v>231</v>
      </c>
      <c r="B974">
        <v>2011</v>
      </c>
      <c r="C974" s="14">
        <v>1800.6666666666667</v>
      </c>
      <c r="D974" s="14">
        <v>2425.333333333333</v>
      </c>
      <c r="E974" s="14">
        <v>5950.6666666666661</v>
      </c>
      <c r="F974" s="14">
        <v>303.33333333333331</v>
      </c>
      <c r="G974" s="14">
        <v>749.99999999999989</v>
      </c>
      <c r="H974" s="14">
        <v>253.33333333333331</v>
      </c>
      <c r="I974" s="14">
        <v>838.66666666666663</v>
      </c>
    </row>
    <row r="975" spans="1:11" ht="16.5" x14ac:dyDescent="0.2">
      <c r="A975" s="4" t="s">
        <v>231</v>
      </c>
      <c r="B975">
        <v>2012</v>
      </c>
      <c r="C975" s="14">
        <v>1798.6666666666665</v>
      </c>
      <c r="D975" s="14">
        <v>2404.6666666666665</v>
      </c>
      <c r="E975" s="14">
        <v>5947.333333333333</v>
      </c>
      <c r="F975" s="14">
        <v>303.33333333333331</v>
      </c>
      <c r="G975" s="14">
        <v>770.66666666666663</v>
      </c>
      <c r="H975" s="14">
        <v>263.33333333333331</v>
      </c>
      <c r="I975" s="14">
        <v>835.33333333333326</v>
      </c>
    </row>
    <row r="976" spans="1:11" ht="16.5" x14ac:dyDescent="0.2">
      <c r="A976" s="4" t="s">
        <v>231</v>
      </c>
      <c r="B976">
        <v>2013</v>
      </c>
      <c r="C976" s="14">
        <v>1797.9999999999998</v>
      </c>
      <c r="D976" s="14">
        <v>2385.333333333333</v>
      </c>
      <c r="E976" s="14">
        <v>5943.333333333333</v>
      </c>
      <c r="F976" s="14">
        <v>301.33333333333331</v>
      </c>
      <c r="G976" s="14">
        <v>795.99999999999989</v>
      </c>
      <c r="H976" s="14">
        <v>270</v>
      </c>
      <c r="I976" s="14">
        <v>831.33333333333326</v>
      </c>
      <c r="K976" s="15"/>
    </row>
    <row r="977" spans="1:11" ht="16.5" x14ac:dyDescent="0.2">
      <c r="A977" s="4" t="s">
        <v>231</v>
      </c>
      <c r="B977">
        <v>2014</v>
      </c>
      <c r="C977" s="14">
        <v>1792.6666666666663</v>
      </c>
      <c r="D977" s="14">
        <v>2372.6666666666665</v>
      </c>
      <c r="E977" s="14">
        <v>5940.6666666666661</v>
      </c>
      <c r="F977" s="14">
        <v>297.33333333333331</v>
      </c>
      <c r="G977" s="14">
        <v>815.33333333333326</v>
      </c>
      <c r="H977" s="14">
        <v>278</v>
      </c>
      <c r="I977" s="14">
        <v>828</v>
      </c>
    </row>
    <row r="978" spans="1:11" ht="16.5" x14ac:dyDescent="0.2">
      <c r="A978" s="4" t="s">
        <v>231</v>
      </c>
      <c r="B978">
        <v>2015</v>
      </c>
      <c r="C978" s="14">
        <v>1792</v>
      </c>
      <c r="D978" s="14">
        <v>2359.333333333333</v>
      </c>
      <c r="E978" s="14">
        <v>5939.333333333333</v>
      </c>
      <c r="F978" s="14">
        <v>298</v>
      </c>
      <c r="G978" s="14">
        <v>836.66666666666663</v>
      </c>
      <c r="H978" s="14">
        <v>281.33333333333331</v>
      </c>
      <c r="I978" s="14">
        <v>826.66666666666663</v>
      </c>
      <c r="K978" s="15"/>
    </row>
    <row r="979" spans="1:11" ht="16.5" x14ac:dyDescent="0.2">
      <c r="A979" s="4" t="s">
        <v>231</v>
      </c>
      <c r="B979">
        <v>2016</v>
      </c>
      <c r="C979" s="14">
        <v>1789.9999999999998</v>
      </c>
      <c r="D979" s="14">
        <v>2345.333333333333</v>
      </c>
      <c r="E979" s="14">
        <v>5935.9999999999991</v>
      </c>
      <c r="F979" s="14">
        <v>300.66666666666663</v>
      </c>
      <c r="G979" s="14">
        <v>848.66666666666663</v>
      </c>
      <c r="H979" s="14">
        <v>290.66666666666663</v>
      </c>
      <c r="I979" s="14">
        <v>824.66666666666663</v>
      </c>
    </row>
    <row r="980" spans="1:11" ht="16.5" x14ac:dyDescent="0.2">
      <c r="A980" s="4" t="s">
        <v>230</v>
      </c>
      <c r="B980">
        <v>2009</v>
      </c>
      <c r="C980" s="14">
        <v>2355.333333333333</v>
      </c>
      <c r="D980" s="14">
        <v>1381.333333333333</v>
      </c>
      <c r="E980" s="14">
        <v>20449.333333333332</v>
      </c>
      <c r="F980" s="14">
        <v>336.66666666666663</v>
      </c>
      <c r="G980" s="14">
        <v>457.33333333333326</v>
      </c>
      <c r="H980" s="14">
        <v>265.33333333333331</v>
      </c>
      <c r="I980" s="14">
        <v>563.99999999999989</v>
      </c>
    </row>
    <row r="981" spans="1:11" ht="16.5" x14ac:dyDescent="0.2">
      <c r="A981" s="4" t="s">
        <v>230</v>
      </c>
      <c r="B981">
        <v>2010</v>
      </c>
      <c r="C981" s="14">
        <v>2350</v>
      </c>
      <c r="D981" s="14">
        <v>1371.333333333333</v>
      </c>
      <c r="E981" s="14">
        <v>20437.999999999996</v>
      </c>
      <c r="F981" s="14">
        <v>337.33333333333331</v>
      </c>
      <c r="G981" s="14">
        <v>469.33333333333331</v>
      </c>
      <c r="H981" s="14">
        <v>274</v>
      </c>
      <c r="I981" s="14">
        <v>565.33333333333326</v>
      </c>
      <c r="K981" s="15"/>
    </row>
    <row r="982" spans="1:11" ht="16.5" x14ac:dyDescent="0.2">
      <c r="A982" s="4" t="s">
        <v>230</v>
      </c>
      <c r="B982">
        <v>2011</v>
      </c>
      <c r="C982" s="14">
        <v>2354</v>
      </c>
      <c r="D982" s="14">
        <v>1368.6666666666665</v>
      </c>
      <c r="E982" s="14">
        <v>20427.333333333332</v>
      </c>
      <c r="F982" s="14">
        <v>332.66666666666663</v>
      </c>
      <c r="G982" s="14">
        <v>484.66666666666663</v>
      </c>
      <c r="H982" s="14">
        <v>276.66666666666663</v>
      </c>
      <c r="I982" s="14">
        <v>564.66666666666663</v>
      </c>
    </row>
    <row r="983" spans="1:11" ht="16.5" x14ac:dyDescent="0.2">
      <c r="A983" s="4" t="s">
        <v>230</v>
      </c>
      <c r="B983">
        <v>2012</v>
      </c>
      <c r="C983" s="14">
        <v>2361.333333333333</v>
      </c>
      <c r="D983" s="14">
        <v>1365.3333333333333</v>
      </c>
      <c r="E983" s="14">
        <v>20419.333333333332</v>
      </c>
      <c r="F983" s="14">
        <v>328</v>
      </c>
      <c r="G983" s="14">
        <v>493.3333333333332</v>
      </c>
      <c r="H983" s="14">
        <v>281.33333333333331</v>
      </c>
      <c r="I983" s="14">
        <v>561.99999999999989</v>
      </c>
      <c r="K983" s="15"/>
    </row>
    <row r="984" spans="1:11" ht="16.5" x14ac:dyDescent="0.2">
      <c r="A984" s="4" t="s">
        <v>230</v>
      </c>
      <c r="B984">
        <v>2013</v>
      </c>
      <c r="C984" s="14">
        <v>2367.9999999999995</v>
      </c>
      <c r="D984" s="14">
        <v>1357.9999999999998</v>
      </c>
      <c r="E984" s="14">
        <v>20404.666666666664</v>
      </c>
      <c r="F984" s="14">
        <v>325.99999999999994</v>
      </c>
      <c r="G984" s="14">
        <v>507.33333333333337</v>
      </c>
      <c r="H984" s="14">
        <v>288.66666666666663</v>
      </c>
      <c r="I984" s="14">
        <v>560.66666666666663</v>
      </c>
    </row>
    <row r="985" spans="1:11" ht="16.5" x14ac:dyDescent="0.2">
      <c r="A985" s="4" t="s">
        <v>230</v>
      </c>
      <c r="B985">
        <v>2014</v>
      </c>
      <c r="C985" s="14">
        <v>2370</v>
      </c>
      <c r="D985" s="14">
        <v>1355.3333333333333</v>
      </c>
      <c r="E985" s="14">
        <v>20395.333333333332</v>
      </c>
      <c r="F985" s="14">
        <v>323.33333333333331</v>
      </c>
      <c r="G985" s="14">
        <v>516</v>
      </c>
      <c r="H985" s="14">
        <v>295.33333333333331</v>
      </c>
      <c r="I985" s="14">
        <v>559.33333333333337</v>
      </c>
    </row>
    <row r="986" spans="1:11" ht="16.5" x14ac:dyDescent="0.2">
      <c r="A986" s="4" t="s">
        <v>230</v>
      </c>
      <c r="B986">
        <v>2015</v>
      </c>
      <c r="C986" s="14">
        <v>2376.6666666666665</v>
      </c>
      <c r="D986" s="14">
        <v>1353.3333333333333</v>
      </c>
      <c r="E986" s="14">
        <v>20389.333333333332</v>
      </c>
      <c r="F986" s="14">
        <v>321.33333333333331</v>
      </c>
      <c r="G986" s="14">
        <v>520</v>
      </c>
      <c r="H986" s="14">
        <v>300</v>
      </c>
      <c r="I986" s="14">
        <v>557.33333333333326</v>
      </c>
      <c r="K986" s="15"/>
    </row>
    <row r="987" spans="1:11" ht="16.5" x14ac:dyDescent="0.2">
      <c r="A987" s="4" t="s">
        <v>230</v>
      </c>
      <c r="B987">
        <v>2016</v>
      </c>
      <c r="C987" s="14">
        <v>2379.333333333333</v>
      </c>
      <c r="D987" s="14">
        <v>1349.9999999999998</v>
      </c>
      <c r="E987" s="14">
        <v>20382.666666666664</v>
      </c>
      <c r="F987" s="14">
        <v>321.33333333333331</v>
      </c>
      <c r="G987" s="14">
        <v>523.33333333333326</v>
      </c>
      <c r="H987" s="14">
        <v>307.33333333333331</v>
      </c>
      <c r="I987" s="14">
        <v>556.66666666666663</v>
      </c>
    </row>
    <row r="988" spans="1:11" ht="16.5" x14ac:dyDescent="0.2">
      <c r="A988" s="4" t="s">
        <v>229</v>
      </c>
      <c r="B988">
        <v>2009</v>
      </c>
      <c r="C988" s="14">
        <v>1636</v>
      </c>
      <c r="D988" s="14">
        <v>284</v>
      </c>
      <c r="E988" s="14">
        <v>15316.666666666666</v>
      </c>
      <c r="F988" s="14">
        <v>321.33333333333331</v>
      </c>
      <c r="G988" s="14">
        <v>519.33333333333326</v>
      </c>
      <c r="H988" s="14">
        <v>204.66666666666666</v>
      </c>
      <c r="I988" s="14">
        <v>361.99999999999994</v>
      </c>
      <c r="K988" s="15"/>
    </row>
    <row r="989" spans="1:11" ht="16.5" x14ac:dyDescent="0.2">
      <c r="A989" s="4" t="s">
        <v>229</v>
      </c>
      <c r="B989">
        <v>2010</v>
      </c>
      <c r="C989" s="14">
        <v>1638.6666666666665</v>
      </c>
      <c r="D989" s="14">
        <v>278.66666666666663</v>
      </c>
      <c r="E989" s="14">
        <v>15284.666666666664</v>
      </c>
      <c r="F989" s="14">
        <v>331.99999999999994</v>
      </c>
      <c r="G989" s="14">
        <v>535.33333333333326</v>
      </c>
      <c r="H989" s="14">
        <v>212</v>
      </c>
      <c r="I989" s="14">
        <v>361.99999999999994</v>
      </c>
    </row>
    <row r="990" spans="1:11" ht="16.5" x14ac:dyDescent="0.2">
      <c r="A990" s="4" t="s">
        <v>229</v>
      </c>
      <c r="B990">
        <v>2011</v>
      </c>
      <c r="C990" s="14">
        <v>1642.6666666666665</v>
      </c>
      <c r="D990" s="14">
        <v>276.66666666666663</v>
      </c>
      <c r="E990" s="14">
        <v>15266.666666666666</v>
      </c>
      <c r="F990" s="14">
        <v>330.66666666666663</v>
      </c>
      <c r="G990" s="14">
        <v>547.33333333333337</v>
      </c>
      <c r="H990" s="14">
        <v>218.66666666666663</v>
      </c>
      <c r="I990" s="14">
        <v>361.99999999999994</v>
      </c>
    </row>
    <row r="991" spans="1:11" ht="16.5" x14ac:dyDescent="0.2">
      <c r="A991" s="4" t="s">
        <v>229</v>
      </c>
      <c r="B991">
        <v>2012</v>
      </c>
      <c r="C991" s="14">
        <v>1649.3333333333333</v>
      </c>
      <c r="D991" s="14">
        <v>266.66666666666663</v>
      </c>
      <c r="E991" s="14">
        <v>15260.666666666664</v>
      </c>
      <c r="F991" s="14">
        <v>328</v>
      </c>
      <c r="G991" s="14">
        <v>558.66666666666663</v>
      </c>
      <c r="H991" s="14">
        <v>221.99999999999997</v>
      </c>
      <c r="I991" s="14">
        <v>361.33333333333331</v>
      </c>
      <c r="K991" s="15"/>
    </row>
    <row r="992" spans="1:11" ht="16.5" x14ac:dyDescent="0.2">
      <c r="A992" s="4" t="s">
        <v>229</v>
      </c>
      <c r="B992">
        <v>2013</v>
      </c>
      <c r="C992" s="14">
        <v>1655.3333333333333</v>
      </c>
      <c r="D992" s="14">
        <v>262.66666666666663</v>
      </c>
      <c r="E992" s="14">
        <v>15246.666666666666</v>
      </c>
      <c r="F992" s="14">
        <v>329.33333333333331</v>
      </c>
      <c r="G992" s="14">
        <v>570</v>
      </c>
      <c r="H992" s="14">
        <v>225.33333333333329</v>
      </c>
      <c r="I992" s="14">
        <v>360.66666666666663</v>
      </c>
    </row>
    <row r="993" spans="1:11" ht="16.5" x14ac:dyDescent="0.2">
      <c r="A993" s="4" t="s">
        <v>229</v>
      </c>
      <c r="B993">
        <v>2014</v>
      </c>
      <c r="C993" s="14">
        <v>1661.333333333333</v>
      </c>
      <c r="D993" s="14">
        <v>257.33333333333331</v>
      </c>
      <c r="E993" s="14">
        <v>15230.666666666664</v>
      </c>
      <c r="F993" s="14">
        <v>331.99999999999994</v>
      </c>
      <c r="G993" s="14">
        <v>580.66666666666663</v>
      </c>
      <c r="H993" s="14">
        <v>229.99999999999997</v>
      </c>
      <c r="I993" s="14">
        <v>359.99999999999994</v>
      </c>
      <c r="K993" s="15"/>
    </row>
    <row r="994" spans="1:11" ht="16.5" x14ac:dyDescent="0.2">
      <c r="A994" s="4" t="s">
        <v>229</v>
      </c>
      <c r="B994">
        <v>2015</v>
      </c>
      <c r="C994" s="14">
        <v>1662</v>
      </c>
      <c r="D994" s="14">
        <v>255.33333333333329</v>
      </c>
      <c r="E994" s="14">
        <v>15223.999999999998</v>
      </c>
      <c r="F994" s="14">
        <v>333.33333333333331</v>
      </c>
      <c r="G994" s="14">
        <v>585.33333333333326</v>
      </c>
      <c r="H994" s="14">
        <v>232.66666666666663</v>
      </c>
      <c r="I994" s="14">
        <v>359.33333333333331</v>
      </c>
    </row>
    <row r="995" spans="1:11" ht="16.5" x14ac:dyDescent="0.2">
      <c r="A995" s="4" t="s">
        <v>229</v>
      </c>
      <c r="B995">
        <v>2016</v>
      </c>
      <c r="C995" s="14">
        <v>1669.3333333333333</v>
      </c>
      <c r="D995" s="14">
        <v>254</v>
      </c>
      <c r="E995" s="14">
        <v>15211.33333333333</v>
      </c>
      <c r="F995" s="14">
        <v>332.66666666666663</v>
      </c>
      <c r="G995" s="14">
        <v>588.66666666666663</v>
      </c>
      <c r="H995" s="14">
        <v>235.99999999999997</v>
      </c>
      <c r="I995" s="14">
        <v>359.99999999999994</v>
      </c>
    </row>
    <row r="996" spans="1:11" ht="16.5" x14ac:dyDescent="0.2">
      <c r="A996" s="4" t="s">
        <v>228</v>
      </c>
      <c r="B996">
        <v>2009</v>
      </c>
      <c r="C996" s="14">
        <v>1599.9999999999998</v>
      </c>
      <c r="D996" s="14">
        <v>1039.3333333333333</v>
      </c>
      <c r="E996" s="14">
        <v>8606.6666666666661</v>
      </c>
      <c r="F996" s="14">
        <v>442.66666666666669</v>
      </c>
      <c r="G996" s="14">
        <v>289.33333333333337</v>
      </c>
      <c r="H996" s="14">
        <v>140</v>
      </c>
      <c r="I996" s="14">
        <v>805.33333333333326</v>
      </c>
      <c r="K996" s="15"/>
    </row>
    <row r="997" spans="1:11" ht="16.5" x14ac:dyDescent="0.2">
      <c r="A997" s="4" t="s">
        <v>228</v>
      </c>
      <c r="B997">
        <v>2010</v>
      </c>
      <c r="C997" s="14">
        <v>1606.6666666666665</v>
      </c>
      <c r="D997" s="14">
        <v>1013.3333333333333</v>
      </c>
      <c r="E997" s="14">
        <v>8592.6666666666661</v>
      </c>
      <c r="F997" s="14">
        <v>457.33333333333326</v>
      </c>
      <c r="G997" s="14">
        <v>298</v>
      </c>
      <c r="H997" s="14">
        <v>145.33333333333331</v>
      </c>
      <c r="I997" s="14">
        <v>803.33333333333326</v>
      </c>
    </row>
    <row r="998" spans="1:11" ht="16.5" x14ac:dyDescent="0.2">
      <c r="A998" s="4" t="s">
        <v>228</v>
      </c>
      <c r="B998">
        <v>2011</v>
      </c>
      <c r="C998" s="14">
        <v>1611.333333333333</v>
      </c>
      <c r="D998" s="14">
        <v>1010.6666666666665</v>
      </c>
      <c r="E998" s="14">
        <v>8585.3333333333321</v>
      </c>
      <c r="F998" s="14">
        <v>456</v>
      </c>
      <c r="G998" s="14">
        <v>306.66666666666663</v>
      </c>
      <c r="H998" s="14">
        <v>145.99999999999997</v>
      </c>
      <c r="I998" s="14">
        <v>801.33333333333326</v>
      </c>
      <c r="K998" s="15"/>
    </row>
    <row r="999" spans="1:11" ht="16.5" x14ac:dyDescent="0.2">
      <c r="A999" s="4" t="s">
        <v>228</v>
      </c>
      <c r="B999">
        <v>2012</v>
      </c>
      <c r="C999" s="14">
        <v>1613.3333333333333</v>
      </c>
      <c r="D999" s="14">
        <v>1003.3333333333333</v>
      </c>
      <c r="E999" s="14">
        <v>8579.3333333333339</v>
      </c>
      <c r="F999" s="14">
        <v>456</v>
      </c>
      <c r="G999" s="14">
        <v>318.66666666666669</v>
      </c>
      <c r="H999" s="14">
        <v>150</v>
      </c>
      <c r="I999" s="14">
        <v>797.33333333333326</v>
      </c>
    </row>
    <row r="1000" spans="1:11" ht="16.5" x14ac:dyDescent="0.2">
      <c r="A1000" s="4" t="s">
        <v>228</v>
      </c>
      <c r="B1000">
        <v>2013</v>
      </c>
      <c r="C1000" s="14">
        <v>1616</v>
      </c>
      <c r="D1000" s="14">
        <v>985.33333333333337</v>
      </c>
      <c r="E1000" s="14">
        <v>8572.6666666666661</v>
      </c>
      <c r="F1000" s="14">
        <v>465.33333333333326</v>
      </c>
      <c r="G1000" s="14">
        <v>331.33333333333331</v>
      </c>
      <c r="H1000" s="14">
        <v>155.99999999999997</v>
      </c>
      <c r="I1000" s="14">
        <v>794.66666666666663</v>
      </c>
    </row>
    <row r="1001" spans="1:11" ht="16.5" x14ac:dyDescent="0.2">
      <c r="A1001" s="4" t="s">
        <v>228</v>
      </c>
      <c r="B1001">
        <v>2014</v>
      </c>
      <c r="C1001" s="14">
        <v>1616.6666666666665</v>
      </c>
      <c r="D1001" s="14">
        <v>977.33333333333326</v>
      </c>
      <c r="E1001" s="14">
        <v>8566</v>
      </c>
      <c r="F1001" s="14">
        <v>466</v>
      </c>
      <c r="G1001" s="14">
        <v>340.66666666666663</v>
      </c>
      <c r="H1001" s="14">
        <v>164.66666666666666</v>
      </c>
      <c r="I1001" s="14">
        <v>792.66666666666663</v>
      </c>
      <c r="K1001" s="15"/>
    </row>
    <row r="1002" spans="1:11" ht="16.5" x14ac:dyDescent="0.2">
      <c r="A1002" s="4" t="s">
        <v>228</v>
      </c>
      <c r="B1002">
        <v>2015</v>
      </c>
      <c r="C1002" s="14">
        <v>1623.3333333333333</v>
      </c>
      <c r="D1002" s="14">
        <v>968.66666666666663</v>
      </c>
      <c r="E1002" s="14">
        <v>8560</v>
      </c>
      <c r="F1002" s="14">
        <v>464.66666666666663</v>
      </c>
      <c r="G1002" s="14">
        <v>350.66666666666663</v>
      </c>
      <c r="H1002" s="14">
        <v>169.99999999999997</v>
      </c>
      <c r="I1002" s="14">
        <v>787.33333333333326</v>
      </c>
    </row>
    <row r="1003" spans="1:11" ht="16.5" x14ac:dyDescent="0.2">
      <c r="A1003" s="4" t="s">
        <v>228</v>
      </c>
      <c r="B1003">
        <v>2016</v>
      </c>
      <c r="C1003" s="14">
        <v>1623.3333333333333</v>
      </c>
      <c r="D1003" s="14">
        <v>959.99999999999989</v>
      </c>
      <c r="E1003" s="14">
        <v>8553.3333333333321</v>
      </c>
      <c r="F1003" s="14">
        <v>463.33333333333331</v>
      </c>
      <c r="G1003" s="14">
        <v>360.66666666666663</v>
      </c>
      <c r="H1003" s="14">
        <v>178.66666666666666</v>
      </c>
      <c r="I1003" s="14">
        <v>783.99999999999989</v>
      </c>
      <c r="K1003" s="15"/>
    </row>
    <row r="1004" spans="1:11" ht="16.5" x14ac:dyDescent="0.2">
      <c r="A1004" s="4" t="s">
        <v>227</v>
      </c>
      <c r="B1004">
        <v>2009</v>
      </c>
      <c r="C1004" s="14">
        <v>30891.333333333328</v>
      </c>
      <c r="D1004" s="14">
        <v>3344.6666666666665</v>
      </c>
      <c r="E1004" s="14">
        <v>104225.33333333331</v>
      </c>
      <c r="F1004" s="14">
        <v>3034</v>
      </c>
      <c r="G1004" s="14">
        <v>8340.6666666666661</v>
      </c>
      <c r="H1004" s="14">
        <v>2082</v>
      </c>
      <c r="I1004" s="14">
        <v>12737.333333333332</v>
      </c>
    </row>
    <row r="1005" spans="1:11" ht="16.5" x14ac:dyDescent="0.2">
      <c r="A1005" s="4" t="s">
        <v>227</v>
      </c>
      <c r="B1005">
        <v>2010</v>
      </c>
      <c r="C1005" s="14">
        <v>30849.999999999996</v>
      </c>
      <c r="D1005" s="14">
        <v>3337.9999999999995</v>
      </c>
      <c r="E1005" s="14">
        <v>104075.99999999999</v>
      </c>
      <c r="F1005" s="14">
        <v>2969.9999999999995</v>
      </c>
      <c r="G1005" s="14">
        <v>8510</v>
      </c>
      <c r="H1005" s="14">
        <v>2159.333333333333</v>
      </c>
      <c r="I1005" s="14">
        <v>12712.666666666666</v>
      </c>
    </row>
    <row r="1006" spans="1:11" ht="16.5" x14ac:dyDescent="0.2">
      <c r="A1006" s="4" t="s">
        <v>227</v>
      </c>
      <c r="B1006">
        <v>2011</v>
      </c>
      <c r="C1006" s="14">
        <v>30853.333333333332</v>
      </c>
      <c r="D1006" s="14">
        <v>3324</v>
      </c>
      <c r="E1006" s="14">
        <v>103877.33333333333</v>
      </c>
      <c r="F1006" s="14">
        <v>2960.6666666666665</v>
      </c>
      <c r="G1006" s="14">
        <v>8698</v>
      </c>
      <c r="H1006" s="14">
        <v>2221.333333333333</v>
      </c>
      <c r="I1006" s="14">
        <v>12684.666666666666</v>
      </c>
      <c r="K1006" s="15"/>
    </row>
    <row r="1007" spans="1:11" ht="16.5" x14ac:dyDescent="0.2">
      <c r="A1007" s="4" t="s">
        <v>227</v>
      </c>
      <c r="B1007">
        <v>2012</v>
      </c>
      <c r="C1007" s="14">
        <v>30835.333333333332</v>
      </c>
      <c r="D1007" s="14">
        <v>3305.9999999999995</v>
      </c>
      <c r="E1007" s="14">
        <v>103667.33333333333</v>
      </c>
      <c r="F1007" s="14">
        <v>2999.333333333333</v>
      </c>
      <c r="G1007" s="14">
        <v>8904.6666666666661</v>
      </c>
      <c r="H1007" s="14">
        <v>2252</v>
      </c>
      <c r="I1007" s="14">
        <v>12653.333333333332</v>
      </c>
    </row>
    <row r="1008" spans="1:11" ht="16.5" x14ac:dyDescent="0.2">
      <c r="A1008" s="4" t="s">
        <v>227</v>
      </c>
      <c r="B1008">
        <v>2013</v>
      </c>
      <c r="C1008" s="14">
        <v>30873.333333333332</v>
      </c>
      <c r="D1008" s="14">
        <v>3294</v>
      </c>
      <c r="E1008" s="14">
        <v>103601.99999999999</v>
      </c>
      <c r="F1008" s="14">
        <v>2895.9999999999995</v>
      </c>
      <c r="G1008" s="14">
        <v>9041.3333333333321</v>
      </c>
      <c r="H1008" s="14">
        <v>2284.6666666666665</v>
      </c>
      <c r="I1008" s="14">
        <v>12620.666666666664</v>
      </c>
      <c r="K1008" s="15"/>
    </row>
    <row r="1009" spans="1:11" ht="16.5" x14ac:dyDescent="0.2">
      <c r="A1009" s="4" t="s">
        <v>227</v>
      </c>
      <c r="B1009">
        <v>2014</v>
      </c>
      <c r="C1009" s="14">
        <v>30853.333333333332</v>
      </c>
      <c r="D1009" s="14">
        <v>3279.333333333333</v>
      </c>
      <c r="E1009" s="14">
        <v>103458.66666666666</v>
      </c>
      <c r="F1009" s="14">
        <v>2832.6666666666661</v>
      </c>
      <c r="G1009" s="14">
        <v>9242.6666666666642</v>
      </c>
      <c r="H1009" s="14">
        <v>2351.333333333333</v>
      </c>
      <c r="I1009" s="14">
        <v>12585.333333333332</v>
      </c>
    </row>
    <row r="1010" spans="1:11" ht="16.5" x14ac:dyDescent="0.2">
      <c r="A1010" s="4" t="s">
        <v>227</v>
      </c>
      <c r="B1010">
        <v>2015</v>
      </c>
      <c r="C1010" s="14">
        <v>30827.333333333332</v>
      </c>
      <c r="D1010" s="14">
        <v>3260.6666666666665</v>
      </c>
      <c r="E1010" s="14">
        <v>103344.66666666666</v>
      </c>
      <c r="F1010" s="14">
        <v>2784.6666666666665</v>
      </c>
      <c r="G1010" s="14">
        <v>9405.9999999999982</v>
      </c>
      <c r="H1010" s="14">
        <v>2415.9999999999995</v>
      </c>
      <c r="I1010" s="14">
        <v>12560.666666666664</v>
      </c>
    </row>
    <row r="1011" spans="1:11" ht="16.5" x14ac:dyDescent="0.2">
      <c r="A1011" s="4" t="s">
        <v>227</v>
      </c>
      <c r="B1011">
        <v>2016</v>
      </c>
      <c r="C1011" s="14">
        <v>30822</v>
      </c>
      <c r="D1011" s="14">
        <v>3236.6666666666665</v>
      </c>
      <c r="E1011" s="14">
        <v>103241.33333333333</v>
      </c>
      <c r="F1011" s="14">
        <v>2753.333333333333</v>
      </c>
      <c r="G1011" s="14">
        <v>9542.6666666666661</v>
      </c>
      <c r="H1011" s="14">
        <v>2450</v>
      </c>
      <c r="I1011" s="14">
        <v>12541.333333333332</v>
      </c>
      <c r="K1011" s="15"/>
    </row>
    <row r="1012" spans="1:11" ht="16.5" x14ac:dyDescent="0.2">
      <c r="A1012" s="4" t="s">
        <v>226</v>
      </c>
      <c r="B1012">
        <v>2009</v>
      </c>
      <c r="C1012" s="14">
        <v>2828.6666666666665</v>
      </c>
      <c r="D1012" s="14">
        <v>61.333333333333321</v>
      </c>
      <c r="E1012" s="14">
        <v>1127.9999999999998</v>
      </c>
      <c r="F1012" s="14">
        <v>150.66666666666666</v>
      </c>
      <c r="G1012" s="14">
        <v>816</v>
      </c>
      <c r="H1012" s="14">
        <v>160.66666666666666</v>
      </c>
      <c r="I1012" s="14">
        <v>1931.333333333333</v>
      </c>
    </row>
    <row r="1013" spans="1:11" ht="16.5" x14ac:dyDescent="0.2">
      <c r="A1013" s="4" t="s">
        <v>226</v>
      </c>
      <c r="B1013">
        <v>2010</v>
      </c>
      <c r="C1013" s="14">
        <v>2818.6666666666665</v>
      </c>
      <c r="D1013" s="14">
        <v>62</v>
      </c>
      <c r="E1013" s="14">
        <v>1121.3333333333333</v>
      </c>
      <c r="F1013" s="14">
        <v>147.99999999999997</v>
      </c>
      <c r="G1013" s="14">
        <v>834.66666666666663</v>
      </c>
      <c r="H1013" s="14">
        <v>167.33333333333331</v>
      </c>
      <c r="I1013" s="14">
        <v>1922.6666666666663</v>
      </c>
      <c r="K1013" s="15"/>
    </row>
    <row r="1014" spans="1:11" ht="16.5" x14ac:dyDescent="0.2">
      <c r="A1014" s="4" t="s">
        <v>226</v>
      </c>
      <c r="B1014">
        <v>2011</v>
      </c>
      <c r="C1014" s="14">
        <v>2809.9999999999995</v>
      </c>
      <c r="D1014" s="14">
        <v>62</v>
      </c>
      <c r="E1014" s="14">
        <v>1116</v>
      </c>
      <c r="F1014" s="14">
        <v>143.33333333333331</v>
      </c>
      <c r="G1014" s="14">
        <v>854.66666666666652</v>
      </c>
      <c r="H1014" s="14">
        <v>174.66666666666666</v>
      </c>
      <c r="I1014" s="14">
        <v>1913.3333333333333</v>
      </c>
    </row>
    <row r="1015" spans="1:11" ht="16.5" x14ac:dyDescent="0.2">
      <c r="A1015" s="4" t="s">
        <v>226</v>
      </c>
      <c r="B1015">
        <v>2012</v>
      </c>
      <c r="C1015" s="14">
        <v>2794</v>
      </c>
      <c r="D1015" s="14">
        <v>60.666666666666657</v>
      </c>
      <c r="E1015" s="14">
        <v>1105.3333333333333</v>
      </c>
      <c r="F1015" s="14">
        <v>141.33333333333331</v>
      </c>
      <c r="G1015" s="14">
        <v>891.33333333333337</v>
      </c>
      <c r="H1015" s="14">
        <v>178.66666666666666</v>
      </c>
      <c r="I1015" s="14">
        <v>1903.3333333333333</v>
      </c>
    </row>
    <row r="1016" spans="1:11" ht="16.5" x14ac:dyDescent="0.2">
      <c r="A1016" s="4" t="s">
        <v>226</v>
      </c>
      <c r="B1016">
        <v>2013</v>
      </c>
      <c r="C1016" s="14">
        <v>2791.333333333333</v>
      </c>
      <c r="D1016" s="14">
        <v>59.999999999999993</v>
      </c>
      <c r="E1016" s="14">
        <v>1096.6666666666665</v>
      </c>
      <c r="F1016" s="14">
        <v>135.99999999999997</v>
      </c>
      <c r="G1016" s="14">
        <v>908</v>
      </c>
      <c r="H1016" s="14">
        <v>184.66666666666666</v>
      </c>
      <c r="I1016" s="14">
        <v>1897.9999999999998</v>
      </c>
      <c r="K1016" s="15"/>
    </row>
    <row r="1017" spans="1:11" ht="16.5" x14ac:dyDescent="0.2">
      <c r="A1017" s="4" t="s">
        <v>226</v>
      </c>
      <c r="B1017">
        <v>2014</v>
      </c>
      <c r="C1017" s="14">
        <v>2779.9999999999995</v>
      </c>
      <c r="D1017" s="14">
        <v>59.999999999999993</v>
      </c>
      <c r="E1017" s="14">
        <v>1090.6666666666665</v>
      </c>
      <c r="F1017" s="14">
        <v>129.33333333333331</v>
      </c>
      <c r="G1017" s="14">
        <v>933.99999999999989</v>
      </c>
      <c r="H1017" s="14">
        <v>192.66666666666663</v>
      </c>
      <c r="I1017" s="14">
        <v>1887.9999999999998</v>
      </c>
    </row>
    <row r="1018" spans="1:11" ht="16.5" x14ac:dyDescent="0.2">
      <c r="A1018" s="4" t="s">
        <v>226</v>
      </c>
      <c r="B1018">
        <v>2015</v>
      </c>
      <c r="C1018" s="14">
        <v>2769.333333333333</v>
      </c>
      <c r="D1018" s="14">
        <v>59.333333333333329</v>
      </c>
      <c r="E1018" s="14">
        <v>1086</v>
      </c>
      <c r="F1018" s="14">
        <v>123.33333333333333</v>
      </c>
      <c r="G1018" s="14">
        <v>955.33333333333314</v>
      </c>
      <c r="H1018" s="14">
        <v>197.99999999999997</v>
      </c>
      <c r="I1018" s="14">
        <v>1882.6666666666663</v>
      </c>
      <c r="K1018" s="15"/>
    </row>
    <row r="1019" spans="1:11" ht="16.5" x14ac:dyDescent="0.2">
      <c r="A1019" s="4" t="s">
        <v>226</v>
      </c>
      <c r="B1019">
        <v>2016</v>
      </c>
      <c r="C1019" s="14">
        <v>2758.6666666666665</v>
      </c>
      <c r="D1019" s="14">
        <v>59.333333333333329</v>
      </c>
      <c r="E1019" s="14">
        <v>1082.6666666666665</v>
      </c>
      <c r="F1019" s="14">
        <v>119.33333333333331</v>
      </c>
      <c r="G1019" s="14">
        <v>969.33333333333326</v>
      </c>
      <c r="H1019" s="14">
        <v>204</v>
      </c>
      <c r="I1019" s="14">
        <v>1879.9999999999998</v>
      </c>
    </row>
    <row r="1020" spans="1:11" ht="16.5" x14ac:dyDescent="0.2">
      <c r="A1020" s="4" t="s">
        <v>225</v>
      </c>
      <c r="B1020">
        <v>2009</v>
      </c>
      <c r="C1020" s="14">
        <v>929.99999999999989</v>
      </c>
      <c r="D1020" s="14">
        <v>58.666666666666664</v>
      </c>
      <c r="E1020" s="14">
        <v>3576.6666666666665</v>
      </c>
      <c r="F1020" s="14">
        <v>81.333333333333314</v>
      </c>
      <c r="G1020" s="14">
        <v>260</v>
      </c>
      <c r="H1020" s="14">
        <v>68.666666666666671</v>
      </c>
      <c r="I1020" s="14">
        <v>235.99999999999997</v>
      </c>
    </row>
    <row r="1021" spans="1:11" ht="16.5" x14ac:dyDescent="0.2">
      <c r="A1021" s="4" t="s">
        <v>225</v>
      </c>
      <c r="B1021">
        <v>2010</v>
      </c>
      <c r="C1021" s="14">
        <v>929.33333333333326</v>
      </c>
      <c r="D1021" s="14">
        <v>57.999999999999993</v>
      </c>
      <c r="E1021" s="14">
        <v>3572.6666666666661</v>
      </c>
      <c r="F1021" s="14">
        <v>77.333333333333329</v>
      </c>
      <c r="G1021" s="14">
        <v>264.66666666666663</v>
      </c>
      <c r="H1021" s="14">
        <v>72</v>
      </c>
      <c r="I1021" s="14">
        <v>235.99999999999997</v>
      </c>
      <c r="K1021" s="15"/>
    </row>
    <row r="1022" spans="1:11" ht="16.5" x14ac:dyDescent="0.2">
      <c r="A1022" s="4" t="s">
        <v>225</v>
      </c>
      <c r="B1022">
        <v>2011</v>
      </c>
      <c r="C1022" s="14">
        <v>927.99999999999989</v>
      </c>
      <c r="D1022" s="14">
        <v>57.333333333333329</v>
      </c>
      <c r="E1022" s="14">
        <v>3567.333333333333</v>
      </c>
      <c r="F1022" s="14">
        <v>77.999999999999986</v>
      </c>
      <c r="G1022" s="14">
        <v>269.99999999999994</v>
      </c>
      <c r="H1022" s="14">
        <v>73.333333333333329</v>
      </c>
      <c r="I1022" s="14">
        <v>235.33333333333329</v>
      </c>
    </row>
    <row r="1023" spans="1:11" ht="16.5" x14ac:dyDescent="0.2">
      <c r="A1023" s="4" t="s">
        <v>225</v>
      </c>
      <c r="B1023">
        <v>2012</v>
      </c>
      <c r="C1023" s="14">
        <v>926</v>
      </c>
      <c r="D1023" s="14">
        <v>57.333333333333329</v>
      </c>
      <c r="E1023" s="14">
        <v>3559.9999999999995</v>
      </c>
      <c r="F1023" s="14">
        <v>79.333333333333329</v>
      </c>
      <c r="G1023" s="14">
        <v>275.99999999999994</v>
      </c>
      <c r="H1023" s="14">
        <v>73.999999999999986</v>
      </c>
      <c r="I1023" s="14">
        <v>235.33333333333329</v>
      </c>
      <c r="K1023" s="15"/>
    </row>
    <row r="1024" spans="1:11" ht="16.5" x14ac:dyDescent="0.2">
      <c r="A1024" s="4" t="s">
        <v>225</v>
      </c>
      <c r="B1024">
        <v>2013</v>
      </c>
      <c r="C1024" s="14">
        <v>927.99999999999989</v>
      </c>
      <c r="D1024" s="14">
        <v>56.666666666666664</v>
      </c>
      <c r="E1024" s="14">
        <v>3557.333333333333</v>
      </c>
      <c r="F1024" s="14">
        <v>73.333333333333329</v>
      </c>
      <c r="G1024" s="14">
        <v>281.99999999999994</v>
      </c>
      <c r="H1024" s="14">
        <v>74.666666666666657</v>
      </c>
      <c r="I1024" s="14">
        <v>234.66666666666666</v>
      </c>
    </row>
    <row r="1025" spans="1:11" ht="16.5" x14ac:dyDescent="0.2">
      <c r="A1025" s="4" t="s">
        <v>225</v>
      </c>
      <c r="B1025">
        <v>2014</v>
      </c>
      <c r="C1025" s="14">
        <v>928.66666666666663</v>
      </c>
      <c r="D1025" s="14">
        <v>56.666666666666664</v>
      </c>
      <c r="E1025" s="14">
        <v>3551.3333333333335</v>
      </c>
      <c r="F1025" s="14">
        <v>68.666666666666671</v>
      </c>
      <c r="G1025" s="14">
        <v>290.66666666666663</v>
      </c>
      <c r="H1025" s="14">
        <v>76.666666666666657</v>
      </c>
      <c r="I1025" s="14">
        <v>234.66666666666666</v>
      </c>
    </row>
    <row r="1026" spans="1:11" ht="16.5" x14ac:dyDescent="0.2">
      <c r="A1026" s="4" t="s">
        <v>225</v>
      </c>
      <c r="B1026">
        <v>2015</v>
      </c>
      <c r="C1026" s="14">
        <v>926.66666666666663</v>
      </c>
      <c r="D1026" s="14">
        <v>56.666666666666664</v>
      </c>
      <c r="E1026" s="14">
        <v>3547.333333333333</v>
      </c>
      <c r="F1026" s="14">
        <v>67.999999999999986</v>
      </c>
      <c r="G1026" s="14">
        <v>297.33333333333331</v>
      </c>
      <c r="H1026" s="14">
        <v>77.999999999999986</v>
      </c>
      <c r="I1026" s="14">
        <v>234</v>
      </c>
      <c r="K1026" s="15"/>
    </row>
    <row r="1027" spans="1:11" ht="16.5" x14ac:dyDescent="0.2">
      <c r="A1027" s="4" t="s">
        <v>225</v>
      </c>
      <c r="B1027">
        <v>2016</v>
      </c>
      <c r="C1027" s="14">
        <v>924.66666666666652</v>
      </c>
      <c r="D1027" s="14">
        <v>56</v>
      </c>
      <c r="E1027" s="14">
        <v>3544.6666666666665</v>
      </c>
      <c r="F1027" s="14">
        <v>67.999999999999986</v>
      </c>
      <c r="G1027" s="14">
        <v>301.33333333333331</v>
      </c>
      <c r="H1027" s="14">
        <v>77.999999999999986</v>
      </c>
      <c r="I1027" s="14">
        <v>234</v>
      </c>
    </row>
    <row r="1028" spans="1:11" ht="16.5" x14ac:dyDescent="0.2">
      <c r="A1028" s="4" t="s">
        <v>224</v>
      </c>
      <c r="B1028">
        <v>2009</v>
      </c>
      <c r="C1028" s="14">
        <v>663.99999999999989</v>
      </c>
      <c r="D1028" s="14">
        <v>11.333333333333332</v>
      </c>
      <c r="E1028" s="14">
        <v>2517.9999999999995</v>
      </c>
      <c r="F1028" s="14">
        <v>73.333333333333329</v>
      </c>
      <c r="G1028" s="14">
        <v>341.33333333333331</v>
      </c>
      <c r="H1028" s="14">
        <v>65.333333333333329</v>
      </c>
      <c r="I1028" s="14">
        <v>108.66666666666666</v>
      </c>
      <c r="K1028" s="15"/>
    </row>
    <row r="1029" spans="1:11" ht="16.5" x14ac:dyDescent="0.2">
      <c r="A1029" s="4" t="s">
        <v>224</v>
      </c>
      <c r="B1029">
        <v>2010</v>
      </c>
      <c r="C1029" s="14">
        <v>662.66666666666663</v>
      </c>
      <c r="D1029" s="14">
        <v>11.333333333333332</v>
      </c>
      <c r="E1029" s="14">
        <v>2511.333333333333</v>
      </c>
      <c r="F1029" s="14">
        <v>70.666666666666657</v>
      </c>
      <c r="G1029" s="14">
        <v>349.99999999999994</v>
      </c>
      <c r="H1029" s="14">
        <v>66.666666666666657</v>
      </c>
      <c r="I1029" s="14">
        <v>107.99999999999999</v>
      </c>
    </row>
    <row r="1030" spans="1:11" ht="16.5" x14ac:dyDescent="0.2">
      <c r="A1030" s="4" t="s">
        <v>224</v>
      </c>
      <c r="B1030">
        <v>2011</v>
      </c>
      <c r="C1030" s="14">
        <v>663.99999999999989</v>
      </c>
      <c r="D1030" s="14">
        <v>11.333333333333332</v>
      </c>
      <c r="E1030" s="14">
        <v>2499.333333333333</v>
      </c>
      <c r="F1030" s="14">
        <v>70</v>
      </c>
      <c r="G1030" s="14">
        <v>357.33333333333331</v>
      </c>
      <c r="H1030" s="14">
        <v>70</v>
      </c>
      <c r="I1030" s="14">
        <v>107.33333333333333</v>
      </c>
    </row>
    <row r="1031" spans="1:11" ht="16.5" x14ac:dyDescent="0.2">
      <c r="A1031" s="4" t="s">
        <v>224</v>
      </c>
      <c r="B1031">
        <v>2012</v>
      </c>
      <c r="C1031" s="14">
        <v>665.33333333333326</v>
      </c>
      <c r="D1031" s="14">
        <v>10.666666666666666</v>
      </c>
      <c r="E1031" s="14">
        <v>2489.333333333333</v>
      </c>
      <c r="F1031" s="14">
        <v>70.666666666666657</v>
      </c>
      <c r="G1031" s="14">
        <v>365.99999999999994</v>
      </c>
      <c r="H1031" s="14">
        <v>70</v>
      </c>
      <c r="I1031" s="14">
        <v>107.33333333333333</v>
      </c>
      <c r="K1031" s="15"/>
    </row>
    <row r="1032" spans="1:11" ht="16.5" x14ac:dyDescent="0.2">
      <c r="A1032" s="4" t="s">
        <v>224</v>
      </c>
      <c r="B1032">
        <v>2013</v>
      </c>
      <c r="C1032" s="14">
        <v>665.33333333333326</v>
      </c>
      <c r="D1032" s="14">
        <v>11.333333333333332</v>
      </c>
      <c r="E1032" s="14">
        <v>2486.6666666666665</v>
      </c>
      <c r="F1032" s="14">
        <v>67.333333333333329</v>
      </c>
      <c r="G1032" s="14">
        <v>369.99999999999994</v>
      </c>
      <c r="H1032" s="14">
        <v>70.666666666666657</v>
      </c>
      <c r="I1032" s="14">
        <v>106.66666666666666</v>
      </c>
    </row>
    <row r="1033" spans="1:11" ht="16.5" x14ac:dyDescent="0.2">
      <c r="A1033" s="4" t="s">
        <v>224</v>
      </c>
      <c r="B1033">
        <v>2014</v>
      </c>
      <c r="C1033" s="14">
        <v>663.33333333333326</v>
      </c>
      <c r="D1033" s="14">
        <v>11.333333333333332</v>
      </c>
      <c r="E1033" s="14">
        <v>2482</v>
      </c>
      <c r="F1033" s="14">
        <v>64.666666666666657</v>
      </c>
      <c r="G1033" s="14">
        <v>378</v>
      </c>
      <c r="H1033" s="14">
        <v>72</v>
      </c>
      <c r="I1033" s="14">
        <v>106</v>
      </c>
      <c r="K1033" s="15"/>
    </row>
    <row r="1034" spans="1:11" ht="16.5" x14ac:dyDescent="0.2">
      <c r="A1034" s="4" t="s">
        <v>224</v>
      </c>
      <c r="B1034">
        <v>2015</v>
      </c>
      <c r="C1034" s="14">
        <v>661.33333333333326</v>
      </c>
      <c r="D1034" s="14">
        <v>11.333333333333332</v>
      </c>
      <c r="E1034" s="14">
        <v>2479.333333333333</v>
      </c>
      <c r="F1034" s="14">
        <v>63.999999999999993</v>
      </c>
      <c r="G1034" s="14">
        <v>383.33333333333331</v>
      </c>
      <c r="H1034" s="14">
        <v>73.333333333333329</v>
      </c>
      <c r="I1034" s="14">
        <v>106</v>
      </c>
    </row>
    <row r="1035" spans="1:11" ht="16.5" x14ac:dyDescent="0.2">
      <c r="A1035" s="4" t="s">
        <v>224</v>
      </c>
      <c r="B1035">
        <v>2016</v>
      </c>
      <c r="C1035" s="14">
        <v>659.99999999999989</v>
      </c>
      <c r="D1035" s="14">
        <v>11.333333333333332</v>
      </c>
      <c r="E1035" s="14">
        <v>2473.333333333333</v>
      </c>
      <c r="F1035" s="14">
        <v>63.333333333333329</v>
      </c>
      <c r="G1035" s="14">
        <v>389.33333333333331</v>
      </c>
      <c r="H1035" s="14">
        <v>73.999999999999986</v>
      </c>
      <c r="I1035" s="14">
        <v>106</v>
      </c>
    </row>
    <row r="1036" spans="1:11" ht="16.5" x14ac:dyDescent="0.2">
      <c r="A1036" s="4" t="s">
        <v>223</v>
      </c>
      <c r="B1036">
        <v>2009</v>
      </c>
      <c r="C1036" s="14">
        <v>3159.9999999999995</v>
      </c>
      <c r="D1036" s="14">
        <v>205.33333333333331</v>
      </c>
      <c r="E1036" s="14">
        <v>10929.999999999998</v>
      </c>
      <c r="F1036" s="14">
        <v>359.99999999999994</v>
      </c>
      <c r="G1036" s="14">
        <v>857.33333333333326</v>
      </c>
      <c r="H1036" s="14">
        <v>204</v>
      </c>
      <c r="I1036" s="14">
        <v>3110.6666666666665</v>
      </c>
      <c r="K1036" s="15"/>
    </row>
    <row r="1037" spans="1:11" ht="16.5" x14ac:dyDescent="0.2">
      <c r="A1037" s="4" t="s">
        <v>223</v>
      </c>
      <c r="B1037">
        <v>2010</v>
      </c>
      <c r="C1037" s="14">
        <v>3153.333333333333</v>
      </c>
      <c r="D1037" s="14">
        <v>203.33333333333331</v>
      </c>
      <c r="E1037" s="14">
        <v>10916</v>
      </c>
      <c r="F1037" s="14">
        <v>358.66666666666663</v>
      </c>
      <c r="G1037" s="14">
        <v>879.99999999999989</v>
      </c>
      <c r="H1037" s="14">
        <v>209.33333333333331</v>
      </c>
      <c r="I1037" s="14">
        <v>3104</v>
      </c>
    </row>
    <row r="1038" spans="1:11" ht="16.5" x14ac:dyDescent="0.2">
      <c r="A1038" s="4" t="s">
        <v>223</v>
      </c>
      <c r="B1038">
        <v>2011</v>
      </c>
      <c r="C1038" s="14">
        <v>3142.6666666666661</v>
      </c>
      <c r="D1038" s="14">
        <v>201.33333333333331</v>
      </c>
      <c r="E1038" s="14">
        <v>10900.666666666664</v>
      </c>
      <c r="F1038" s="14">
        <v>358</v>
      </c>
      <c r="G1038" s="14">
        <v>911.33333333333314</v>
      </c>
      <c r="H1038" s="14">
        <v>213.33333333333331</v>
      </c>
      <c r="I1038" s="14">
        <v>3096.6666666666665</v>
      </c>
      <c r="K1038" s="15"/>
    </row>
    <row r="1039" spans="1:11" ht="16.5" x14ac:dyDescent="0.2">
      <c r="A1039" s="4" t="s">
        <v>223</v>
      </c>
      <c r="B1039">
        <v>2012</v>
      </c>
      <c r="C1039" s="14">
        <v>3135.333333333333</v>
      </c>
      <c r="D1039" s="14">
        <v>197.99999999999997</v>
      </c>
      <c r="E1039" s="14">
        <v>10865.333333333332</v>
      </c>
      <c r="F1039" s="14">
        <v>374</v>
      </c>
      <c r="G1039" s="14">
        <v>940.66666666666652</v>
      </c>
      <c r="H1039" s="14">
        <v>219.33333333333331</v>
      </c>
      <c r="I1039" s="14">
        <v>3090.6666666666665</v>
      </c>
    </row>
    <row r="1040" spans="1:11" ht="16.5" x14ac:dyDescent="0.2">
      <c r="A1040" s="4" t="s">
        <v>223</v>
      </c>
      <c r="B1040">
        <v>2013</v>
      </c>
      <c r="C1040" s="14">
        <v>3137.333333333333</v>
      </c>
      <c r="D1040" s="14">
        <v>196.66666666666666</v>
      </c>
      <c r="E1040" s="14">
        <v>10859.333333333332</v>
      </c>
      <c r="F1040" s="14">
        <v>361.99999999999994</v>
      </c>
      <c r="G1040" s="14">
        <v>957.33333333333326</v>
      </c>
      <c r="H1040" s="14">
        <v>224.66666666666666</v>
      </c>
      <c r="I1040" s="14">
        <v>3085.333333333333</v>
      </c>
    </row>
    <row r="1041" spans="1:11" ht="16.5" x14ac:dyDescent="0.2">
      <c r="A1041" s="4" t="s">
        <v>223</v>
      </c>
      <c r="B1041">
        <v>2014</v>
      </c>
      <c r="C1041" s="14">
        <v>3132</v>
      </c>
      <c r="D1041" s="14">
        <v>194.66666666666666</v>
      </c>
      <c r="E1041" s="14">
        <v>10843.333333333332</v>
      </c>
      <c r="F1041" s="14">
        <v>354</v>
      </c>
      <c r="G1041" s="14">
        <v>986</v>
      </c>
      <c r="H1041" s="14">
        <v>233.33333333333331</v>
      </c>
      <c r="I1041" s="14">
        <v>3079.9999999999995</v>
      </c>
      <c r="K1041" s="15"/>
    </row>
    <row r="1042" spans="1:11" ht="16.5" x14ac:dyDescent="0.2">
      <c r="A1042" s="4" t="s">
        <v>223</v>
      </c>
      <c r="B1042">
        <v>2015</v>
      </c>
      <c r="C1042" s="14">
        <v>3123.333333333333</v>
      </c>
      <c r="D1042" s="14">
        <v>194</v>
      </c>
      <c r="E1042" s="14">
        <v>10829.999999999998</v>
      </c>
      <c r="F1042" s="14">
        <v>346.66666666666663</v>
      </c>
      <c r="G1042" s="14">
        <v>1008.6666666666666</v>
      </c>
      <c r="H1042" s="14">
        <v>244.66666666666666</v>
      </c>
      <c r="I1042" s="14">
        <v>3075.9999999999995</v>
      </c>
    </row>
    <row r="1043" spans="1:11" ht="16.5" x14ac:dyDescent="0.2">
      <c r="A1043" s="4" t="s">
        <v>223</v>
      </c>
      <c r="B1043">
        <v>2016</v>
      </c>
      <c r="C1043" s="14">
        <v>3125.333333333333</v>
      </c>
      <c r="D1043" s="14">
        <v>192.66666666666663</v>
      </c>
      <c r="E1043" s="14">
        <v>10824.666666666666</v>
      </c>
      <c r="F1043" s="14">
        <v>344.66666666666663</v>
      </c>
      <c r="G1043" s="14">
        <v>1021.3333333333331</v>
      </c>
      <c r="H1043" s="14">
        <v>245.99999999999997</v>
      </c>
      <c r="I1043" s="14">
        <v>3068.6666666666665</v>
      </c>
      <c r="K1043" s="15"/>
    </row>
    <row r="1044" spans="1:11" ht="16.5" x14ac:dyDescent="0.2">
      <c r="A1044" s="4" t="s">
        <v>222</v>
      </c>
      <c r="B1044">
        <v>2009</v>
      </c>
      <c r="C1044" s="14">
        <v>826.66666666666663</v>
      </c>
      <c r="D1044" s="14">
        <v>58.666666666666664</v>
      </c>
      <c r="E1044" s="14">
        <v>1608.6666666666665</v>
      </c>
      <c r="F1044" s="14">
        <v>75.333333333333329</v>
      </c>
      <c r="G1044" s="14">
        <v>240.66666666666666</v>
      </c>
      <c r="H1044" s="14">
        <v>72.666666666666657</v>
      </c>
      <c r="I1044" s="14">
        <v>225.33333333333329</v>
      </c>
    </row>
    <row r="1045" spans="1:11" ht="16.5" x14ac:dyDescent="0.2">
      <c r="A1045" s="4" t="s">
        <v>222</v>
      </c>
      <c r="B1045">
        <v>2010</v>
      </c>
      <c r="C1045" s="14">
        <v>827.33333333333326</v>
      </c>
      <c r="D1045" s="14">
        <v>57.999999999999993</v>
      </c>
      <c r="E1045" s="14">
        <v>1603.3333333333333</v>
      </c>
      <c r="F1045" s="14">
        <v>71.333333333333329</v>
      </c>
      <c r="G1045" s="14">
        <v>248.66666666666663</v>
      </c>
      <c r="H1045" s="14">
        <v>75.333333333333329</v>
      </c>
      <c r="I1045" s="14">
        <v>225.33333333333329</v>
      </c>
    </row>
    <row r="1046" spans="1:11" ht="16.5" x14ac:dyDescent="0.2">
      <c r="A1046" s="4" t="s">
        <v>222</v>
      </c>
      <c r="B1046">
        <v>2011</v>
      </c>
      <c r="C1046" s="14">
        <v>838.66666666666663</v>
      </c>
      <c r="D1046" s="14">
        <v>56.666666666666664</v>
      </c>
      <c r="E1046" s="14">
        <v>1582.6666666666665</v>
      </c>
      <c r="F1046" s="14">
        <v>70</v>
      </c>
      <c r="G1046" s="14">
        <v>258</v>
      </c>
      <c r="H1046" s="14">
        <v>77.333333333333329</v>
      </c>
      <c r="I1046" s="14">
        <v>224.66666666666666</v>
      </c>
      <c r="K1046" s="15"/>
    </row>
    <row r="1047" spans="1:11" ht="16.5" x14ac:dyDescent="0.2">
      <c r="A1047" s="4" t="s">
        <v>222</v>
      </c>
      <c r="B1047">
        <v>2012</v>
      </c>
      <c r="C1047" s="14">
        <v>837.33333333333326</v>
      </c>
      <c r="D1047" s="14">
        <v>56</v>
      </c>
      <c r="E1047" s="14">
        <v>1568.6666666666665</v>
      </c>
      <c r="F1047" s="14">
        <v>73.333333333333329</v>
      </c>
      <c r="G1047" s="14">
        <v>272.66666666666663</v>
      </c>
      <c r="H1047" s="14">
        <v>77.333333333333329</v>
      </c>
      <c r="I1047" s="14">
        <v>224</v>
      </c>
    </row>
    <row r="1048" spans="1:11" ht="16.5" x14ac:dyDescent="0.2">
      <c r="A1048" s="4" t="s">
        <v>222</v>
      </c>
      <c r="B1048">
        <v>2013</v>
      </c>
      <c r="C1048" s="14">
        <v>848.66666666666663</v>
      </c>
      <c r="D1048" s="14">
        <v>55.333333333333336</v>
      </c>
      <c r="E1048" s="14">
        <v>1567.3333333333333</v>
      </c>
      <c r="F1048" s="14">
        <v>59.999999999999993</v>
      </c>
      <c r="G1048" s="14">
        <v>276.66666666666663</v>
      </c>
      <c r="H1048" s="14">
        <v>78.666666666666671</v>
      </c>
      <c r="I1048" s="14">
        <v>223.33333333333331</v>
      </c>
      <c r="K1048" s="15"/>
    </row>
    <row r="1049" spans="1:11" ht="16.5" x14ac:dyDescent="0.2">
      <c r="A1049" s="4" t="s">
        <v>222</v>
      </c>
      <c r="B1049">
        <v>2014</v>
      </c>
      <c r="C1049" s="14">
        <v>847.33333333333326</v>
      </c>
      <c r="D1049" s="14">
        <v>55.333333333333336</v>
      </c>
      <c r="E1049" s="14">
        <v>1565.3333333333333</v>
      </c>
      <c r="F1049" s="14">
        <v>59.333333333333329</v>
      </c>
      <c r="G1049" s="14">
        <v>279.33333333333337</v>
      </c>
      <c r="H1049" s="14">
        <v>78.666666666666671</v>
      </c>
      <c r="I1049" s="14">
        <v>223.33333333333331</v>
      </c>
    </row>
    <row r="1050" spans="1:11" ht="16.5" x14ac:dyDescent="0.2">
      <c r="A1050" s="4" t="s">
        <v>222</v>
      </c>
      <c r="B1050">
        <v>2015</v>
      </c>
      <c r="C1050" s="14">
        <v>848.66666666666663</v>
      </c>
      <c r="D1050" s="14">
        <v>54.666666666666657</v>
      </c>
      <c r="E1050" s="14">
        <v>1562</v>
      </c>
      <c r="F1050" s="14">
        <v>58.666666666666664</v>
      </c>
      <c r="G1050" s="14">
        <v>282.66666666666669</v>
      </c>
      <c r="H1050" s="14">
        <v>78.666666666666671</v>
      </c>
      <c r="I1050" s="14">
        <v>222.66666666666663</v>
      </c>
    </row>
    <row r="1051" spans="1:11" ht="16.5" x14ac:dyDescent="0.2">
      <c r="A1051" s="4" t="s">
        <v>222</v>
      </c>
      <c r="B1051">
        <v>2016</v>
      </c>
      <c r="C1051" s="14">
        <v>848.66666666666663</v>
      </c>
      <c r="D1051" s="14">
        <v>53.999999999999993</v>
      </c>
      <c r="E1051" s="14">
        <v>1559.3333333333333</v>
      </c>
      <c r="F1051" s="14">
        <v>56</v>
      </c>
      <c r="G1051" s="14">
        <v>286</v>
      </c>
      <c r="H1051" s="14">
        <v>81.333333333333314</v>
      </c>
      <c r="I1051" s="14">
        <v>222.66666666666663</v>
      </c>
      <c r="K1051" s="15"/>
    </row>
    <row r="1052" spans="1:11" ht="16.5" x14ac:dyDescent="0.2">
      <c r="A1052" s="4" t="s">
        <v>221</v>
      </c>
      <c r="B1052">
        <v>2009</v>
      </c>
      <c r="C1052" s="14">
        <v>917.99999999999989</v>
      </c>
      <c r="D1052" s="14">
        <v>49.999999999999993</v>
      </c>
      <c r="E1052" s="14">
        <v>1889.9999999999998</v>
      </c>
      <c r="F1052" s="14">
        <v>57.999999999999993</v>
      </c>
      <c r="G1052" s="14">
        <v>242.66666666666663</v>
      </c>
      <c r="H1052" s="14">
        <v>58.666666666666664</v>
      </c>
      <c r="I1052" s="14">
        <v>248.66666666666663</v>
      </c>
    </row>
    <row r="1053" spans="1:11" ht="16.5" x14ac:dyDescent="0.2">
      <c r="A1053" s="4" t="s">
        <v>221</v>
      </c>
      <c r="B1053">
        <v>2010</v>
      </c>
      <c r="C1053" s="14">
        <v>911.33333333333314</v>
      </c>
      <c r="D1053" s="14">
        <v>50.666666666666657</v>
      </c>
      <c r="E1053" s="14">
        <v>1884.6666666666665</v>
      </c>
      <c r="F1053" s="14">
        <v>55.333333333333336</v>
      </c>
      <c r="G1053" s="14">
        <v>248.66666666666663</v>
      </c>
      <c r="H1053" s="14">
        <v>62</v>
      </c>
      <c r="I1053" s="14">
        <v>248</v>
      </c>
      <c r="K1053" s="15"/>
    </row>
    <row r="1054" spans="1:11" ht="16.5" x14ac:dyDescent="0.2">
      <c r="A1054" s="4" t="s">
        <v>221</v>
      </c>
      <c r="B1054">
        <v>2011</v>
      </c>
      <c r="C1054" s="14">
        <v>914.66666666666652</v>
      </c>
      <c r="D1054" s="14">
        <v>49.333333333333329</v>
      </c>
      <c r="E1054" s="14">
        <v>1876.6666666666665</v>
      </c>
      <c r="F1054" s="14">
        <v>57.999999999999993</v>
      </c>
      <c r="G1054" s="14">
        <v>255.99999999999991</v>
      </c>
      <c r="H1054" s="14">
        <v>62.666666666666664</v>
      </c>
      <c r="I1054" s="14">
        <v>247.33333333333331</v>
      </c>
    </row>
    <row r="1055" spans="1:11" ht="16.5" x14ac:dyDescent="0.2">
      <c r="A1055" s="4" t="s">
        <v>221</v>
      </c>
      <c r="B1055">
        <v>2012</v>
      </c>
      <c r="C1055" s="14">
        <v>916</v>
      </c>
      <c r="D1055" s="14">
        <v>48.666666666666664</v>
      </c>
      <c r="E1055" s="14">
        <v>1867.9999999999998</v>
      </c>
      <c r="F1055" s="14">
        <v>59.333333333333329</v>
      </c>
      <c r="G1055" s="14">
        <v>264.66666666666663</v>
      </c>
      <c r="H1055" s="14">
        <v>63.333333333333329</v>
      </c>
      <c r="I1055" s="14">
        <v>246.66666666666666</v>
      </c>
    </row>
    <row r="1056" spans="1:11" ht="16.5" x14ac:dyDescent="0.2">
      <c r="A1056" s="4" t="s">
        <v>221</v>
      </c>
      <c r="B1056">
        <v>2013</v>
      </c>
      <c r="C1056" s="14">
        <v>916.66666666666663</v>
      </c>
      <c r="D1056" s="14">
        <v>48.666666666666664</v>
      </c>
      <c r="E1056" s="14">
        <v>1866.6666666666665</v>
      </c>
      <c r="F1056" s="14">
        <v>54.666666666666657</v>
      </c>
      <c r="G1056" s="14">
        <v>270</v>
      </c>
      <c r="H1056" s="14">
        <v>63.999999999999993</v>
      </c>
      <c r="I1056" s="14">
        <v>245.99999999999997</v>
      </c>
      <c r="K1056" s="15"/>
    </row>
    <row r="1057" spans="1:11" ht="16.5" x14ac:dyDescent="0.2">
      <c r="A1057" s="4" t="s">
        <v>221</v>
      </c>
      <c r="B1057">
        <v>2014</v>
      </c>
      <c r="C1057" s="14">
        <v>916.66666666666663</v>
      </c>
      <c r="D1057" s="14">
        <v>48.666666666666664</v>
      </c>
      <c r="E1057" s="14">
        <v>1859.9999999999998</v>
      </c>
      <c r="F1057" s="14">
        <v>53.999999999999993</v>
      </c>
      <c r="G1057" s="14">
        <v>277.33333333333331</v>
      </c>
      <c r="H1057" s="14">
        <v>64.666666666666657</v>
      </c>
      <c r="I1057" s="14">
        <v>245.33333333333329</v>
      </c>
    </row>
    <row r="1058" spans="1:11" ht="16.5" x14ac:dyDescent="0.2">
      <c r="A1058" s="4" t="s">
        <v>221</v>
      </c>
      <c r="B1058">
        <v>2015</v>
      </c>
      <c r="C1058" s="14">
        <v>918.66666666666663</v>
      </c>
      <c r="D1058" s="14">
        <v>48</v>
      </c>
      <c r="E1058" s="14">
        <v>1855.3333333333333</v>
      </c>
      <c r="F1058" s="14">
        <v>51.999999999999993</v>
      </c>
      <c r="G1058" s="14">
        <v>283.33333333333331</v>
      </c>
      <c r="H1058" s="14">
        <v>65.333333333333329</v>
      </c>
      <c r="I1058" s="14">
        <v>244.66666666666666</v>
      </c>
      <c r="K1058" s="15"/>
    </row>
    <row r="1059" spans="1:11" ht="16.5" x14ac:dyDescent="0.2">
      <c r="A1059" s="4" t="s">
        <v>221</v>
      </c>
      <c r="B1059">
        <v>2016</v>
      </c>
      <c r="C1059" s="14">
        <v>919.99999999999989</v>
      </c>
      <c r="D1059" s="14">
        <v>47.333333333333329</v>
      </c>
      <c r="E1059" s="14">
        <v>1849.9999999999998</v>
      </c>
      <c r="F1059" s="14">
        <v>51.333333333333329</v>
      </c>
      <c r="G1059" s="14">
        <v>288.66666666666669</v>
      </c>
      <c r="H1059" s="14">
        <v>65.333333333333329</v>
      </c>
      <c r="I1059" s="14">
        <v>244</v>
      </c>
    </row>
    <row r="1060" spans="1:11" ht="16.5" x14ac:dyDescent="0.2">
      <c r="A1060" s="4" t="s">
        <v>220</v>
      </c>
      <c r="B1060">
        <v>2009</v>
      </c>
      <c r="C1060" s="14">
        <v>4371.333333333333</v>
      </c>
      <c r="D1060" s="14">
        <v>1315.3333333333333</v>
      </c>
      <c r="E1060" s="14">
        <v>29342</v>
      </c>
      <c r="F1060" s="14">
        <v>604.66666666666663</v>
      </c>
      <c r="G1060" s="14">
        <v>1624.6666666666667</v>
      </c>
      <c r="H1060" s="14">
        <v>388</v>
      </c>
      <c r="I1060" s="14">
        <v>1235.3333333333333</v>
      </c>
    </row>
    <row r="1061" spans="1:11" ht="16.5" x14ac:dyDescent="0.2">
      <c r="A1061" s="4" t="s">
        <v>220</v>
      </c>
      <c r="B1061">
        <v>2010</v>
      </c>
      <c r="C1061" s="14">
        <v>4376.6666666666661</v>
      </c>
      <c r="D1061" s="14">
        <v>1314.6666666666665</v>
      </c>
      <c r="E1061" s="14">
        <v>29304</v>
      </c>
      <c r="F1061" s="14">
        <v>591.33333333333326</v>
      </c>
      <c r="G1061" s="14">
        <v>1651.3333333333333</v>
      </c>
      <c r="H1061" s="14">
        <v>405.99999999999994</v>
      </c>
      <c r="I1061" s="14">
        <v>1233.3333333333333</v>
      </c>
      <c r="K1061" s="15"/>
    </row>
    <row r="1062" spans="1:11" ht="16.5" x14ac:dyDescent="0.2">
      <c r="A1062" s="4" t="s">
        <v>220</v>
      </c>
      <c r="B1062">
        <v>2011</v>
      </c>
      <c r="C1062" s="14">
        <v>4376.6666666666661</v>
      </c>
      <c r="D1062" s="14">
        <v>1313.3333333333333</v>
      </c>
      <c r="E1062" s="14">
        <v>29262.666666666661</v>
      </c>
      <c r="F1062" s="14">
        <v>589.33333333333337</v>
      </c>
      <c r="G1062" s="14">
        <v>1685.3333333333333</v>
      </c>
      <c r="H1062" s="14">
        <v>418.66666666666663</v>
      </c>
      <c r="I1062" s="14">
        <v>1229.3333333333333</v>
      </c>
    </row>
    <row r="1063" spans="1:11" ht="16.5" x14ac:dyDescent="0.2">
      <c r="A1063" s="4" t="s">
        <v>220</v>
      </c>
      <c r="B1063">
        <v>2012</v>
      </c>
      <c r="C1063" s="14">
        <v>4375.333333333333</v>
      </c>
      <c r="D1063" s="14">
        <v>1308.6666666666665</v>
      </c>
      <c r="E1063" s="14">
        <v>29227.333333333332</v>
      </c>
      <c r="F1063" s="14">
        <v>595.33333333333326</v>
      </c>
      <c r="G1063" s="14">
        <v>1711.333333333333</v>
      </c>
      <c r="H1063" s="14">
        <v>429.33333333333331</v>
      </c>
      <c r="I1063" s="14">
        <v>1226.6666666666665</v>
      </c>
      <c r="K1063" s="15"/>
    </row>
    <row r="1064" spans="1:11" ht="16.5" x14ac:dyDescent="0.2">
      <c r="A1064" s="4" t="s">
        <v>220</v>
      </c>
      <c r="B1064">
        <v>2013</v>
      </c>
      <c r="C1064" s="14">
        <v>4376.6666666666661</v>
      </c>
      <c r="D1064" s="14">
        <v>1305.3333333333333</v>
      </c>
      <c r="E1064" s="14">
        <v>29217.333333333332</v>
      </c>
      <c r="F1064" s="14">
        <v>584.66666666666663</v>
      </c>
      <c r="G1064" s="14">
        <v>1734</v>
      </c>
      <c r="H1064" s="14">
        <v>431.33333333333331</v>
      </c>
      <c r="I1064" s="14">
        <v>1222.6666666666665</v>
      </c>
    </row>
    <row r="1065" spans="1:11" ht="16.5" x14ac:dyDescent="0.2">
      <c r="A1065" s="4" t="s">
        <v>220</v>
      </c>
      <c r="B1065">
        <v>2014</v>
      </c>
      <c r="C1065" s="14">
        <v>4372.6666666666661</v>
      </c>
      <c r="D1065" s="14">
        <v>1300.6666666666665</v>
      </c>
      <c r="E1065" s="14">
        <v>29194.666666666664</v>
      </c>
      <c r="F1065" s="14">
        <v>571.33333333333326</v>
      </c>
      <c r="G1065" s="14">
        <v>1772.6666666666663</v>
      </c>
      <c r="H1065" s="14">
        <v>438</v>
      </c>
      <c r="I1065" s="14">
        <v>1220</v>
      </c>
    </row>
    <row r="1066" spans="1:11" ht="16.5" x14ac:dyDescent="0.2">
      <c r="A1066" s="4" t="s">
        <v>220</v>
      </c>
      <c r="B1066">
        <v>2015</v>
      </c>
      <c r="C1066" s="14">
        <v>4369.333333333333</v>
      </c>
      <c r="D1066" s="14">
        <v>1291.333333333333</v>
      </c>
      <c r="E1066" s="14">
        <v>29175.999999999996</v>
      </c>
      <c r="F1066" s="14">
        <v>563.33333333333326</v>
      </c>
      <c r="G1066" s="14">
        <v>1790.6666666666667</v>
      </c>
      <c r="H1066" s="14">
        <v>459.99999999999994</v>
      </c>
      <c r="I1066" s="14">
        <v>1217.9999999999998</v>
      </c>
      <c r="K1066" s="15"/>
    </row>
    <row r="1067" spans="1:11" ht="16.5" x14ac:dyDescent="0.2">
      <c r="A1067" s="4" t="s">
        <v>220</v>
      </c>
      <c r="B1067">
        <v>2016</v>
      </c>
      <c r="C1067" s="14">
        <v>4374.666666666667</v>
      </c>
      <c r="D1067" s="14">
        <v>1274.6666666666665</v>
      </c>
      <c r="E1067" s="14">
        <v>29158.666666666664</v>
      </c>
      <c r="F1067" s="14">
        <v>558</v>
      </c>
      <c r="G1067" s="14">
        <v>1818.6666666666665</v>
      </c>
      <c r="H1067" s="14">
        <v>466.66666666666663</v>
      </c>
      <c r="I1067" s="14">
        <v>1215.3333333333333</v>
      </c>
    </row>
    <row r="1068" spans="1:11" ht="16.5" x14ac:dyDescent="0.2">
      <c r="A1068" s="4" t="s">
        <v>219</v>
      </c>
      <c r="B1068">
        <v>2009</v>
      </c>
      <c r="C1068" s="14">
        <v>4425.9999999999991</v>
      </c>
      <c r="D1068" s="14">
        <v>265.99999999999994</v>
      </c>
      <c r="E1068" s="14">
        <v>17393.333333333332</v>
      </c>
      <c r="F1068" s="14">
        <v>438.66666666666663</v>
      </c>
      <c r="G1068" s="14">
        <v>1016.6666666666666</v>
      </c>
      <c r="H1068" s="14">
        <v>271.33333333333331</v>
      </c>
      <c r="I1068" s="14">
        <v>1202</v>
      </c>
      <c r="K1068" s="15"/>
    </row>
    <row r="1069" spans="1:11" ht="16.5" x14ac:dyDescent="0.2">
      <c r="A1069" s="4" t="s">
        <v>219</v>
      </c>
      <c r="B1069">
        <v>2010</v>
      </c>
      <c r="C1069" s="14">
        <v>4426.6666666666661</v>
      </c>
      <c r="D1069" s="14">
        <v>265.99999999999994</v>
      </c>
      <c r="E1069" s="14">
        <v>17379.333333333332</v>
      </c>
      <c r="F1069" s="14">
        <v>434.66666666666663</v>
      </c>
      <c r="G1069" s="14">
        <v>1029.3333333333333</v>
      </c>
      <c r="H1069" s="14">
        <v>274</v>
      </c>
      <c r="I1069" s="14">
        <v>1201.3333333333333</v>
      </c>
    </row>
    <row r="1070" spans="1:11" ht="16.5" x14ac:dyDescent="0.2">
      <c r="A1070" s="4" t="s">
        <v>219</v>
      </c>
      <c r="B1070">
        <v>2011</v>
      </c>
      <c r="C1070" s="14">
        <v>4427.333333333333</v>
      </c>
      <c r="D1070" s="14">
        <v>264.66666666666669</v>
      </c>
      <c r="E1070" s="14">
        <v>17353.999999999996</v>
      </c>
      <c r="F1070" s="14">
        <v>434.66666666666663</v>
      </c>
      <c r="G1070" s="14">
        <v>1040.6666666666663</v>
      </c>
      <c r="H1070" s="14">
        <v>287.33333333333331</v>
      </c>
      <c r="I1070" s="14">
        <v>1200</v>
      </c>
    </row>
    <row r="1071" spans="1:11" ht="16.5" x14ac:dyDescent="0.2">
      <c r="A1071" s="4" t="s">
        <v>219</v>
      </c>
      <c r="B1071">
        <v>2012</v>
      </c>
      <c r="C1071" s="14">
        <v>4429.333333333333</v>
      </c>
      <c r="D1071" s="14">
        <v>263.33333333333331</v>
      </c>
      <c r="E1071" s="14">
        <v>17325.333333333332</v>
      </c>
      <c r="F1071" s="14">
        <v>441.99999999999994</v>
      </c>
      <c r="G1071" s="14">
        <v>1059.333333333333</v>
      </c>
      <c r="H1071" s="14">
        <v>290</v>
      </c>
      <c r="I1071" s="14">
        <v>1200</v>
      </c>
      <c r="K1071" s="15"/>
    </row>
    <row r="1072" spans="1:11" ht="16.5" x14ac:dyDescent="0.2">
      <c r="A1072" s="4" t="s">
        <v>219</v>
      </c>
      <c r="B1072">
        <v>2013</v>
      </c>
      <c r="C1072" s="14">
        <v>4428</v>
      </c>
      <c r="D1072" s="14">
        <v>262.66666666666663</v>
      </c>
      <c r="E1072" s="14">
        <v>17316.666666666664</v>
      </c>
      <c r="F1072" s="14">
        <v>431.33333333333331</v>
      </c>
      <c r="G1072" s="14">
        <v>1077.3333333333333</v>
      </c>
      <c r="H1072" s="14">
        <v>291.99999999999994</v>
      </c>
      <c r="I1072" s="14">
        <v>1198.6666666666667</v>
      </c>
    </row>
    <row r="1073" spans="1:11" ht="16.5" x14ac:dyDescent="0.2">
      <c r="A1073" s="4" t="s">
        <v>219</v>
      </c>
      <c r="B1073">
        <v>2014</v>
      </c>
      <c r="C1073" s="14">
        <v>4436.6666666666661</v>
      </c>
      <c r="D1073" s="14">
        <v>261.33333333333331</v>
      </c>
      <c r="E1073" s="14">
        <v>17296</v>
      </c>
      <c r="F1073" s="14">
        <v>423.33333333333331</v>
      </c>
      <c r="G1073" s="14">
        <v>1094.6666666666667</v>
      </c>
      <c r="H1073" s="14">
        <v>294.66666666666669</v>
      </c>
      <c r="I1073" s="14">
        <v>1197.3333333333333</v>
      </c>
      <c r="K1073" s="15"/>
    </row>
    <row r="1074" spans="1:11" ht="16.5" x14ac:dyDescent="0.2">
      <c r="A1074" s="4" t="s">
        <v>219</v>
      </c>
      <c r="B1074">
        <v>2015</v>
      </c>
      <c r="C1074" s="14">
        <v>4436.6666666666661</v>
      </c>
      <c r="D1074" s="14">
        <v>260</v>
      </c>
      <c r="E1074" s="14">
        <v>17286</v>
      </c>
      <c r="F1074" s="14">
        <v>415.99999999999994</v>
      </c>
      <c r="G1074" s="14">
        <v>1111.3333333333333</v>
      </c>
      <c r="H1074" s="14">
        <v>298</v>
      </c>
      <c r="I1074" s="14">
        <v>1195.3333333333333</v>
      </c>
    </row>
    <row r="1075" spans="1:11" ht="16.5" x14ac:dyDescent="0.2">
      <c r="A1075" s="4" t="s">
        <v>219</v>
      </c>
      <c r="B1075">
        <v>2016</v>
      </c>
      <c r="C1075" s="14">
        <v>4438.6666666666661</v>
      </c>
      <c r="D1075" s="14">
        <v>259.33333333333331</v>
      </c>
      <c r="E1075" s="14">
        <v>17269.333333333332</v>
      </c>
      <c r="F1075" s="14">
        <v>413.33333333333331</v>
      </c>
      <c r="G1075" s="14">
        <v>1121.3333333333333</v>
      </c>
      <c r="H1075" s="14">
        <v>304.66666666666669</v>
      </c>
      <c r="I1075" s="14">
        <v>1193.9999999999998</v>
      </c>
    </row>
    <row r="1076" spans="1:11" ht="16.5" x14ac:dyDescent="0.2">
      <c r="A1076" s="4" t="s">
        <v>218</v>
      </c>
      <c r="B1076">
        <v>2009</v>
      </c>
      <c r="C1076" s="14">
        <v>4755.333333333333</v>
      </c>
      <c r="D1076" s="14">
        <v>268</v>
      </c>
      <c r="E1076" s="14">
        <v>10499.999999999998</v>
      </c>
      <c r="F1076" s="14">
        <v>344.66666666666663</v>
      </c>
      <c r="G1076" s="14">
        <v>1072.6666666666665</v>
      </c>
      <c r="H1076" s="14">
        <v>275.33333333333331</v>
      </c>
      <c r="I1076" s="14">
        <v>1160.6666666666665</v>
      </c>
      <c r="K1076" s="15"/>
    </row>
    <row r="1077" spans="1:11" ht="16.5" x14ac:dyDescent="0.2">
      <c r="A1077" s="4" t="s">
        <v>218</v>
      </c>
      <c r="B1077">
        <v>2010</v>
      </c>
      <c r="C1077" s="14">
        <v>4748.6666666666661</v>
      </c>
      <c r="D1077" s="14">
        <v>265.33333333333331</v>
      </c>
      <c r="E1077" s="14">
        <v>10471.333333333332</v>
      </c>
      <c r="F1077" s="14">
        <v>338.66666666666663</v>
      </c>
      <c r="G1077" s="14">
        <v>1103.3333333333333</v>
      </c>
      <c r="H1077" s="14">
        <v>290</v>
      </c>
      <c r="I1077" s="14">
        <v>1158.6666666666667</v>
      </c>
    </row>
    <row r="1078" spans="1:11" ht="16.5" x14ac:dyDescent="0.2">
      <c r="A1078" s="4" t="s">
        <v>218</v>
      </c>
      <c r="B1078">
        <v>2011</v>
      </c>
      <c r="C1078" s="14">
        <v>4748.6666666666661</v>
      </c>
      <c r="D1078" s="14">
        <v>263.33333333333331</v>
      </c>
      <c r="E1078" s="14">
        <v>10438.666666666666</v>
      </c>
      <c r="F1078" s="14">
        <v>339.33333333333331</v>
      </c>
      <c r="G1078" s="14">
        <v>1126.6666666666665</v>
      </c>
      <c r="H1078" s="14">
        <v>297.33333333333331</v>
      </c>
      <c r="I1078" s="14">
        <v>1160.6666666666665</v>
      </c>
      <c r="K1078" s="15"/>
    </row>
    <row r="1079" spans="1:11" ht="16.5" x14ac:dyDescent="0.2">
      <c r="A1079" s="4" t="s">
        <v>218</v>
      </c>
      <c r="B1079">
        <v>2012</v>
      </c>
      <c r="C1079" s="14">
        <v>4755.333333333333</v>
      </c>
      <c r="D1079" s="14">
        <v>260.66666666666663</v>
      </c>
      <c r="E1079" s="14">
        <v>10416</v>
      </c>
      <c r="F1079" s="14">
        <v>337.33333333333331</v>
      </c>
      <c r="G1079" s="14">
        <v>1147.9999999999998</v>
      </c>
      <c r="H1079" s="14">
        <v>298.66666666666663</v>
      </c>
      <c r="I1079" s="14">
        <v>1157.3333333333333</v>
      </c>
    </row>
    <row r="1080" spans="1:11" ht="16.5" x14ac:dyDescent="0.2">
      <c r="A1080" s="4" t="s">
        <v>218</v>
      </c>
      <c r="B1080">
        <v>2013</v>
      </c>
      <c r="C1080" s="14">
        <v>4771.9999999999991</v>
      </c>
      <c r="D1080" s="14">
        <v>258.66666666666663</v>
      </c>
      <c r="E1080" s="14">
        <v>10406</v>
      </c>
      <c r="F1080" s="14">
        <v>315.33333333333331</v>
      </c>
      <c r="G1080" s="14">
        <v>1160.6666666666665</v>
      </c>
      <c r="H1080" s="14">
        <v>305.99999999999994</v>
      </c>
      <c r="I1080" s="14">
        <v>1152.6666666666665</v>
      </c>
    </row>
    <row r="1081" spans="1:11" ht="16.5" x14ac:dyDescent="0.2">
      <c r="A1081" s="4" t="s">
        <v>218</v>
      </c>
      <c r="B1081">
        <v>2014</v>
      </c>
      <c r="C1081" s="14">
        <v>4766.6666666666661</v>
      </c>
      <c r="D1081" s="14">
        <v>257.33333333333331</v>
      </c>
      <c r="E1081" s="14">
        <v>10380.666666666664</v>
      </c>
      <c r="F1081" s="14">
        <v>306.66666666666663</v>
      </c>
      <c r="G1081" s="14">
        <v>1186.6666666666665</v>
      </c>
      <c r="H1081" s="14">
        <v>324</v>
      </c>
      <c r="I1081" s="14">
        <v>1150</v>
      </c>
      <c r="K1081" s="15"/>
    </row>
    <row r="1082" spans="1:11" ht="16.5" x14ac:dyDescent="0.2">
      <c r="A1082" s="4" t="s">
        <v>218</v>
      </c>
      <c r="B1082">
        <v>2015</v>
      </c>
      <c r="C1082" s="14">
        <v>4765.9999999999991</v>
      </c>
      <c r="D1082" s="14">
        <v>255.33333333333329</v>
      </c>
      <c r="E1082" s="14">
        <v>10360.666666666664</v>
      </c>
      <c r="F1082" s="14">
        <v>301.33333333333331</v>
      </c>
      <c r="G1082" s="14">
        <v>1206</v>
      </c>
      <c r="H1082" s="14">
        <v>334</v>
      </c>
      <c r="I1082" s="14">
        <v>1147.3333333333333</v>
      </c>
    </row>
    <row r="1083" spans="1:11" ht="16.5" x14ac:dyDescent="0.2">
      <c r="A1083" s="4" t="s">
        <v>218</v>
      </c>
      <c r="B1083">
        <v>2016</v>
      </c>
      <c r="C1083" s="14">
        <v>4770</v>
      </c>
      <c r="D1083" s="14">
        <v>253.33333333333331</v>
      </c>
      <c r="E1083" s="14">
        <v>10335.333333333332</v>
      </c>
      <c r="F1083" s="14">
        <v>297.33333333333331</v>
      </c>
      <c r="G1083" s="14">
        <v>1230</v>
      </c>
      <c r="H1083" s="14">
        <v>340.66666666666663</v>
      </c>
      <c r="I1083" s="14">
        <v>1145.3333333333333</v>
      </c>
      <c r="K1083" s="15"/>
    </row>
    <row r="1084" spans="1:11" ht="16.5" x14ac:dyDescent="0.2">
      <c r="A1084" s="4" t="s">
        <v>217</v>
      </c>
      <c r="B1084">
        <v>2009</v>
      </c>
      <c r="C1084" s="14">
        <v>3424.6666666666665</v>
      </c>
      <c r="D1084" s="14">
        <v>856.66666666666663</v>
      </c>
      <c r="E1084" s="14">
        <v>12069.333333333332</v>
      </c>
      <c r="F1084" s="14">
        <v>395.99999999999994</v>
      </c>
      <c r="G1084" s="14">
        <v>680</v>
      </c>
      <c r="H1084" s="14">
        <v>227.33333333333331</v>
      </c>
      <c r="I1084" s="14">
        <v>920.66666666666652</v>
      </c>
    </row>
    <row r="1085" spans="1:11" ht="16.5" x14ac:dyDescent="0.2">
      <c r="A1085" s="4" t="s">
        <v>217</v>
      </c>
      <c r="B1085">
        <v>2010</v>
      </c>
      <c r="C1085" s="14">
        <v>3412.6666666666661</v>
      </c>
      <c r="D1085" s="14">
        <v>856</v>
      </c>
      <c r="E1085" s="14">
        <v>12058.666666666666</v>
      </c>
      <c r="F1085" s="14">
        <v>388.66666666666663</v>
      </c>
      <c r="G1085" s="14">
        <v>692</v>
      </c>
      <c r="H1085" s="14">
        <v>231.99999999999997</v>
      </c>
      <c r="I1085" s="14">
        <v>920.66666666666652</v>
      </c>
    </row>
    <row r="1086" spans="1:11" ht="16.5" x14ac:dyDescent="0.2">
      <c r="A1086" s="4" t="s">
        <v>217</v>
      </c>
      <c r="B1086">
        <v>2011</v>
      </c>
      <c r="C1086" s="14">
        <v>3420.6666666666665</v>
      </c>
      <c r="D1086" s="14">
        <v>853.33333333333326</v>
      </c>
      <c r="E1086" s="14">
        <v>12038.666666666666</v>
      </c>
      <c r="F1086" s="14">
        <v>384</v>
      </c>
      <c r="G1086" s="14">
        <v>713.33333333333326</v>
      </c>
      <c r="H1086" s="14">
        <v>239.99999999999997</v>
      </c>
      <c r="I1086" s="14">
        <v>918.66666666666663</v>
      </c>
      <c r="K1086" s="15"/>
    </row>
    <row r="1087" spans="1:11" ht="16.5" x14ac:dyDescent="0.2">
      <c r="A1087" s="4" t="s">
        <v>217</v>
      </c>
      <c r="B1087">
        <v>2012</v>
      </c>
      <c r="C1087" s="14">
        <v>3421.3333333333335</v>
      </c>
      <c r="D1087" s="14">
        <v>851.99999999999989</v>
      </c>
      <c r="E1087" s="14">
        <v>12026</v>
      </c>
      <c r="F1087" s="14">
        <v>381.99999999999994</v>
      </c>
      <c r="G1087" s="14">
        <v>727.99999999999989</v>
      </c>
      <c r="H1087" s="14">
        <v>240.66666666666666</v>
      </c>
      <c r="I1087" s="14">
        <v>917.99999999999989</v>
      </c>
    </row>
    <row r="1088" spans="1:11" ht="16.5" x14ac:dyDescent="0.2">
      <c r="A1088" s="4" t="s">
        <v>217</v>
      </c>
      <c r="B1088">
        <v>2013</v>
      </c>
      <c r="C1088" s="14">
        <v>3419.9999999999995</v>
      </c>
      <c r="D1088" s="14">
        <v>848.66666666666663</v>
      </c>
      <c r="E1088" s="14">
        <v>12018.666666666666</v>
      </c>
      <c r="F1088" s="14">
        <v>375.33333333333326</v>
      </c>
      <c r="G1088" s="14">
        <v>745.33333333333326</v>
      </c>
      <c r="H1088" s="14">
        <v>244</v>
      </c>
      <c r="I1088" s="14">
        <v>916.66666666666663</v>
      </c>
      <c r="K1088" s="15"/>
    </row>
    <row r="1089" spans="1:11" ht="16.5" x14ac:dyDescent="0.2">
      <c r="A1089" s="4" t="s">
        <v>217</v>
      </c>
      <c r="B1089">
        <v>2014</v>
      </c>
      <c r="C1089" s="14">
        <v>3418</v>
      </c>
      <c r="D1089" s="14">
        <v>846</v>
      </c>
      <c r="E1089" s="14">
        <v>11998</v>
      </c>
      <c r="F1089" s="14">
        <v>373.33333333333331</v>
      </c>
      <c r="G1089" s="14">
        <v>762.66666666666652</v>
      </c>
      <c r="H1089" s="14">
        <v>254</v>
      </c>
      <c r="I1089" s="14">
        <v>916</v>
      </c>
    </row>
    <row r="1090" spans="1:11" ht="16.5" x14ac:dyDescent="0.2">
      <c r="A1090" s="4" t="s">
        <v>217</v>
      </c>
      <c r="B1090">
        <v>2015</v>
      </c>
      <c r="C1090" s="14">
        <v>3418.6666666666661</v>
      </c>
      <c r="D1090" s="14">
        <v>843.33333333333326</v>
      </c>
      <c r="E1090" s="14">
        <v>11988</v>
      </c>
      <c r="F1090" s="14">
        <v>367.33333333333331</v>
      </c>
      <c r="G1090" s="14">
        <v>777.33333333333326</v>
      </c>
      <c r="H1090" s="14">
        <v>258.66666666666663</v>
      </c>
      <c r="I1090" s="14">
        <v>914.66666666666652</v>
      </c>
    </row>
    <row r="1091" spans="1:11" ht="16.5" x14ac:dyDescent="0.2">
      <c r="A1091" s="4" t="s">
        <v>217</v>
      </c>
      <c r="B1091">
        <v>2016</v>
      </c>
      <c r="C1091" s="14">
        <v>3418</v>
      </c>
      <c r="D1091" s="14">
        <v>840.66666666666652</v>
      </c>
      <c r="E1091" s="14">
        <v>11978.666666666666</v>
      </c>
      <c r="F1091" s="14">
        <v>364</v>
      </c>
      <c r="G1091" s="14">
        <v>791.33333333333326</v>
      </c>
      <c r="H1091" s="14">
        <v>258.66666666666663</v>
      </c>
      <c r="I1091" s="14">
        <v>913.33333333333326</v>
      </c>
      <c r="K1091" s="15"/>
    </row>
    <row r="1092" spans="1:11" ht="16.5" x14ac:dyDescent="0.2">
      <c r="A1092" s="4" t="s">
        <v>216</v>
      </c>
      <c r="B1092">
        <v>2009</v>
      </c>
      <c r="C1092" s="14">
        <v>4586.6666666666661</v>
      </c>
      <c r="D1092" s="14">
        <v>193.33333333333331</v>
      </c>
      <c r="E1092" s="14">
        <v>13269.333333333332</v>
      </c>
      <c r="F1092" s="14">
        <v>450.66666666666657</v>
      </c>
      <c r="G1092" s="14">
        <v>1189.3333333333333</v>
      </c>
      <c r="H1092" s="14">
        <v>290</v>
      </c>
      <c r="I1092" s="14">
        <v>2358.6666666666665</v>
      </c>
    </row>
    <row r="1093" spans="1:11" ht="16.5" x14ac:dyDescent="0.2">
      <c r="A1093" s="4" t="s">
        <v>216</v>
      </c>
      <c r="B1093">
        <v>2010</v>
      </c>
      <c r="C1093" s="14">
        <v>4582.6666666666661</v>
      </c>
      <c r="D1093" s="14">
        <v>192.66666666666663</v>
      </c>
      <c r="E1093" s="14">
        <v>13253.999999999998</v>
      </c>
      <c r="F1093" s="14">
        <v>436</v>
      </c>
      <c r="G1093" s="14">
        <v>1207.3333333333333</v>
      </c>
      <c r="H1093" s="14">
        <v>304.66666666666669</v>
      </c>
      <c r="I1093" s="14">
        <v>2355.333333333333</v>
      </c>
      <c r="K1093" s="15"/>
    </row>
    <row r="1094" spans="1:11" ht="16.5" x14ac:dyDescent="0.2">
      <c r="A1094" s="4" t="s">
        <v>216</v>
      </c>
      <c r="B1094">
        <v>2011</v>
      </c>
      <c r="C1094" s="14">
        <v>4581.333333333333</v>
      </c>
      <c r="D1094" s="14">
        <v>192</v>
      </c>
      <c r="E1094" s="14">
        <v>13240.666666666664</v>
      </c>
      <c r="F1094" s="14">
        <v>434.66666666666663</v>
      </c>
      <c r="G1094" s="14">
        <v>1225.333333333333</v>
      </c>
      <c r="H1094" s="14">
        <v>306.66666666666663</v>
      </c>
      <c r="I1094" s="14">
        <v>2350.6666666666665</v>
      </c>
    </row>
    <row r="1095" spans="1:11" ht="16.5" x14ac:dyDescent="0.2">
      <c r="A1095" s="4" t="s">
        <v>216</v>
      </c>
      <c r="B1095">
        <v>2012</v>
      </c>
      <c r="C1095" s="14">
        <v>4580.6666666666661</v>
      </c>
      <c r="D1095" s="14">
        <v>189.99999999999997</v>
      </c>
      <c r="E1095" s="14">
        <v>13216</v>
      </c>
      <c r="F1095" s="14">
        <v>444.66666666666663</v>
      </c>
      <c r="G1095" s="14">
        <v>1246.6666666666665</v>
      </c>
      <c r="H1095" s="14">
        <v>310.66666666666663</v>
      </c>
      <c r="I1095" s="14">
        <v>2343.333333333333</v>
      </c>
    </row>
    <row r="1096" spans="1:11" ht="16.5" x14ac:dyDescent="0.2">
      <c r="A1096" s="4" t="s">
        <v>216</v>
      </c>
      <c r="B1096">
        <v>2013</v>
      </c>
      <c r="C1096" s="14">
        <v>4588</v>
      </c>
      <c r="D1096" s="14">
        <v>189.33333333333331</v>
      </c>
      <c r="E1096" s="14">
        <v>13209.333333333332</v>
      </c>
      <c r="F1096" s="14">
        <v>436.66666666666663</v>
      </c>
      <c r="G1096" s="14">
        <v>1260.6666666666665</v>
      </c>
      <c r="H1096" s="14">
        <v>313.33333333333331</v>
      </c>
      <c r="I1096" s="14">
        <v>2335.333333333333</v>
      </c>
      <c r="K1096" s="15"/>
    </row>
    <row r="1097" spans="1:11" ht="16.5" x14ac:dyDescent="0.2">
      <c r="A1097" s="4" t="s">
        <v>216</v>
      </c>
      <c r="B1097">
        <v>2014</v>
      </c>
      <c r="C1097" s="14">
        <v>4590.6666666666661</v>
      </c>
      <c r="D1097" s="14">
        <v>188.66666666666666</v>
      </c>
      <c r="E1097" s="14">
        <v>13197.333333333332</v>
      </c>
      <c r="F1097" s="14">
        <v>427.33333333333326</v>
      </c>
      <c r="G1097" s="14">
        <v>1280.6666666666665</v>
      </c>
      <c r="H1097" s="14">
        <v>321.99999999999994</v>
      </c>
      <c r="I1097" s="14">
        <v>2325.9999999999995</v>
      </c>
    </row>
    <row r="1098" spans="1:11" ht="16.5" x14ac:dyDescent="0.2">
      <c r="A1098" s="4" t="s">
        <v>216</v>
      </c>
      <c r="B1098">
        <v>2015</v>
      </c>
      <c r="C1098" s="14">
        <v>4588.6666666666661</v>
      </c>
      <c r="D1098" s="14">
        <v>187.33333333333331</v>
      </c>
      <c r="E1098" s="14">
        <v>13174.666666666666</v>
      </c>
      <c r="F1098" s="14">
        <v>423.33333333333331</v>
      </c>
      <c r="G1098" s="14">
        <v>1312.6666666666663</v>
      </c>
      <c r="H1098" s="14">
        <v>328</v>
      </c>
      <c r="I1098" s="14">
        <v>2320</v>
      </c>
      <c r="K1098" s="15"/>
    </row>
    <row r="1099" spans="1:11" ht="16.5" x14ac:dyDescent="0.2">
      <c r="A1099" s="4" t="s">
        <v>216</v>
      </c>
      <c r="B1099">
        <v>2016</v>
      </c>
      <c r="C1099" s="14">
        <v>4583.333333333333</v>
      </c>
      <c r="D1099" s="14">
        <v>186.66666666666666</v>
      </c>
      <c r="E1099" s="14">
        <v>13164.666666666666</v>
      </c>
      <c r="F1099" s="14">
        <v>418</v>
      </c>
      <c r="G1099" s="14">
        <v>1326</v>
      </c>
      <c r="H1099" s="14">
        <v>329.33333333333331</v>
      </c>
      <c r="I1099" s="14">
        <v>2317.9999999999995</v>
      </c>
    </row>
    <row r="1100" spans="1:11" ht="16.5" x14ac:dyDescent="0.2">
      <c r="A1100" s="4" t="s">
        <v>215</v>
      </c>
      <c r="B1100">
        <v>2009</v>
      </c>
      <c r="C1100" s="14">
        <v>3629.333333333333</v>
      </c>
      <c r="D1100" s="14">
        <v>269.33333333333331</v>
      </c>
      <c r="E1100" s="14">
        <v>872</v>
      </c>
      <c r="F1100" s="14">
        <v>590</v>
      </c>
      <c r="G1100" s="14">
        <v>1314.6666666666667</v>
      </c>
      <c r="H1100" s="14">
        <v>280</v>
      </c>
      <c r="I1100" s="14">
        <v>511.99999999999994</v>
      </c>
    </row>
    <row r="1101" spans="1:11" ht="16.5" x14ac:dyDescent="0.2">
      <c r="A1101" s="4" t="s">
        <v>215</v>
      </c>
      <c r="B1101">
        <v>2010</v>
      </c>
      <c r="C1101" s="14">
        <v>3623.333333333333</v>
      </c>
      <c r="D1101" s="14">
        <v>268</v>
      </c>
      <c r="E1101" s="14">
        <v>866.66666666666663</v>
      </c>
      <c r="F1101" s="14">
        <v>588.66666666666663</v>
      </c>
      <c r="G1101" s="14">
        <v>1328.6666666666665</v>
      </c>
      <c r="H1101" s="14">
        <v>281.99999999999994</v>
      </c>
      <c r="I1101" s="14">
        <v>511.99999999999994</v>
      </c>
      <c r="K1101" s="15"/>
    </row>
    <row r="1102" spans="1:11" ht="16.5" x14ac:dyDescent="0.2">
      <c r="A1102" s="4" t="s">
        <v>215</v>
      </c>
      <c r="B1102">
        <v>2011</v>
      </c>
      <c r="C1102" s="14">
        <v>3614.6666666666665</v>
      </c>
      <c r="D1102" s="14">
        <v>266.66666666666663</v>
      </c>
      <c r="E1102" s="14">
        <v>860.66666666666652</v>
      </c>
      <c r="F1102" s="14">
        <v>583.99999999999989</v>
      </c>
      <c r="G1102" s="14">
        <v>1349.3333333333333</v>
      </c>
      <c r="H1102" s="14">
        <v>282.66666666666663</v>
      </c>
      <c r="I1102" s="14">
        <v>513.33333333333326</v>
      </c>
    </row>
    <row r="1103" spans="1:11" ht="16.5" x14ac:dyDescent="0.2">
      <c r="A1103" s="4" t="s">
        <v>215</v>
      </c>
      <c r="B1103">
        <v>2012</v>
      </c>
      <c r="C1103" s="14">
        <v>3602.6666666666661</v>
      </c>
      <c r="D1103" s="14">
        <v>264.66666666666669</v>
      </c>
      <c r="E1103" s="14">
        <v>856.66666666666663</v>
      </c>
      <c r="F1103" s="14">
        <v>581.99999999999989</v>
      </c>
      <c r="G1103" s="14">
        <v>1368</v>
      </c>
      <c r="H1103" s="14">
        <v>287.33333333333331</v>
      </c>
      <c r="I1103" s="14">
        <v>512.66666666666663</v>
      </c>
      <c r="K1103" s="15"/>
    </row>
    <row r="1104" spans="1:11" ht="16.5" x14ac:dyDescent="0.2">
      <c r="A1104" s="4" t="s">
        <v>215</v>
      </c>
      <c r="B1104">
        <v>2013</v>
      </c>
      <c r="C1104" s="14">
        <v>3609.9999999999995</v>
      </c>
      <c r="D1104" s="14">
        <v>262.66666666666663</v>
      </c>
      <c r="E1104" s="14">
        <v>851.33333333333326</v>
      </c>
      <c r="F1104" s="14">
        <v>575.33333333333326</v>
      </c>
      <c r="G1104" s="14">
        <v>1378.6666666666665</v>
      </c>
      <c r="H1104" s="14">
        <v>287.33333333333331</v>
      </c>
      <c r="I1104" s="14">
        <v>511.33333333333331</v>
      </c>
    </row>
    <row r="1105" spans="1:11" ht="16.5" x14ac:dyDescent="0.2">
      <c r="A1105" s="4" t="s">
        <v>215</v>
      </c>
      <c r="B1105">
        <v>2014</v>
      </c>
      <c r="C1105" s="14">
        <v>3597.333333333333</v>
      </c>
      <c r="D1105" s="14">
        <v>261.33333333333331</v>
      </c>
      <c r="E1105" s="14">
        <v>849.33333333333326</v>
      </c>
      <c r="F1105" s="14">
        <v>573.99999999999989</v>
      </c>
      <c r="G1105" s="14">
        <v>1390.6666666666665</v>
      </c>
      <c r="H1105" s="14">
        <v>290.66666666666663</v>
      </c>
      <c r="I1105" s="14">
        <v>509.99999999999994</v>
      </c>
    </row>
    <row r="1106" spans="1:11" ht="16.5" x14ac:dyDescent="0.2">
      <c r="A1106" s="4" t="s">
        <v>215</v>
      </c>
      <c r="B1106">
        <v>2015</v>
      </c>
      <c r="C1106" s="14">
        <v>3585.9999999999995</v>
      </c>
      <c r="D1106" s="14">
        <v>260.66666666666663</v>
      </c>
      <c r="E1106" s="14">
        <v>846.66666666666663</v>
      </c>
      <c r="F1106" s="14">
        <v>572.66666666666663</v>
      </c>
      <c r="G1106" s="14">
        <v>1405.9999999999998</v>
      </c>
      <c r="H1106" s="14">
        <v>291.33333333333331</v>
      </c>
      <c r="I1106" s="14">
        <v>509.33333333333331</v>
      </c>
      <c r="K1106" s="15"/>
    </row>
    <row r="1107" spans="1:11" ht="16.5" x14ac:dyDescent="0.2">
      <c r="A1107" s="4" t="s">
        <v>215</v>
      </c>
      <c r="B1107">
        <v>2016</v>
      </c>
      <c r="C1107" s="14">
        <v>3575.9999999999995</v>
      </c>
      <c r="D1107" s="14">
        <v>259.33333333333331</v>
      </c>
      <c r="E1107" s="14">
        <v>844.66666666666663</v>
      </c>
      <c r="F1107" s="14">
        <v>571.33333333333326</v>
      </c>
      <c r="G1107" s="14">
        <v>1418.6666666666665</v>
      </c>
      <c r="H1107" s="14">
        <v>293.33333333333331</v>
      </c>
      <c r="I1107" s="14">
        <v>508.66666666666663</v>
      </c>
    </row>
    <row r="1108" spans="1:11" ht="16.5" x14ac:dyDescent="0.2">
      <c r="A1108" s="4" t="s">
        <v>214</v>
      </c>
      <c r="B1108">
        <v>2009</v>
      </c>
      <c r="C1108" s="14">
        <v>5349.9999999999991</v>
      </c>
      <c r="D1108" s="14">
        <v>395.99999999999994</v>
      </c>
      <c r="E1108" s="14">
        <v>1245.3333333333333</v>
      </c>
      <c r="F1108" s="14">
        <v>234</v>
      </c>
      <c r="G1108" s="14">
        <v>1772</v>
      </c>
      <c r="H1108" s="14">
        <v>538</v>
      </c>
      <c r="I1108" s="14">
        <v>1179.3333333333333</v>
      </c>
      <c r="K1108" s="15"/>
    </row>
    <row r="1109" spans="1:11" ht="16.5" x14ac:dyDescent="0.2">
      <c r="A1109" s="4" t="s">
        <v>214</v>
      </c>
      <c r="B1109">
        <v>2010</v>
      </c>
      <c r="C1109" s="14">
        <v>5330.6666666666661</v>
      </c>
      <c r="D1109" s="14">
        <v>393.33333333333331</v>
      </c>
      <c r="E1109" s="14">
        <v>1240</v>
      </c>
      <c r="F1109" s="14">
        <v>228.66666666666663</v>
      </c>
      <c r="G1109" s="14">
        <v>1803.3333333333333</v>
      </c>
      <c r="H1109" s="14">
        <v>541.33333333333326</v>
      </c>
      <c r="I1109" s="14">
        <v>1174.6666666666665</v>
      </c>
    </row>
    <row r="1110" spans="1:11" ht="16.5" x14ac:dyDescent="0.2">
      <c r="A1110" s="4" t="s">
        <v>214</v>
      </c>
      <c r="B1110">
        <v>2011</v>
      </c>
      <c r="C1110" s="14">
        <v>5306.6666666666661</v>
      </c>
      <c r="D1110" s="14">
        <v>389.33333333333331</v>
      </c>
      <c r="E1110" s="14">
        <v>1234.6666666666665</v>
      </c>
      <c r="F1110" s="14">
        <v>221.33333333333334</v>
      </c>
      <c r="G1110" s="14">
        <v>1831.333333333333</v>
      </c>
      <c r="H1110" s="14">
        <v>554.66666666666663</v>
      </c>
      <c r="I1110" s="14">
        <v>1168.6666666666667</v>
      </c>
    </row>
    <row r="1111" spans="1:11" ht="16.5" x14ac:dyDescent="0.2">
      <c r="A1111" s="4" t="s">
        <v>214</v>
      </c>
      <c r="B1111">
        <v>2012</v>
      </c>
      <c r="C1111" s="14">
        <v>5280.6666666666661</v>
      </c>
      <c r="D1111" s="14">
        <v>385.99999999999994</v>
      </c>
      <c r="E1111" s="14">
        <v>1230</v>
      </c>
      <c r="F1111" s="14">
        <v>218</v>
      </c>
      <c r="G1111" s="14">
        <v>1873.9999999999995</v>
      </c>
      <c r="H1111" s="14">
        <v>556</v>
      </c>
      <c r="I1111" s="14">
        <v>1163.9999999999998</v>
      </c>
      <c r="K1111" s="15"/>
    </row>
    <row r="1112" spans="1:11" ht="16.5" x14ac:dyDescent="0.2">
      <c r="A1112" s="4" t="s">
        <v>214</v>
      </c>
      <c r="B1112">
        <v>2013</v>
      </c>
      <c r="C1112" s="14">
        <v>5255.3333333333321</v>
      </c>
      <c r="D1112" s="14">
        <v>382.66666666666663</v>
      </c>
      <c r="E1112" s="14">
        <v>1224.6666666666665</v>
      </c>
      <c r="F1112" s="14">
        <v>214.66666666666666</v>
      </c>
      <c r="G1112" s="14">
        <v>1911.3333333333335</v>
      </c>
      <c r="H1112" s="14">
        <v>557.33333333333326</v>
      </c>
      <c r="I1112" s="14">
        <v>1159.3333333333333</v>
      </c>
    </row>
    <row r="1113" spans="1:11" ht="16.5" x14ac:dyDescent="0.2">
      <c r="A1113" s="4" t="s">
        <v>214</v>
      </c>
      <c r="B1113">
        <v>2014</v>
      </c>
      <c r="C1113" s="14">
        <v>5229.333333333333</v>
      </c>
      <c r="D1113" s="14">
        <v>379.99999999999994</v>
      </c>
      <c r="E1113" s="14">
        <v>1221.3333333333333</v>
      </c>
      <c r="F1113" s="14">
        <v>213.33333333333331</v>
      </c>
      <c r="G1113" s="14">
        <v>1945.3333333333333</v>
      </c>
      <c r="H1113" s="14">
        <v>560</v>
      </c>
      <c r="I1113" s="14">
        <v>1154.6666666666665</v>
      </c>
      <c r="K1113" s="15"/>
    </row>
    <row r="1114" spans="1:11" ht="16.5" x14ac:dyDescent="0.2">
      <c r="A1114" s="4" t="s">
        <v>214</v>
      </c>
      <c r="B1114">
        <v>2015</v>
      </c>
      <c r="C1114" s="14">
        <v>5208.6666666666661</v>
      </c>
      <c r="D1114" s="14">
        <v>378</v>
      </c>
      <c r="E1114" s="14">
        <v>1216.6666666666665</v>
      </c>
      <c r="F1114" s="14">
        <v>211.33333333333331</v>
      </c>
      <c r="G1114" s="14">
        <v>1979.333333333333</v>
      </c>
      <c r="H1114" s="14">
        <v>563.99999999999989</v>
      </c>
      <c r="I1114" s="14">
        <v>1153.9999999999998</v>
      </c>
    </row>
    <row r="1115" spans="1:11" ht="16.5" x14ac:dyDescent="0.2">
      <c r="A1115" s="4" t="s">
        <v>214</v>
      </c>
      <c r="B1115">
        <v>2016</v>
      </c>
      <c r="C1115" s="14">
        <v>5191.9999999999991</v>
      </c>
      <c r="D1115" s="14">
        <v>375.99999999999994</v>
      </c>
      <c r="E1115" s="14">
        <v>1213.3333333333333</v>
      </c>
      <c r="F1115" s="14">
        <v>210.66666666666666</v>
      </c>
      <c r="G1115" s="14">
        <v>2002.0000000000002</v>
      </c>
      <c r="H1115" s="14">
        <v>567.33333333333326</v>
      </c>
      <c r="I1115" s="14">
        <v>1152</v>
      </c>
    </row>
    <row r="1116" spans="1:11" ht="16.5" x14ac:dyDescent="0.2">
      <c r="A1116" s="4" t="s">
        <v>213</v>
      </c>
      <c r="B1116">
        <v>2009</v>
      </c>
      <c r="C1116" s="14">
        <v>2127.9999999999995</v>
      </c>
      <c r="D1116" s="14">
        <v>590.66666666666663</v>
      </c>
      <c r="E1116" s="14">
        <v>1050.6666666666665</v>
      </c>
      <c r="F1116" s="14">
        <v>395.99999999999994</v>
      </c>
      <c r="G1116" s="14">
        <v>955.33333333333337</v>
      </c>
      <c r="H1116" s="14">
        <v>199.99999999999997</v>
      </c>
      <c r="I1116" s="14">
        <v>252.66666666666663</v>
      </c>
      <c r="K1116" s="15"/>
    </row>
    <row r="1117" spans="1:11" ht="16.5" x14ac:dyDescent="0.2">
      <c r="A1117" s="4" t="s">
        <v>213</v>
      </c>
      <c r="B1117">
        <v>2010</v>
      </c>
      <c r="C1117" s="14">
        <v>2122.6666666666665</v>
      </c>
      <c r="D1117" s="14">
        <v>590</v>
      </c>
      <c r="E1117" s="14">
        <v>1049.3333333333333</v>
      </c>
      <c r="F1117" s="14">
        <v>391.33333333333331</v>
      </c>
      <c r="G1117" s="14">
        <v>966.66666666666663</v>
      </c>
      <c r="H1117" s="14">
        <v>202</v>
      </c>
      <c r="I1117" s="14">
        <v>251.99999999999997</v>
      </c>
    </row>
    <row r="1118" spans="1:11" ht="16.5" x14ac:dyDescent="0.2">
      <c r="A1118" s="4" t="s">
        <v>213</v>
      </c>
      <c r="B1118">
        <v>2011</v>
      </c>
      <c r="C1118" s="14">
        <v>2117.3333333333335</v>
      </c>
      <c r="D1118" s="14">
        <v>588.66666666666663</v>
      </c>
      <c r="E1118" s="14">
        <v>1047.3333333333333</v>
      </c>
      <c r="F1118" s="14">
        <v>386.66666666666663</v>
      </c>
      <c r="G1118" s="14">
        <v>975.33333333333314</v>
      </c>
      <c r="H1118" s="14">
        <v>203.33333333333331</v>
      </c>
      <c r="I1118" s="14">
        <v>254</v>
      </c>
      <c r="K1118" s="15"/>
    </row>
    <row r="1119" spans="1:11" ht="16.5" x14ac:dyDescent="0.2">
      <c r="A1119" s="4" t="s">
        <v>213</v>
      </c>
      <c r="B1119">
        <v>2012</v>
      </c>
      <c r="C1119" s="14">
        <v>2111.333333333333</v>
      </c>
      <c r="D1119" s="14">
        <v>587.33333333333326</v>
      </c>
      <c r="E1119" s="14">
        <v>1046.6666666666665</v>
      </c>
      <c r="F1119" s="14">
        <v>381.99999999999994</v>
      </c>
      <c r="G1119" s="14">
        <v>988.66666666666652</v>
      </c>
      <c r="H1119" s="14">
        <v>204.66666666666666</v>
      </c>
      <c r="I1119" s="14">
        <v>254</v>
      </c>
    </row>
    <row r="1120" spans="1:11" ht="16.5" x14ac:dyDescent="0.2">
      <c r="A1120" s="4" t="s">
        <v>213</v>
      </c>
      <c r="B1120">
        <v>2013</v>
      </c>
      <c r="C1120" s="14">
        <v>2104.6666666666665</v>
      </c>
      <c r="D1120" s="14">
        <v>588</v>
      </c>
      <c r="E1120" s="14">
        <v>1046</v>
      </c>
      <c r="F1120" s="14">
        <v>377.33333333333331</v>
      </c>
      <c r="G1120" s="14">
        <v>999.99999999999989</v>
      </c>
      <c r="H1120" s="14">
        <v>205.33333333333331</v>
      </c>
      <c r="I1120" s="14">
        <v>253.33333333333331</v>
      </c>
    </row>
    <row r="1121" spans="1:11" ht="16.5" x14ac:dyDescent="0.2">
      <c r="A1121" s="4" t="s">
        <v>213</v>
      </c>
      <c r="B1121">
        <v>2014</v>
      </c>
      <c r="C1121" s="14">
        <v>2097.9999999999995</v>
      </c>
      <c r="D1121" s="14">
        <v>586.66666666666663</v>
      </c>
      <c r="E1121" s="14">
        <v>1043.9999999999998</v>
      </c>
      <c r="F1121" s="14">
        <v>375.99999999999994</v>
      </c>
      <c r="G1121" s="14">
        <v>1009.3333333333333</v>
      </c>
      <c r="H1121" s="14">
        <v>207.33333333333331</v>
      </c>
      <c r="I1121" s="14">
        <v>253.33333333333331</v>
      </c>
      <c r="K1121" s="15"/>
    </row>
    <row r="1122" spans="1:11" ht="16.5" x14ac:dyDescent="0.2">
      <c r="A1122" s="4" t="s">
        <v>213</v>
      </c>
      <c r="B1122">
        <v>2015</v>
      </c>
      <c r="C1122" s="14">
        <v>2093.333333333333</v>
      </c>
      <c r="D1122" s="14">
        <v>586.66666666666663</v>
      </c>
      <c r="E1122" s="14">
        <v>1043.3333333333333</v>
      </c>
      <c r="F1122" s="14">
        <v>374.66666666666663</v>
      </c>
      <c r="G1122" s="14">
        <v>1016</v>
      </c>
      <c r="H1122" s="14">
        <v>207.33333333333331</v>
      </c>
      <c r="I1122" s="14">
        <v>252.66666666666663</v>
      </c>
    </row>
    <row r="1123" spans="1:11" ht="16.5" x14ac:dyDescent="0.2">
      <c r="A1123" s="4" t="s">
        <v>213</v>
      </c>
      <c r="B1123">
        <v>2016</v>
      </c>
      <c r="C1123" s="14">
        <v>2086.6666666666665</v>
      </c>
      <c r="D1123" s="14">
        <v>585.33333333333326</v>
      </c>
      <c r="E1123" s="14">
        <v>1040.6666666666665</v>
      </c>
      <c r="F1123" s="14">
        <v>374</v>
      </c>
      <c r="G1123" s="14">
        <v>1024.6666666666665</v>
      </c>
      <c r="H1123" s="14">
        <v>210.66666666666666</v>
      </c>
      <c r="I1123" s="14">
        <v>252.66666666666663</v>
      </c>
      <c r="K1123" s="15"/>
    </row>
    <row r="1124" spans="1:11" ht="16.5" x14ac:dyDescent="0.2">
      <c r="A1124" s="4" t="s">
        <v>212</v>
      </c>
      <c r="B1124">
        <v>2009</v>
      </c>
      <c r="C1124" s="14">
        <v>2386.6666666666665</v>
      </c>
      <c r="D1124" s="14">
        <v>153.33333333333331</v>
      </c>
      <c r="E1124" s="14">
        <v>388</v>
      </c>
      <c r="F1124" s="14">
        <v>167.99999999999997</v>
      </c>
      <c r="G1124" s="14">
        <v>684.66666666666663</v>
      </c>
      <c r="H1124" s="14">
        <v>211.33333333333331</v>
      </c>
      <c r="I1124" s="14">
        <v>278</v>
      </c>
    </row>
    <row r="1125" spans="1:11" ht="16.5" x14ac:dyDescent="0.2">
      <c r="A1125" s="4" t="s">
        <v>212</v>
      </c>
      <c r="B1125">
        <v>2010</v>
      </c>
      <c r="C1125" s="14">
        <v>2379.333333333333</v>
      </c>
      <c r="D1125" s="14">
        <v>150.66666666666666</v>
      </c>
      <c r="E1125" s="14">
        <v>386.66666666666663</v>
      </c>
      <c r="F1125" s="14">
        <v>167.99999999999997</v>
      </c>
      <c r="G1125" s="14">
        <v>691.99999999999989</v>
      </c>
      <c r="H1125" s="14">
        <v>215.99999999999997</v>
      </c>
      <c r="I1125" s="14">
        <v>276.66666666666663</v>
      </c>
    </row>
    <row r="1126" spans="1:11" ht="16.5" x14ac:dyDescent="0.2">
      <c r="A1126" s="4" t="s">
        <v>212</v>
      </c>
      <c r="B1126">
        <v>2011</v>
      </c>
      <c r="C1126" s="14">
        <v>2375.9999999999995</v>
      </c>
      <c r="D1126" s="14">
        <v>149.33333333333331</v>
      </c>
      <c r="E1126" s="14">
        <v>384.66666666666663</v>
      </c>
      <c r="F1126" s="14">
        <v>165.99999999999997</v>
      </c>
      <c r="G1126" s="14">
        <v>701.33333333333314</v>
      </c>
      <c r="H1126" s="14">
        <v>217.33333333333331</v>
      </c>
      <c r="I1126" s="14">
        <v>275.99999999999994</v>
      </c>
      <c r="K1126" s="15"/>
    </row>
    <row r="1127" spans="1:11" ht="16.5" x14ac:dyDescent="0.2">
      <c r="A1127" s="4" t="s">
        <v>212</v>
      </c>
      <c r="B1127">
        <v>2012</v>
      </c>
      <c r="C1127" s="14">
        <v>2372</v>
      </c>
      <c r="D1127" s="14">
        <v>148.66666666666666</v>
      </c>
      <c r="E1127" s="14">
        <v>384</v>
      </c>
      <c r="F1127" s="14">
        <v>164.66666666666666</v>
      </c>
      <c r="G1127" s="14">
        <v>708.66666666666663</v>
      </c>
      <c r="H1127" s="14">
        <v>218.66666666666663</v>
      </c>
      <c r="I1127" s="14">
        <v>274.66666666666669</v>
      </c>
    </row>
    <row r="1128" spans="1:11" ht="16.5" x14ac:dyDescent="0.2">
      <c r="A1128" s="4" t="s">
        <v>212</v>
      </c>
      <c r="B1128">
        <v>2013</v>
      </c>
      <c r="C1128" s="14">
        <v>2372</v>
      </c>
      <c r="D1128" s="14">
        <v>147.99999999999997</v>
      </c>
      <c r="E1128" s="14">
        <v>383.33333333333331</v>
      </c>
      <c r="F1128" s="14">
        <v>162</v>
      </c>
      <c r="G1128" s="14">
        <v>712.66666666666663</v>
      </c>
      <c r="H1128" s="14">
        <v>218.66666666666663</v>
      </c>
      <c r="I1128" s="14">
        <v>274</v>
      </c>
      <c r="K1128" s="15"/>
    </row>
    <row r="1129" spans="1:11" ht="16.5" x14ac:dyDescent="0.2">
      <c r="A1129" s="4" t="s">
        <v>212</v>
      </c>
      <c r="B1129">
        <v>2014</v>
      </c>
      <c r="C1129" s="14">
        <v>2369.333333333333</v>
      </c>
      <c r="D1129" s="14">
        <v>147.33333333333334</v>
      </c>
      <c r="E1129" s="14">
        <v>382.66666666666663</v>
      </c>
      <c r="F1129" s="14">
        <v>160</v>
      </c>
      <c r="G1129" s="14">
        <v>719.33333333333326</v>
      </c>
      <c r="H1129" s="14">
        <v>219.99999999999997</v>
      </c>
      <c r="I1129" s="14">
        <v>273.33333333333331</v>
      </c>
    </row>
    <row r="1130" spans="1:11" ht="16.5" x14ac:dyDescent="0.2">
      <c r="A1130" s="4" t="s">
        <v>212</v>
      </c>
      <c r="B1130">
        <v>2015</v>
      </c>
      <c r="C1130" s="14">
        <v>2365.9999999999995</v>
      </c>
      <c r="D1130" s="14">
        <v>146.66666666666666</v>
      </c>
      <c r="E1130" s="14">
        <v>381.33333333333331</v>
      </c>
      <c r="F1130" s="14">
        <v>160</v>
      </c>
      <c r="G1130" s="14">
        <v>725.33333333333337</v>
      </c>
      <c r="H1130" s="14">
        <v>219.99999999999997</v>
      </c>
      <c r="I1130" s="14">
        <v>271.99999999999994</v>
      </c>
    </row>
    <row r="1131" spans="1:11" ht="16.5" x14ac:dyDescent="0.2">
      <c r="A1131" s="4" t="s">
        <v>212</v>
      </c>
      <c r="B1131">
        <v>2016</v>
      </c>
      <c r="C1131" s="14">
        <v>2363.333333333333</v>
      </c>
      <c r="D1131" s="14">
        <v>146.66666666666666</v>
      </c>
      <c r="E1131" s="14">
        <v>380.66666666666663</v>
      </c>
      <c r="F1131" s="14">
        <v>159.33333333333331</v>
      </c>
      <c r="G1131" s="14">
        <v>729.99999999999989</v>
      </c>
      <c r="H1131" s="14">
        <v>221.33333333333334</v>
      </c>
      <c r="I1131" s="14">
        <v>274</v>
      </c>
      <c r="K1131" s="15"/>
    </row>
    <row r="1132" spans="1:11" ht="16.5" x14ac:dyDescent="0.2">
      <c r="A1132" s="4" t="s">
        <v>211</v>
      </c>
      <c r="B1132">
        <v>2009</v>
      </c>
      <c r="C1132" s="14">
        <v>2225.333333333333</v>
      </c>
      <c r="D1132" s="14">
        <v>44.666666666666664</v>
      </c>
      <c r="E1132" s="14">
        <v>231.99999999999997</v>
      </c>
      <c r="F1132" s="14">
        <v>148.66666666666666</v>
      </c>
      <c r="G1132" s="14">
        <v>783.99999999999989</v>
      </c>
      <c r="H1132" s="14">
        <v>222.66666666666663</v>
      </c>
      <c r="I1132" s="14">
        <v>3219.9999999999995</v>
      </c>
    </row>
    <row r="1133" spans="1:11" ht="16.5" x14ac:dyDescent="0.2">
      <c r="A1133" s="4" t="s">
        <v>211</v>
      </c>
      <c r="B1133">
        <v>2010</v>
      </c>
      <c r="C1133" s="14">
        <v>2224</v>
      </c>
      <c r="D1133" s="14">
        <v>43.999999999999993</v>
      </c>
      <c r="E1133" s="14">
        <v>228</v>
      </c>
      <c r="F1133" s="14">
        <v>146.66666666666666</v>
      </c>
      <c r="G1133" s="14">
        <v>812.66666666666652</v>
      </c>
      <c r="H1133" s="14">
        <v>225.99999999999997</v>
      </c>
      <c r="I1133" s="14">
        <v>3212.6666666666661</v>
      </c>
      <c r="K1133" s="15"/>
    </row>
    <row r="1134" spans="1:11" ht="16.5" x14ac:dyDescent="0.2">
      <c r="A1134" s="4" t="s">
        <v>211</v>
      </c>
      <c r="B1134">
        <v>2011</v>
      </c>
      <c r="C1134" s="14">
        <v>2227.9999999999995</v>
      </c>
      <c r="D1134" s="14">
        <v>43.333333333333329</v>
      </c>
      <c r="E1134" s="14">
        <v>228</v>
      </c>
      <c r="F1134" s="14">
        <v>143.33333333333331</v>
      </c>
      <c r="G1134" s="14">
        <v>837.33333333333326</v>
      </c>
      <c r="H1134" s="14">
        <v>231.99999999999997</v>
      </c>
      <c r="I1134" s="14">
        <v>3207.9999999999995</v>
      </c>
    </row>
    <row r="1135" spans="1:11" ht="16.5" x14ac:dyDescent="0.2">
      <c r="A1135" s="4" t="s">
        <v>211</v>
      </c>
      <c r="B1135">
        <v>2012</v>
      </c>
      <c r="C1135" s="14">
        <v>2234.6666666666665</v>
      </c>
      <c r="D1135" s="14">
        <v>41.333333333333329</v>
      </c>
      <c r="E1135" s="14">
        <v>228</v>
      </c>
      <c r="F1135" s="14">
        <v>143.33333333333331</v>
      </c>
      <c r="G1135" s="14">
        <v>858.66666666666663</v>
      </c>
      <c r="H1135" s="14">
        <v>235.99999999999997</v>
      </c>
      <c r="I1135" s="14">
        <v>3200.6666666666665</v>
      </c>
    </row>
    <row r="1136" spans="1:11" ht="16.5" x14ac:dyDescent="0.2">
      <c r="A1136" s="4" t="s">
        <v>211</v>
      </c>
      <c r="B1136">
        <v>2013</v>
      </c>
      <c r="C1136" s="14">
        <v>2234.6666666666665</v>
      </c>
      <c r="D1136" s="14">
        <v>43.333333333333329</v>
      </c>
      <c r="E1136" s="14">
        <v>228.66666666666663</v>
      </c>
      <c r="F1136" s="14">
        <v>142</v>
      </c>
      <c r="G1136" s="14">
        <v>882.66666666666663</v>
      </c>
      <c r="H1136" s="14">
        <v>239.33333333333331</v>
      </c>
      <c r="I1136" s="14">
        <v>3187.9999999999995</v>
      </c>
      <c r="K1136" s="15"/>
    </row>
    <row r="1137" spans="1:11" ht="16.5" x14ac:dyDescent="0.2">
      <c r="A1137" s="4" t="s">
        <v>211</v>
      </c>
      <c r="B1137">
        <v>2014</v>
      </c>
      <c r="C1137" s="14">
        <v>2230</v>
      </c>
      <c r="D1137" s="14">
        <v>43.333333333333329</v>
      </c>
      <c r="E1137" s="14">
        <v>228</v>
      </c>
      <c r="F1137" s="14">
        <v>142</v>
      </c>
      <c r="G1137" s="14">
        <v>901.33333333333314</v>
      </c>
      <c r="H1137" s="14">
        <v>243.33333333333331</v>
      </c>
      <c r="I1137" s="14">
        <v>3182.6666666666661</v>
      </c>
    </row>
    <row r="1138" spans="1:11" ht="16.5" x14ac:dyDescent="0.2">
      <c r="A1138" s="4" t="s">
        <v>211</v>
      </c>
      <c r="B1138">
        <v>2015</v>
      </c>
      <c r="C1138" s="14">
        <v>2256.6666666666665</v>
      </c>
      <c r="D1138" s="14">
        <v>42.666666666666664</v>
      </c>
      <c r="E1138" s="14">
        <v>227.33333333333331</v>
      </c>
      <c r="F1138" s="14">
        <v>142</v>
      </c>
      <c r="G1138" s="14">
        <v>914.66666666666674</v>
      </c>
      <c r="H1138" s="14">
        <v>244.66666666666666</v>
      </c>
      <c r="I1138" s="14">
        <v>3175.333333333333</v>
      </c>
      <c r="K1138" s="15"/>
    </row>
    <row r="1139" spans="1:11" ht="16.5" x14ac:dyDescent="0.2">
      <c r="A1139" s="4" t="s">
        <v>211</v>
      </c>
      <c r="B1139">
        <v>2016</v>
      </c>
      <c r="C1139" s="14">
        <v>2282</v>
      </c>
      <c r="D1139" s="14">
        <v>42.666666666666664</v>
      </c>
      <c r="E1139" s="14">
        <v>227.33333333333331</v>
      </c>
      <c r="F1139" s="14">
        <v>142</v>
      </c>
      <c r="G1139" s="14">
        <v>920.66666666666652</v>
      </c>
      <c r="H1139" s="14">
        <v>246.66666666666666</v>
      </c>
      <c r="I1139" s="14">
        <v>3169.333333333333</v>
      </c>
    </row>
    <row r="1140" spans="1:11" ht="16.5" x14ac:dyDescent="0.2">
      <c r="A1140" s="4" t="s">
        <v>210</v>
      </c>
      <c r="B1140">
        <v>2009</v>
      </c>
      <c r="C1140" s="14">
        <v>4504.666666666667</v>
      </c>
      <c r="D1140" s="14">
        <v>2391.333333333333</v>
      </c>
      <c r="E1140" s="14">
        <v>2226.6666666666665</v>
      </c>
      <c r="F1140" s="14">
        <v>648</v>
      </c>
      <c r="G1140" s="14">
        <v>1549.9999999999998</v>
      </c>
      <c r="H1140" s="14">
        <v>490.66666666666657</v>
      </c>
      <c r="I1140" s="14">
        <v>917.33333333333326</v>
      </c>
    </row>
    <row r="1141" spans="1:11" ht="16.5" x14ac:dyDescent="0.2">
      <c r="A1141" s="4" t="s">
        <v>210</v>
      </c>
      <c r="B1141">
        <v>2010</v>
      </c>
      <c r="C1141" s="14">
        <v>4488</v>
      </c>
      <c r="D1141" s="14">
        <v>2374</v>
      </c>
      <c r="E1141" s="14">
        <v>2221.333333333333</v>
      </c>
      <c r="F1141" s="14">
        <v>641.33333333333326</v>
      </c>
      <c r="G1141" s="14">
        <v>1593.3333333333333</v>
      </c>
      <c r="H1141" s="14">
        <v>498</v>
      </c>
      <c r="I1141" s="14">
        <v>910.66666666666652</v>
      </c>
      <c r="K1141" s="15"/>
    </row>
    <row r="1142" spans="1:11" ht="16.5" x14ac:dyDescent="0.2">
      <c r="A1142" s="4" t="s">
        <v>210</v>
      </c>
      <c r="B1142">
        <v>2011</v>
      </c>
      <c r="C1142" s="14">
        <v>4474</v>
      </c>
      <c r="D1142" s="14">
        <v>2360</v>
      </c>
      <c r="E1142" s="14">
        <v>2216.6666666666665</v>
      </c>
      <c r="F1142" s="14">
        <v>631.99999999999989</v>
      </c>
      <c r="G1142" s="14">
        <v>1627.3333333333333</v>
      </c>
      <c r="H1142" s="14">
        <v>506.66666666666663</v>
      </c>
      <c r="I1142" s="14">
        <v>889.33333333333326</v>
      </c>
    </row>
    <row r="1143" spans="1:11" ht="16.5" x14ac:dyDescent="0.2">
      <c r="A1143" s="4" t="s">
        <v>210</v>
      </c>
      <c r="B1143">
        <v>2012</v>
      </c>
      <c r="C1143" s="14">
        <v>4468.6666666666661</v>
      </c>
      <c r="D1143" s="14">
        <v>2349.333333333333</v>
      </c>
      <c r="E1143" s="14">
        <v>2214</v>
      </c>
      <c r="F1143" s="14">
        <v>626</v>
      </c>
      <c r="G1143" s="14">
        <v>1648.6666666666665</v>
      </c>
      <c r="H1143" s="14">
        <v>510.66666666666657</v>
      </c>
      <c r="I1143" s="14">
        <v>887.33333333333326</v>
      </c>
      <c r="K1143" s="15"/>
    </row>
    <row r="1144" spans="1:11" ht="16.5" x14ac:dyDescent="0.2">
      <c r="A1144" s="4" t="s">
        <v>210</v>
      </c>
      <c r="B1144">
        <v>2013</v>
      </c>
      <c r="C1144" s="14">
        <v>4466.6666666666661</v>
      </c>
      <c r="D1144" s="14">
        <v>2338.6666666666665</v>
      </c>
      <c r="E1144" s="14">
        <v>2208.6666666666665</v>
      </c>
      <c r="F1144" s="14">
        <v>617.33333333333326</v>
      </c>
      <c r="G1144" s="14">
        <v>1668.6666666666665</v>
      </c>
      <c r="H1144" s="14">
        <v>517.33333333333326</v>
      </c>
      <c r="I1144" s="14">
        <v>885.33333333333337</v>
      </c>
    </row>
    <row r="1145" spans="1:11" ht="16.5" x14ac:dyDescent="0.2">
      <c r="A1145" s="4" t="s">
        <v>210</v>
      </c>
      <c r="B1145">
        <v>2014</v>
      </c>
      <c r="C1145" s="14">
        <v>4460.6666666666661</v>
      </c>
      <c r="D1145" s="14">
        <v>2327.9999999999995</v>
      </c>
      <c r="E1145" s="14">
        <v>2205.9999999999995</v>
      </c>
      <c r="F1145" s="14">
        <v>614.66666666666663</v>
      </c>
      <c r="G1145" s="14">
        <v>1685.333333333333</v>
      </c>
      <c r="H1145" s="14">
        <v>521.99999999999989</v>
      </c>
      <c r="I1145" s="14">
        <v>883.33333333333326</v>
      </c>
    </row>
    <row r="1146" spans="1:11" ht="16.5" x14ac:dyDescent="0.2">
      <c r="A1146" s="4" t="s">
        <v>210</v>
      </c>
      <c r="B1146">
        <v>2015</v>
      </c>
      <c r="C1146" s="14">
        <v>4454</v>
      </c>
      <c r="D1146" s="14">
        <v>2321.333333333333</v>
      </c>
      <c r="E1146" s="14">
        <v>2203.333333333333</v>
      </c>
      <c r="F1146" s="14">
        <v>611.99999999999989</v>
      </c>
      <c r="G1146" s="14">
        <v>1701.3333333333333</v>
      </c>
      <c r="H1146" s="14">
        <v>525.33333333333326</v>
      </c>
      <c r="I1146" s="14">
        <v>882</v>
      </c>
      <c r="K1146" s="15"/>
    </row>
    <row r="1147" spans="1:11" ht="16.5" x14ac:dyDescent="0.2">
      <c r="A1147" s="4" t="s">
        <v>210</v>
      </c>
      <c r="B1147">
        <v>2016</v>
      </c>
      <c r="C1147" s="14">
        <v>4455.9999999999991</v>
      </c>
      <c r="D1147" s="14">
        <v>2309.333333333333</v>
      </c>
      <c r="E1147" s="14">
        <v>2200.6666666666665</v>
      </c>
      <c r="F1147" s="14">
        <v>609.33333333333337</v>
      </c>
      <c r="G1147" s="14">
        <v>1712.6666666666663</v>
      </c>
      <c r="H1147" s="14">
        <v>530</v>
      </c>
      <c r="I1147" s="14">
        <v>880.66666666666652</v>
      </c>
    </row>
    <row r="1148" spans="1:11" ht="16.5" x14ac:dyDescent="0.2">
      <c r="A1148" s="4" t="s">
        <v>209</v>
      </c>
      <c r="B1148">
        <v>2009</v>
      </c>
      <c r="C1148" s="14">
        <v>8014.6666666666661</v>
      </c>
      <c r="D1148" s="14">
        <v>606.66666666666663</v>
      </c>
      <c r="E1148" s="14">
        <v>1227.9999999999998</v>
      </c>
      <c r="F1148" s="14">
        <v>583.33333333333326</v>
      </c>
      <c r="G1148" s="14">
        <v>2391.9999999999995</v>
      </c>
      <c r="H1148" s="14">
        <v>608.66666666666663</v>
      </c>
      <c r="I1148" s="14">
        <v>1539.9999999999998</v>
      </c>
      <c r="K1148" s="15"/>
    </row>
    <row r="1149" spans="1:11" ht="16.5" x14ac:dyDescent="0.2">
      <c r="A1149" s="4" t="s">
        <v>209</v>
      </c>
      <c r="B1149">
        <v>2010</v>
      </c>
      <c r="C1149" s="14">
        <v>8008</v>
      </c>
      <c r="D1149" s="14">
        <v>598.66666666666663</v>
      </c>
      <c r="E1149" s="14">
        <v>1222.6666666666665</v>
      </c>
      <c r="F1149" s="14">
        <v>573.33333333333326</v>
      </c>
      <c r="G1149" s="14">
        <v>2414</v>
      </c>
      <c r="H1149" s="14">
        <v>617.33333333333326</v>
      </c>
      <c r="I1149" s="14">
        <v>1537.9999999999998</v>
      </c>
    </row>
    <row r="1150" spans="1:11" ht="16.5" x14ac:dyDescent="0.2">
      <c r="A1150" s="4" t="s">
        <v>209</v>
      </c>
      <c r="B1150">
        <v>2011</v>
      </c>
      <c r="C1150" s="14">
        <v>7998.6666666666661</v>
      </c>
      <c r="D1150" s="14">
        <v>593.99999999999989</v>
      </c>
      <c r="E1150" s="14">
        <v>1217.3333333333333</v>
      </c>
      <c r="F1150" s="14">
        <v>566.66666666666663</v>
      </c>
      <c r="G1150" s="14">
        <v>2433.333333333333</v>
      </c>
      <c r="H1150" s="14">
        <v>618.66666666666663</v>
      </c>
      <c r="I1150" s="14">
        <v>1533.3333333333333</v>
      </c>
    </row>
    <row r="1151" spans="1:11" ht="16.5" x14ac:dyDescent="0.2">
      <c r="A1151" s="4" t="s">
        <v>209</v>
      </c>
      <c r="B1151">
        <v>2012</v>
      </c>
      <c r="C1151" s="14">
        <v>7983.333333333333</v>
      </c>
      <c r="D1151" s="14">
        <v>591.33333333333326</v>
      </c>
      <c r="E1151" s="14">
        <v>1213.9999999999998</v>
      </c>
      <c r="F1151" s="14">
        <v>559.33333333333337</v>
      </c>
      <c r="G1151" s="14">
        <v>2457.3333333333335</v>
      </c>
      <c r="H1151" s="14">
        <v>623.99999999999989</v>
      </c>
      <c r="I1151" s="14">
        <v>1530.6666666666665</v>
      </c>
      <c r="K1151" s="15"/>
    </row>
    <row r="1152" spans="1:11" ht="16.5" x14ac:dyDescent="0.2">
      <c r="A1152" s="4" t="s">
        <v>209</v>
      </c>
      <c r="B1152">
        <v>2013</v>
      </c>
      <c r="C1152" s="14">
        <v>7973.333333333333</v>
      </c>
      <c r="D1152" s="14">
        <v>590</v>
      </c>
      <c r="E1152" s="14">
        <v>1211.3333333333333</v>
      </c>
      <c r="F1152" s="14">
        <v>550.66666666666663</v>
      </c>
      <c r="G1152" s="14">
        <v>2475.3333333333335</v>
      </c>
      <c r="H1152" s="14">
        <v>626</v>
      </c>
      <c r="I1152" s="14">
        <v>1532</v>
      </c>
    </row>
    <row r="1153" spans="1:11" ht="16.5" x14ac:dyDescent="0.2">
      <c r="A1153" s="4" t="s">
        <v>209</v>
      </c>
      <c r="B1153">
        <v>2014</v>
      </c>
      <c r="C1153" s="14">
        <v>7958.6666666666661</v>
      </c>
      <c r="D1153" s="14">
        <v>585.33333333333326</v>
      </c>
      <c r="E1153" s="14">
        <v>1207.9999999999998</v>
      </c>
      <c r="F1153" s="14">
        <v>543.99999999999989</v>
      </c>
      <c r="G1153" s="14">
        <v>2495.333333333333</v>
      </c>
      <c r="H1153" s="14">
        <v>630</v>
      </c>
      <c r="I1153" s="14">
        <v>1529.9999999999998</v>
      </c>
      <c r="K1153" s="15"/>
    </row>
    <row r="1154" spans="1:11" ht="16.5" x14ac:dyDescent="0.2">
      <c r="A1154" s="4" t="s">
        <v>209</v>
      </c>
      <c r="B1154">
        <v>2015</v>
      </c>
      <c r="C1154" s="14">
        <v>7947.3333333333321</v>
      </c>
      <c r="D1154" s="14">
        <v>581.99999999999989</v>
      </c>
      <c r="E1154" s="14">
        <v>1206</v>
      </c>
      <c r="F1154" s="14">
        <v>541.33333333333326</v>
      </c>
      <c r="G1154" s="14">
        <v>2510</v>
      </c>
      <c r="H1154" s="14">
        <v>633.33333333333326</v>
      </c>
      <c r="I1154" s="14">
        <v>1531.333333333333</v>
      </c>
    </row>
    <row r="1155" spans="1:11" ht="16.5" x14ac:dyDescent="0.2">
      <c r="A1155" s="4" t="s">
        <v>209</v>
      </c>
      <c r="B1155">
        <v>2016</v>
      </c>
      <c r="C1155" s="14">
        <v>7948</v>
      </c>
      <c r="D1155" s="14">
        <v>580.66666666666663</v>
      </c>
      <c r="E1155" s="14">
        <v>1203.3333333333333</v>
      </c>
      <c r="F1155" s="14">
        <v>527.33333333333326</v>
      </c>
      <c r="G1155" s="14">
        <v>2524</v>
      </c>
      <c r="H1155" s="14">
        <v>640</v>
      </c>
      <c r="I1155" s="14">
        <v>1529.3333333333333</v>
      </c>
    </row>
    <row r="1156" spans="1:11" ht="16.5" x14ac:dyDescent="0.2">
      <c r="A1156" s="4" t="s">
        <v>208</v>
      </c>
      <c r="B1156">
        <v>2009</v>
      </c>
      <c r="C1156" s="14">
        <v>6118</v>
      </c>
      <c r="D1156" s="14">
        <v>98.666666666666657</v>
      </c>
      <c r="E1156" s="14">
        <v>644.66666666666663</v>
      </c>
      <c r="F1156" s="14">
        <v>75.333333333333329</v>
      </c>
      <c r="G1156" s="14">
        <v>1451.3333333333333</v>
      </c>
      <c r="H1156" s="14">
        <v>439.99999999999994</v>
      </c>
      <c r="I1156" s="14">
        <v>1934</v>
      </c>
      <c r="K1156" s="15"/>
    </row>
    <row r="1157" spans="1:11" ht="16.5" x14ac:dyDescent="0.2">
      <c r="A1157" s="4" t="s">
        <v>208</v>
      </c>
      <c r="B1157">
        <v>2010</v>
      </c>
      <c r="C1157" s="14">
        <v>6113.333333333333</v>
      </c>
      <c r="D1157" s="14">
        <v>97.333333333333329</v>
      </c>
      <c r="E1157" s="14">
        <v>625.33333333333326</v>
      </c>
      <c r="F1157" s="14">
        <v>74.666666666666657</v>
      </c>
      <c r="G1157" s="14">
        <v>1475.3333333333333</v>
      </c>
      <c r="H1157" s="14">
        <v>446</v>
      </c>
      <c r="I1157" s="14">
        <v>1925.9999999999998</v>
      </c>
    </row>
    <row r="1158" spans="1:11" ht="16.5" x14ac:dyDescent="0.2">
      <c r="A1158" s="4" t="s">
        <v>208</v>
      </c>
      <c r="B1158">
        <v>2011</v>
      </c>
      <c r="C1158" s="14">
        <v>6109.9999999999991</v>
      </c>
      <c r="D1158" s="14">
        <v>96</v>
      </c>
      <c r="E1158" s="14">
        <v>620</v>
      </c>
      <c r="F1158" s="14">
        <v>74.666666666666657</v>
      </c>
      <c r="G1158" s="14">
        <v>1483.333333333333</v>
      </c>
      <c r="H1158" s="14">
        <v>446.66666666666663</v>
      </c>
      <c r="I1158" s="14">
        <v>1924.6666666666665</v>
      </c>
      <c r="K1158" s="15"/>
    </row>
    <row r="1159" spans="1:11" ht="16.5" x14ac:dyDescent="0.2">
      <c r="A1159" s="4" t="s">
        <v>208</v>
      </c>
      <c r="B1159">
        <v>2012</v>
      </c>
      <c r="C1159" s="14">
        <v>6098</v>
      </c>
      <c r="D1159" s="14">
        <v>93.999999999999986</v>
      </c>
      <c r="E1159" s="14">
        <v>614.66666666666663</v>
      </c>
      <c r="F1159" s="14">
        <v>73.999999999999986</v>
      </c>
      <c r="G1159" s="14">
        <v>1499.3333333333333</v>
      </c>
      <c r="H1159" s="14">
        <v>451.33333333333331</v>
      </c>
      <c r="I1159" s="14">
        <v>1922</v>
      </c>
    </row>
    <row r="1160" spans="1:11" ht="16.5" x14ac:dyDescent="0.2">
      <c r="A1160" s="4" t="s">
        <v>208</v>
      </c>
      <c r="B1160">
        <v>2013</v>
      </c>
      <c r="C1160" s="14">
        <v>6092.6666666666661</v>
      </c>
      <c r="D1160" s="14">
        <v>93.999999999999986</v>
      </c>
      <c r="E1160" s="14">
        <v>610</v>
      </c>
      <c r="F1160" s="14">
        <v>73.999999999999986</v>
      </c>
      <c r="G1160" s="14">
        <v>1503.333333333333</v>
      </c>
      <c r="H1160" s="14">
        <v>452.66666666666669</v>
      </c>
      <c r="I1160" s="14">
        <v>1921.333333333333</v>
      </c>
    </row>
    <row r="1161" spans="1:11" ht="16.5" x14ac:dyDescent="0.2">
      <c r="A1161" s="4" t="s">
        <v>208</v>
      </c>
      <c r="B1161">
        <v>2014</v>
      </c>
      <c r="C1161" s="14">
        <v>6078</v>
      </c>
      <c r="D1161" s="14">
        <v>93.999999999999986</v>
      </c>
      <c r="E1161" s="14">
        <v>604.66666666666663</v>
      </c>
      <c r="F1161" s="14">
        <v>72</v>
      </c>
      <c r="G1161" s="14">
        <v>1516.6666666666663</v>
      </c>
      <c r="H1161" s="14">
        <v>457.33333333333326</v>
      </c>
      <c r="I1161" s="14">
        <v>1917.9999999999998</v>
      </c>
      <c r="K1161" s="15"/>
    </row>
    <row r="1162" spans="1:11" ht="16.5" x14ac:dyDescent="0.2">
      <c r="A1162" s="4" t="s">
        <v>208</v>
      </c>
      <c r="B1162">
        <v>2015</v>
      </c>
      <c r="C1162" s="14">
        <v>6063.333333333333</v>
      </c>
      <c r="D1162" s="14">
        <v>93.333333333333329</v>
      </c>
      <c r="E1162" s="14">
        <v>602.66666666666663</v>
      </c>
      <c r="F1162" s="14">
        <v>72.666666666666657</v>
      </c>
      <c r="G1162" s="14">
        <v>1533.9999999999998</v>
      </c>
      <c r="H1162" s="14">
        <v>461.33333333333331</v>
      </c>
      <c r="I1162" s="14">
        <v>1911.333333333333</v>
      </c>
    </row>
    <row r="1163" spans="1:11" ht="16.5" x14ac:dyDescent="0.2">
      <c r="A1163" s="4" t="s">
        <v>208</v>
      </c>
      <c r="B1163">
        <v>2016</v>
      </c>
      <c r="C1163" s="14">
        <v>6052.6666666666661</v>
      </c>
      <c r="D1163" s="14">
        <v>93.333333333333329</v>
      </c>
      <c r="E1163" s="14">
        <v>599.33333333333337</v>
      </c>
      <c r="F1163" s="14">
        <v>72.666666666666657</v>
      </c>
      <c r="G1163" s="14">
        <v>1546.6666666666665</v>
      </c>
      <c r="H1163" s="14">
        <v>463.33333333333331</v>
      </c>
      <c r="I1163" s="14">
        <v>1907.9999999999998</v>
      </c>
      <c r="K1163" s="15"/>
    </row>
    <row r="1164" spans="1:11" ht="16.5" x14ac:dyDescent="0.2">
      <c r="A1164" s="4" t="s">
        <v>207</v>
      </c>
      <c r="B1164">
        <v>2009</v>
      </c>
      <c r="C1164" s="14">
        <v>3648.6666666666661</v>
      </c>
      <c r="D1164" s="14">
        <v>414.66666666666663</v>
      </c>
      <c r="E1164" s="14">
        <v>1138.6666666666667</v>
      </c>
      <c r="F1164" s="14">
        <v>228.66666666666663</v>
      </c>
      <c r="G1164" s="14">
        <v>1033.9999999999998</v>
      </c>
      <c r="H1164" s="14">
        <v>278.66666666666663</v>
      </c>
      <c r="I1164" s="14">
        <v>598</v>
      </c>
    </row>
    <row r="1165" spans="1:11" ht="16.5" x14ac:dyDescent="0.2">
      <c r="A1165" s="4" t="s">
        <v>207</v>
      </c>
      <c r="B1165">
        <v>2010</v>
      </c>
      <c r="C1165" s="14">
        <v>3648.6666666666661</v>
      </c>
      <c r="D1165" s="14">
        <v>411.33333333333331</v>
      </c>
      <c r="E1165" s="14">
        <v>1127.3333333333333</v>
      </c>
      <c r="F1165" s="14">
        <v>227.33333333333331</v>
      </c>
      <c r="G1165" s="14">
        <v>1050</v>
      </c>
      <c r="H1165" s="14">
        <v>281.33333333333331</v>
      </c>
      <c r="I1165" s="14">
        <v>596.66666666666663</v>
      </c>
    </row>
    <row r="1166" spans="1:11" ht="16.5" x14ac:dyDescent="0.2">
      <c r="A1166" s="4" t="s">
        <v>207</v>
      </c>
      <c r="B1166">
        <v>2011</v>
      </c>
      <c r="C1166" s="14">
        <v>3650.6666666666665</v>
      </c>
      <c r="D1166" s="14">
        <v>408</v>
      </c>
      <c r="E1166" s="14">
        <v>1118.6666666666667</v>
      </c>
      <c r="F1166" s="14">
        <v>227.33333333333331</v>
      </c>
      <c r="G1166" s="14">
        <v>1061.3333333333333</v>
      </c>
      <c r="H1166" s="14">
        <v>282.66666666666663</v>
      </c>
      <c r="I1166" s="14">
        <v>595.33333333333326</v>
      </c>
      <c r="K1166" s="15"/>
    </row>
    <row r="1167" spans="1:11" ht="16.5" x14ac:dyDescent="0.2">
      <c r="A1167" s="4" t="s">
        <v>207</v>
      </c>
      <c r="B1167">
        <v>2012</v>
      </c>
      <c r="C1167" s="14">
        <v>3647.333333333333</v>
      </c>
      <c r="D1167" s="14">
        <v>405.33333333333326</v>
      </c>
      <c r="E1167" s="14">
        <v>1112.6666666666665</v>
      </c>
      <c r="F1167" s="14">
        <v>225.99999999999997</v>
      </c>
      <c r="G1167" s="14">
        <v>1074.6666666666665</v>
      </c>
      <c r="H1167" s="14">
        <v>285.99999999999994</v>
      </c>
      <c r="I1167" s="14">
        <v>593.99999999999989</v>
      </c>
    </row>
    <row r="1168" spans="1:11" ht="16.5" x14ac:dyDescent="0.2">
      <c r="A1168" s="4" t="s">
        <v>207</v>
      </c>
      <c r="B1168">
        <v>2013</v>
      </c>
      <c r="C1168" s="14">
        <v>3645.3333333333326</v>
      </c>
      <c r="D1168" s="14">
        <v>404</v>
      </c>
      <c r="E1168" s="14">
        <v>1107.3333333333333</v>
      </c>
      <c r="F1168" s="14">
        <v>224</v>
      </c>
      <c r="G1168" s="14">
        <v>1082</v>
      </c>
      <c r="H1168" s="14">
        <v>290</v>
      </c>
      <c r="I1168" s="14">
        <v>593.33333333333326</v>
      </c>
      <c r="K1168" s="15"/>
    </row>
    <row r="1169" spans="1:11" ht="16.5" x14ac:dyDescent="0.2">
      <c r="A1169" s="4" t="s">
        <v>207</v>
      </c>
      <c r="B1169">
        <v>2014</v>
      </c>
      <c r="C1169" s="14">
        <v>3641.3333333333335</v>
      </c>
      <c r="D1169" s="14">
        <v>400.66666666666663</v>
      </c>
      <c r="E1169" s="14">
        <v>1103.3333333333333</v>
      </c>
      <c r="F1169" s="14">
        <v>222.66666666666663</v>
      </c>
      <c r="G1169" s="14">
        <v>1093.3333333333333</v>
      </c>
      <c r="H1169" s="14">
        <v>291.99999999999994</v>
      </c>
      <c r="I1169" s="14">
        <v>591.99999999999989</v>
      </c>
    </row>
    <row r="1170" spans="1:11" ht="16.5" x14ac:dyDescent="0.2">
      <c r="A1170" s="4" t="s">
        <v>207</v>
      </c>
      <c r="B1170">
        <v>2015</v>
      </c>
      <c r="C1170" s="14">
        <v>3639.9999999999995</v>
      </c>
      <c r="D1170" s="14">
        <v>399.33333333333331</v>
      </c>
      <c r="E1170" s="14">
        <v>1096.6666666666665</v>
      </c>
      <c r="F1170" s="14">
        <v>221.99999999999997</v>
      </c>
      <c r="G1170" s="14">
        <v>1105.3333333333333</v>
      </c>
      <c r="H1170" s="14">
        <v>292.66666666666663</v>
      </c>
      <c r="I1170" s="14">
        <v>591.33333333333326</v>
      </c>
    </row>
    <row r="1171" spans="1:11" ht="16.5" x14ac:dyDescent="0.2">
      <c r="A1171" s="4" t="s">
        <v>207</v>
      </c>
      <c r="B1171">
        <v>2016</v>
      </c>
      <c r="C1171" s="14">
        <v>3639.9999999999995</v>
      </c>
      <c r="D1171" s="14">
        <v>396.66666666666663</v>
      </c>
      <c r="E1171" s="14">
        <v>1091.3333333333333</v>
      </c>
      <c r="F1171" s="14">
        <v>221.33333333333334</v>
      </c>
      <c r="G1171" s="14">
        <v>1110.6666666666665</v>
      </c>
      <c r="H1171" s="14">
        <v>295.33333333333331</v>
      </c>
      <c r="I1171" s="14">
        <v>590</v>
      </c>
      <c r="K1171" s="15"/>
    </row>
    <row r="1172" spans="1:11" ht="16.5" x14ac:dyDescent="0.2">
      <c r="A1172" s="4" t="s">
        <v>206</v>
      </c>
      <c r="B1172">
        <v>2009</v>
      </c>
      <c r="C1172" s="14">
        <v>1969.9999999999998</v>
      </c>
      <c r="D1172" s="14">
        <v>368</v>
      </c>
      <c r="E1172" s="14">
        <v>1094.6666666666665</v>
      </c>
      <c r="F1172" s="14">
        <v>184.66666666666666</v>
      </c>
      <c r="G1172" s="14">
        <v>693.99999999999989</v>
      </c>
      <c r="H1172" s="14">
        <v>242.66666666666663</v>
      </c>
      <c r="I1172" s="14">
        <v>612.66666666666663</v>
      </c>
    </row>
    <row r="1173" spans="1:11" ht="16.5" x14ac:dyDescent="0.2">
      <c r="A1173" s="4" t="s">
        <v>206</v>
      </c>
      <c r="B1173">
        <v>2010</v>
      </c>
      <c r="C1173" s="14">
        <v>1967.3333333333333</v>
      </c>
      <c r="D1173" s="14">
        <v>366.66666666666663</v>
      </c>
      <c r="E1173" s="14">
        <v>1092.6666666666665</v>
      </c>
      <c r="F1173" s="14">
        <v>178.66666666666666</v>
      </c>
      <c r="G1173" s="14">
        <v>708</v>
      </c>
      <c r="H1173" s="14">
        <v>245.33333333333329</v>
      </c>
      <c r="I1173" s="14">
        <v>610.66666666666663</v>
      </c>
      <c r="K1173" s="15"/>
    </row>
    <row r="1174" spans="1:11" ht="16.5" x14ac:dyDescent="0.2">
      <c r="A1174" s="4" t="s">
        <v>206</v>
      </c>
      <c r="B1174">
        <v>2011</v>
      </c>
      <c r="C1174" s="14">
        <v>1963.3333333333333</v>
      </c>
      <c r="D1174" s="14">
        <v>364.66666666666663</v>
      </c>
      <c r="E1174" s="14">
        <v>1090.6666666666665</v>
      </c>
      <c r="F1174" s="14">
        <v>174</v>
      </c>
      <c r="G1174" s="14">
        <v>721.99999999999989</v>
      </c>
      <c r="H1174" s="14">
        <v>246.66666666666666</v>
      </c>
      <c r="I1174" s="14">
        <v>608.66666666666663</v>
      </c>
    </row>
    <row r="1175" spans="1:11" ht="16.5" x14ac:dyDescent="0.2">
      <c r="A1175" s="4" t="s">
        <v>206</v>
      </c>
      <c r="B1175">
        <v>2012</v>
      </c>
      <c r="C1175" s="14">
        <v>1959.333333333333</v>
      </c>
      <c r="D1175" s="14">
        <v>362.66666666666663</v>
      </c>
      <c r="E1175" s="14">
        <v>1088.6666666666667</v>
      </c>
      <c r="F1175" s="14">
        <v>168.66666666666666</v>
      </c>
      <c r="G1175" s="14">
        <v>735.99999999999989</v>
      </c>
      <c r="H1175" s="14">
        <v>248.66666666666663</v>
      </c>
      <c r="I1175" s="14">
        <v>606.66666666666663</v>
      </c>
    </row>
    <row r="1176" spans="1:11" ht="16.5" x14ac:dyDescent="0.2">
      <c r="A1176" s="4" t="s">
        <v>206</v>
      </c>
      <c r="B1176">
        <v>2013</v>
      </c>
      <c r="C1176" s="14">
        <v>1956.6666666666665</v>
      </c>
      <c r="D1176" s="14">
        <v>361.33333333333331</v>
      </c>
      <c r="E1176" s="14">
        <v>1086</v>
      </c>
      <c r="F1176" s="14">
        <v>164</v>
      </c>
      <c r="G1176" s="14">
        <v>748</v>
      </c>
      <c r="H1176" s="14">
        <v>248.66666666666663</v>
      </c>
      <c r="I1176" s="14">
        <v>605.33333333333326</v>
      </c>
      <c r="K1176" s="15"/>
    </row>
    <row r="1177" spans="1:11" ht="16.5" x14ac:dyDescent="0.2">
      <c r="A1177" s="4" t="s">
        <v>206</v>
      </c>
      <c r="B1177">
        <v>2014</v>
      </c>
      <c r="C1177" s="14">
        <v>1948.6666666666665</v>
      </c>
      <c r="D1177" s="14">
        <v>358.66666666666663</v>
      </c>
      <c r="E1177" s="14">
        <v>1083.3333333333333</v>
      </c>
      <c r="F1177" s="14">
        <v>162</v>
      </c>
      <c r="G1177" s="14">
        <v>759.33333333333326</v>
      </c>
      <c r="H1177" s="14">
        <v>255.99999999999997</v>
      </c>
      <c r="I1177" s="14">
        <v>601.99999999999989</v>
      </c>
    </row>
    <row r="1178" spans="1:11" ht="16.5" x14ac:dyDescent="0.2">
      <c r="A1178" s="4" t="s">
        <v>206</v>
      </c>
      <c r="B1178">
        <v>2015</v>
      </c>
      <c r="C1178" s="14">
        <v>1945.3333333333333</v>
      </c>
      <c r="D1178" s="14">
        <v>357.33333333333331</v>
      </c>
      <c r="E1178" s="14">
        <v>1082</v>
      </c>
      <c r="F1178" s="14">
        <v>159.33333333333331</v>
      </c>
      <c r="G1178" s="14">
        <v>771.33333333333326</v>
      </c>
      <c r="H1178" s="14">
        <v>257.33333333333331</v>
      </c>
      <c r="I1178" s="14">
        <v>600.66666666666663</v>
      </c>
      <c r="K1178" s="15"/>
    </row>
    <row r="1179" spans="1:11" ht="16.5" x14ac:dyDescent="0.2">
      <c r="A1179" s="4" t="s">
        <v>206</v>
      </c>
      <c r="B1179">
        <v>2016</v>
      </c>
      <c r="C1179" s="14">
        <v>1946.6666666666665</v>
      </c>
      <c r="D1179" s="14">
        <v>354.66666666666663</v>
      </c>
      <c r="E1179" s="14">
        <v>1080.6666666666665</v>
      </c>
      <c r="F1179" s="14">
        <v>157.33333333333334</v>
      </c>
      <c r="G1179" s="14">
        <v>778</v>
      </c>
      <c r="H1179" s="14">
        <v>258.66666666666663</v>
      </c>
      <c r="I1179" s="14">
        <v>599.33333333333337</v>
      </c>
    </row>
    <row r="1180" spans="1:11" ht="16.5" x14ac:dyDescent="0.2">
      <c r="A1180" s="4" t="s">
        <v>205</v>
      </c>
      <c r="B1180">
        <v>2009</v>
      </c>
      <c r="C1180" s="14">
        <v>2420.6666666666665</v>
      </c>
      <c r="D1180" s="14">
        <v>269.33333333333331</v>
      </c>
      <c r="E1180" s="14">
        <v>787.33333333333326</v>
      </c>
      <c r="F1180" s="14">
        <v>129.33333333333331</v>
      </c>
      <c r="G1180" s="14">
        <v>600</v>
      </c>
      <c r="H1180" s="14">
        <v>199.33333333333331</v>
      </c>
      <c r="I1180" s="14">
        <v>359.33333333333331</v>
      </c>
    </row>
    <row r="1181" spans="1:11" ht="16.5" x14ac:dyDescent="0.2">
      <c r="A1181" s="4" t="s">
        <v>205</v>
      </c>
      <c r="B1181">
        <v>2010</v>
      </c>
      <c r="C1181" s="14">
        <v>2417.3333333333335</v>
      </c>
      <c r="D1181" s="14">
        <v>267.33333333333331</v>
      </c>
      <c r="E1181" s="14">
        <v>783.33333333333326</v>
      </c>
      <c r="F1181" s="14">
        <v>126.66666666666666</v>
      </c>
      <c r="G1181" s="14">
        <v>609.33333333333337</v>
      </c>
      <c r="H1181" s="14">
        <v>201.33333333333331</v>
      </c>
      <c r="I1181" s="14">
        <v>358.66666666666663</v>
      </c>
      <c r="K1181" s="15"/>
    </row>
    <row r="1182" spans="1:11" ht="16.5" x14ac:dyDescent="0.2">
      <c r="A1182" s="4" t="s">
        <v>205</v>
      </c>
      <c r="B1182">
        <v>2011</v>
      </c>
      <c r="C1182" s="14">
        <v>2414.6666666666665</v>
      </c>
      <c r="D1182" s="14">
        <v>265.99999999999994</v>
      </c>
      <c r="E1182" s="14">
        <v>779.33333333333326</v>
      </c>
      <c r="F1182" s="14">
        <v>124.66666666666666</v>
      </c>
      <c r="G1182" s="14">
        <v>620</v>
      </c>
      <c r="H1182" s="14">
        <v>202.66666666666663</v>
      </c>
      <c r="I1182" s="14">
        <v>358.66666666666663</v>
      </c>
    </row>
    <row r="1183" spans="1:11" ht="16.5" x14ac:dyDescent="0.2">
      <c r="A1183" s="4" t="s">
        <v>205</v>
      </c>
      <c r="B1183">
        <v>2012</v>
      </c>
      <c r="C1183" s="14">
        <v>2414.6666666666665</v>
      </c>
      <c r="D1183" s="14">
        <v>262.66666666666663</v>
      </c>
      <c r="E1183" s="14">
        <v>773.99999999999989</v>
      </c>
      <c r="F1183" s="14">
        <v>117.99999999999999</v>
      </c>
      <c r="G1183" s="14">
        <v>637.33333333333337</v>
      </c>
      <c r="H1183" s="14">
        <v>204</v>
      </c>
      <c r="I1183" s="14">
        <v>357.33333333333331</v>
      </c>
      <c r="K1183" s="15"/>
    </row>
    <row r="1184" spans="1:11" ht="16.5" x14ac:dyDescent="0.2">
      <c r="A1184" s="4" t="s">
        <v>205</v>
      </c>
      <c r="B1184">
        <v>2013</v>
      </c>
      <c r="C1184" s="14">
        <v>2406.6666666666665</v>
      </c>
      <c r="D1184" s="14">
        <v>261.33333333333331</v>
      </c>
      <c r="E1184" s="14">
        <v>771.99999999999989</v>
      </c>
      <c r="F1184" s="14">
        <v>115.33333333333333</v>
      </c>
      <c r="G1184" s="14">
        <v>650.66666666666652</v>
      </c>
      <c r="H1184" s="14">
        <v>206.66666666666666</v>
      </c>
      <c r="I1184" s="14">
        <v>356.66666666666663</v>
      </c>
    </row>
    <row r="1185" spans="1:11" ht="16.5" x14ac:dyDescent="0.2">
      <c r="A1185" s="4" t="s">
        <v>205</v>
      </c>
      <c r="B1185">
        <v>2014</v>
      </c>
      <c r="C1185" s="14">
        <v>2399.333333333333</v>
      </c>
      <c r="D1185" s="14">
        <v>260.66666666666663</v>
      </c>
      <c r="E1185" s="14">
        <v>768.66666666666663</v>
      </c>
      <c r="F1185" s="14">
        <v>114</v>
      </c>
      <c r="G1185" s="14">
        <v>657.33333333333326</v>
      </c>
      <c r="H1185" s="14">
        <v>208.66666666666666</v>
      </c>
      <c r="I1185" s="14">
        <v>355.99999999999994</v>
      </c>
    </row>
    <row r="1186" spans="1:11" ht="16.5" x14ac:dyDescent="0.2">
      <c r="A1186" s="4" t="s">
        <v>205</v>
      </c>
      <c r="B1186">
        <v>2015</v>
      </c>
      <c r="C1186" s="14">
        <v>2390.6666666666665</v>
      </c>
      <c r="D1186" s="14">
        <v>259.33333333333331</v>
      </c>
      <c r="E1186" s="14">
        <v>766</v>
      </c>
      <c r="F1186" s="14">
        <v>113.33333333333333</v>
      </c>
      <c r="G1186" s="14">
        <v>673.33333333333326</v>
      </c>
      <c r="H1186" s="14">
        <v>211.33333333333331</v>
      </c>
      <c r="I1186" s="14">
        <v>352.66666666666663</v>
      </c>
      <c r="K1186" s="15"/>
    </row>
    <row r="1187" spans="1:11" ht="16.5" x14ac:dyDescent="0.2">
      <c r="A1187" s="4" t="s">
        <v>205</v>
      </c>
      <c r="B1187">
        <v>2016</v>
      </c>
      <c r="C1187" s="14">
        <v>2385.9999999999995</v>
      </c>
      <c r="D1187" s="14">
        <v>258</v>
      </c>
      <c r="E1187" s="14">
        <v>763.33333333333326</v>
      </c>
      <c r="F1187" s="14">
        <v>112</v>
      </c>
      <c r="G1187" s="14">
        <v>682.66666666666663</v>
      </c>
      <c r="H1187" s="14">
        <v>213.33333333333331</v>
      </c>
      <c r="I1187" s="14">
        <v>351.33333333333331</v>
      </c>
    </row>
    <row r="1188" spans="1:11" ht="16.5" x14ac:dyDescent="0.2">
      <c r="A1188" s="4" t="s">
        <v>204</v>
      </c>
      <c r="B1188">
        <v>2009</v>
      </c>
      <c r="C1188" s="14">
        <v>723.33333333333326</v>
      </c>
      <c r="D1188" s="14">
        <v>164</v>
      </c>
      <c r="E1188" s="14">
        <v>376.66666666666663</v>
      </c>
      <c r="F1188" s="14">
        <v>341.99999999999994</v>
      </c>
      <c r="G1188" s="14">
        <v>311.33333333333331</v>
      </c>
      <c r="H1188" s="14">
        <v>67.333333333333329</v>
      </c>
      <c r="I1188" s="14">
        <v>107.33333333333333</v>
      </c>
      <c r="K1188" s="15"/>
    </row>
    <row r="1189" spans="1:11" ht="16.5" x14ac:dyDescent="0.2">
      <c r="A1189" s="4" t="s">
        <v>204</v>
      </c>
      <c r="B1189">
        <v>2010</v>
      </c>
      <c r="C1189" s="14">
        <v>723.99999999999989</v>
      </c>
      <c r="D1189" s="14">
        <v>163.33333333333331</v>
      </c>
      <c r="E1189" s="14">
        <v>375.99999999999994</v>
      </c>
      <c r="F1189" s="14">
        <v>338.66666666666663</v>
      </c>
      <c r="G1189" s="14">
        <v>316.66666666666663</v>
      </c>
      <c r="H1189" s="14">
        <v>67.999999999999986</v>
      </c>
      <c r="I1189" s="14">
        <v>107.33333333333333</v>
      </c>
    </row>
    <row r="1190" spans="1:11" ht="16.5" x14ac:dyDescent="0.2">
      <c r="A1190" s="4" t="s">
        <v>204</v>
      </c>
      <c r="B1190">
        <v>2011</v>
      </c>
      <c r="C1190" s="14">
        <v>723.99999999999989</v>
      </c>
      <c r="D1190" s="14">
        <v>162</v>
      </c>
      <c r="E1190" s="14">
        <v>375.33333333333326</v>
      </c>
      <c r="F1190" s="14">
        <v>335.99999999999994</v>
      </c>
      <c r="G1190" s="14">
        <v>320.66666666666663</v>
      </c>
      <c r="H1190" s="14">
        <v>67.999999999999986</v>
      </c>
      <c r="I1190" s="14">
        <v>107.33333333333333</v>
      </c>
    </row>
    <row r="1191" spans="1:11" ht="16.5" x14ac:dyDescent="0.2">
      <c r="A1191" s="4" t="s">
        <v>204</v>
      </c>
      <c r="B1191">
        <v>2012</v>
      </c>
      <c r="C1191" s="14">
        <v>724.66666666666663</v>
      </c>
      <c r="D1191" s="14">
        <v>160.66666666666666</v>
      </c>
      <c r="E1191" s="14">
        <v>374.66666666666663</v>
      </c>
      <c r="F1191" s="14">
        <v>331.33333333333331</v>
      </c>
      <c r="G1191" s="14">
        <v>327.33333333333331</v>
      </c>
      <c r="H1191" s="14">
        <v>67.999999999999986</v>
      </c>
      <c r="I1191" s="14">
        <v>106.66666666666666</v>
      </c>
      <c r="K1191" s="15"/>
    </row>
    <row r="1192" spans="1:11" ht="16.5" x14ac:dyDescent="0.2">
      <c r="A1192" s="4" t="s">
        <v>204</v>
      </c>
      <c r="B1192">
        <v>2013</v>
      </c>
      <c r="C1192" s="14">
        <v>726</v>
      </c>
      <c r="D1192" s="14">
        <v>160</v>
      </c>
      <c r="E1192" s="14">
        <v>374.66666666666663</v>
      </c>
      <c r="F1192" s="14">
        <v>327.33333333333331</v>
      </c>
      <c r="G1192" s="14">
        <v>330.66666666666663</v>
      </c>
      <c r="H1192" s="14">
        <v>68.666666666666671</v>
      </c>
      <c r="I1192" s="14">
        <v>106.66666666666666</v>
      </c>
    </row>
    <row r="1193" spans="1:11" ht="16.5" x14ac:dyDescent="0.2">
      <c r="A1193" s="4" t="s">
        <v>204</v>
      </c>
      <c r="B1193">
        <v>2014</v>
      </c>
      <c r="C1193" s="14">
        <v>726</v>
      </c>
      <c r="D1193" s="14">
        <v>158.66666666666666</v>
      </c>
      <c r="E1193" s="14">
        <v>374</v>
      </c>
      <c r="F1193" s="14">
        <v>324</v>
      </c>
      <c r="G1193" s="14">
        <v>335.33333333333331</v>
      </c>
      <c r="H1193" s="14">
        <v>70.666666666666657</v>
      </c>
      <c r="I1193" s="14">
        <v>106.66666666666666</v>
      </c>
      <c r="K1193" s="15"/>
    </row>
    <row r="1194" spans="1:11" ht="16.5" x14ac:dyDescent="0.2">
      <c r="A1194" s="4" t="s">
        <v>204</v>
      </c>
      <c r="B1194">
        <v>2015</v>
      </c>
      <c r="C1194" s="14">
        <v>725.33333333333326</v>
      </c>
      <c r="D1194" s="14">
        <v>158.66666666666666</v>
      </c>
      <c r="E1194" s="14">
        <v>374</v>
      </c>
      <c r="F1194" s="14">
        <v>324</v>
      </c>
      <c r="G1194" s="14">
        <v>335.33333333333331</v>
      </c>
      <c r="H1194" s="14">
        <v>71.333333333333329</v>
      </c>
      <c r="I1194" s="14">
        <v>106.66666666666666</v>
      </c>
    </row>
    <row r="1195" spans="1:11" ht="16.5" x14ac:dyDescent="0.2">
      <c r="A1195" s="4" t="s">
        <v>204</v>
      </c>
      <c r="B1195">
        <v>2016</v>
      </c>
      <c r="C1195" s="14">
        <v>728</v>
      </c>
      <c r="D1195" s="14">
        <v>157.99999999999997</v>
      </c>
      <c r="E1195" s="14">
        <v>373.33333333333331</v>
      </c>
      <c r="F1195" s="14">
        <v>321.99999999999994</v>
      </c>
      <c r="G1195" s="14">
        <v>336.66666666666663</v>
      </c>
      <c r="H1195" s="14">
        <v>72</v>
      </c>
      <c r="I1195" s="14">
        <v>106.66666666666666</v>
      </c>
    </row>
    <row r="1196" spans="1:11" ht="16.5" x14ac:dyDescent="0.2">
      <c r="A1196" s="4" t="s">
        <v>203</v>
      </c>
      <c r="B1196">
        <v>2009</v>
      </c>
      <c r="C1196" s="14">
        <v>8441.3333333333321</v>
      </c>
      <c r="D1196" s="14">
        <v>1060.6666666666665</v>
      </c>
      <c r="E1196" s="14">
        <v>1973.3333333333333</v>
      </c>
      <c r="F1196" s="14">
        <v>570.66666666666663</v>
      </c>
      <c r="G1196" s="14">
        <v>2225.333333333333</v>
      </c>
      <c r="H1196" s="14">
        <v>624.66666666666663</v>
      </c>
      <c r="I1196" s="14">
        <v>1019.3333333333333</v>
      </c>
      <c r="K1196" s="15"/>
    </row>
    <row r="1197" spans="1:11" ht="16.5" x14ac:dyDescent="0.2">
      <c r="A1197" s="4" t="s">
        <v>203</v>
      </c>
      <c r="B1197">
        <v>2010</v>
      </c>
      <c r="C1197" s="14">
        <v>8447.3333333333321</v>
      </c>
      <c r="D1197" s="14">
        <v>1057.9999999999998</v>
      </c>
      <c r="E1197" s="14">
        <v>1965.9999999999998</v>
      </c>
      <c r="F1197" s="14">
        <v>562.66666666666663</v>
      </c>
      <c r="G1197" s="14">
        <v>2244</v>
      </c>
      <c r="H1197" s="14">
        <v>630</v>
      </c>
      <c r="I1197" s="14">
        <v>1017.3333333333333</v>
      </c>
    </row>
    <row r="1198" spans="1:11" ht="16.5" x14ac:dyDescent="0.2">
      <c r="A1198" s="4" t="s">
        <v>203</v>
      </c>
      <c r="B1198">
        <v>2011</v>
      </c>
      <c r="C1198" s="14">
        <v>8447.3333333333321</v>
      </c>
      <c r="D1198" s="14">
        <v>1047.3333333333333</v>
      </c>
      <c r="E1198" s="14">
        <v>1954</v>
      </c>
      <c r="F1198" s="14">
        <v>559.33333333333337</v>
      </c>
      <c r="G1198" s="14">
        <v>2267.333333333333</v>
      </c>
      <c r="H1198" s="14">
        <v>633.33333333333326</v>
      </c>
      <c r="I1198" s="14">
        <v>1016</v>
      </c>
      <c r="K1198" s="15"/>
    </row>
    <row r="1199" spans="1:11" ht="16.5" x14ac:dyDescent="0.2">
      <c r="A1199" s="4" t="s">
        <v>203</v>
      </c>
      <c r="B1199">
        <v>2012</v>
      </c>
      <c r="C1199" s="14">
        <v>8437.3333333333321</v>
      </c>
      <c r="D1199" s="14">
        <v>1042.6666666666665</v>
      </c>
      <c r="E1199" s="14">
        <v>1945.3333333333333</v>
      </c>
      <c r="F1199" s="14">
        <v>556</v>
      </c>
      <c r="G1199" s="14">
        <v>2288.6666666666661</v>
      </c>
      <c r="H1199" s="14">
        <v>637.33333333333326</v>
      </c>
      <c r="I1199" s="14">
        <v>1016.6666666666666</v>
      </c>
    </row>
    <row r="1200" spans="1:11" ht="16.5" x14ac:dyDescent="0.2">
      <c r="A1200" s="4" t="s">
        <v>203</v>
      </c>
      <c r="B1200">
        <v>2013</v>
      </c>
      <c r="C1200" s="14">
        <v>8432.6666666666661</v>
      </c>
      <c r="D1200" s="14">
        <v>1037.3333333333333</v>
      </c>
      <c r="E1200" s="14">
        <v>1935.9999999999998</v>
      </c>
      <c r="F1200" s="14">
        <v>552.66666666666663</v>
      </c>
      <c r="G1200" s="14">
        <v>2306</v>
      </c>
      <c r="H1200" s="14">
        <v>640</v>
      </c>
      <c r="I1200" s="14">
        <v>1015.3333333333334</v>
      </c>
    </row>
    <row r="1201" spans="1:11" ht="16.5" x14ac:dyDescent="0.2">
      <c r="A1201" s="4" t="s">
        <v>203</v>
      </c>
      <c r="B1201">
        <v>2014</v>
      </c>
      <c r="C1201" s="14">
        <v>8415.3333333333321</v>
      </c>
      <c r="D1201" s="14">
        <v>1030.6666666666665</v>
      </c>
      <c r="E1201" s="14">
        <v>1924.6666666666665</v>
      </c>
      <c r="F1201" s="14">
        <v>550.66666666666663</v>
      </c>
      <c r="G1201" s="14">
        <v>2330</v>
      </c>
      <c r="H1201" s="14">
        <v>643.33333333333326</v>
      </c>
      <c r="I1201" s="14">
        <v>1013.3333333333333</v>
      </c>
      <c r="K1201" s="15"/>
    </row>
    <row r="1202" spans="1:11" ht="16.5" x14ac:dyDescent="0.2">
      <c r="A1202" s="4" t="s">
        <v>203</v>
      </c>
      <c r="B1202">
        <v>2015</v>
      </c>
      <c r="C1202" s="14">
        <v>8398</v>
      </c>
      <c r="D1202" s="14">
        <v>1027.3333333333333</v>
      </c>
      <c r="E1202" s="14">
        <v>1914.6666666666665</v>
      </c>
      <c r="F1202" s="14">
        <v>548.66666666666663</v>
      </c>
      <c r="G1202" s="14">
        <v>2354</v>
      </c>
      <c r="H1202" s="14">
        <v>648.66666666666663</v>
      </c>
      <c r="I1202" s="14">
        <v>1012</v>
      </c>
    </row>
    <row r="1203" spans="1:11" ht="16.5" x14ac:dyDescent="0.2">
      <c r="A1203" s="4" t="s">
        <v>203</v>
      </c>
      <c r="B1203">
        <v>2016</v>
      </c>
      <c r="C1203" s="14">
        <v>8382.6666666666661</v>
      </c>
      <c r="D1203" s="14">
        <v>1022</v>
      </c>
      <c r="E1203" s="14">
        <v>1907.3333333333333</v>
      </c>
      <c r="F1203" s="14">
        <v>546</v>
      </c>
      <c r="G1203" s="14">
        <v>2374.6666666666665</v>
      </c>
      <c r="H1203" s="14">
        <v>651.99999999999989</v>
      </c>
      <c r="I1203" s="14">
        <v>1012</v>
      </c>
      <c r="K1203" s="15"/>
    </row>
    <row r="1204" spans="1:11" ht="16.5" x14ac:dyDescent="0.2">
      <c r="A1204" s="4" t="s">
        <v>202</v>
      </c>
      <c r="B1204">
        <v>2009</v>
      </c>
      <c r="C1204" s="14">
        <v>6440.6666666666661</v>
      </c>
      <c r="D1204" s="14">
        <v>146.66666666666666</v>
      </c>
      <c r="E1204" s="14">
        <v>641.99999999999989</v>
      </c>
      <c r="F1204" s="14">
        <v>107.33333333333333</v>
      </c>
      <c r="G1204" s="14">
        <v>1461.3333333333333</v>
      </c>
      <c r="H1204" s="14">
        <v>378.66666666666663</v>
      </c>
      <c r="I1204" s="14">
        <v>898.66666666666663</v>
      </c>
    </row>
    <row r="1205" spans="1:11" ht="16.5" x14ac:dyDescent="0.2">
      <c r="A1205" s="4" t="s">
        <v>202</v>
      </c>
      <c r="B1205">
        <v>2010</v>
      </c>
      <c r="C1205" s="14">
        <v>6421.9999999999991</v>
      </c>
      <c r="D1205" s="14">
        <v>144.66666666666666</v>
      </c>
      <c r="E1205" s="14">
        <v>637.33333333333326</v>
      </c>
      <c r="F1205" s="14">
        <v>106</v>
      </c>
      <c r="G1205" s="14">
        <v>1486.6666666666667</v>
      </c>
      <c r="H1205" s="14">
        <v>384.66666666666663</v>
      </c>
      <c r="I1205" s="14">
        <v>898.66666666666663</v>
      </c>
    </row>
    <row r="1206" spans="1:11" ht="16.5" x14ac:dyDescent="0.2">
      <c r="A1206" s="4" t="s">
        <v>202</v>
      </c>
      <c r="B1206">
        <v>2011</v>
      </c>
      <c r="C1206" s="14">
        <v>6404</v>
      </c>
      <c r="D1206" s="14">
        <v>143.33333333333331</v>
      </c>
      <c r="E1206" s="14">
        <v>632.66666666666663</v>
      </c>
      <c r="F1206" s="14">
        <v>101.33333333333331</v>
      </c>
      <c r="G1206" s="14">
        <v>1509.3333333333333</v>
      </c>
      <c r="H1206" s="14">
        <v>389.99999999999994</v>
      </c>
      <c r="I1206" s="14">
        <v>900.66666666666652</v>
      </c>
      <c r="K1206" s="15"/>
    </row>
    <row r="1207" spans="1:11" ht="16.5" x14ac:dyDescent="0.2">
      <c r="A1207" s="4" t="s">
        <v>202</v>
      </c>
      <c r="B1207">
        <v>2012</v>
      </c>
      <c r="C1207" s="14">
        <v>6396.6666666666661</v>
      </c>
      <c r="D1207" s="14">
        <v>142</v>
      </c>
      <c r="E1207" s="14">
        <v>630</v>
      </c>
      <c r="F1207" s="14">
        <v>99.999999999999986</v>
      </c>
      <c r="G1207" s="14">
        <v>1527.3333333333333</v>
      </c>
      <c r="H1207" s="14">
        <v>396.66666666666663</v>
      </c>
      <c r="I1207" s="14">
        <v>898.66666666666663</v>
      </c>
    </row>
    <row r="1208" spans="1:11" ht="16.5" x14ac:dyDescent="0.2">
      <c r="A1208" s="4" t="s">
        <v>202</v>
      </c>
      <c r="B1208">
        <v>2013</v>
      </c>
      <c r="C1208" s="14">
        <v>6430.6666666666661</v>
      </c>
      <c r="D1208" s="14">
        <v>140.66666666666666</v>
      </c>
      <c r="E1208" s="14">
        <v>621.99999999999989</v>
      </c>
      <c r="F1208" s="14">
        <v>93.333333333333329</v>
      </c>
      <c r="G1208" s="14">
        <v>1532.6666666666663</v>
      </c>
      <c r="H1208" s="14">
        <v>398</v>
      </c>
      <c r="I1208" s="14">
        <v>894.66666666666652</v>
      </c>
      <c r="K1208" s="15"/>
    </row>
    <row r="1209" spans="1:11" ht="16.5" x14ac:dyDescent="0.2">
      <c r="A1209" s="4" t="s">
        <v>202</v>
      </c>
      <c r="B1209">
        <v>2014</v>
      </c>
      <c r="C1209" s="14">
        <v>6438</v>
      </c>
      <c r="D1209" s="14">
        <v>139.33333333333331</v>
      </c>
      <c r="E1209" s="14">
        <v>618.66666666666663</v>
      </c>
      <c r="F1209" s="14">
        <v>87.333333333333329</v>
      </c>
      <c r="G1209" s="14">
        <v>1547.9999999999998</v>
      </c>
      <c r="H1209" s="14">
        <v>402.66666666666663</v>
      </c>
      <c r="I1209" s="14">
        <v>894.66666666666652</v>
      </c>
    </row>
    <row r="1210" spans="1:11" ht="16.5" x14ac:dyDescent="0.2">
      <c r="A1210" s="4" t="s">
        <v>202</v>
      </c>
      <c r="B1210">
        <v>2015</v>
      </c>
      <c r="C1210" s="14">
        <v>6437.333333333333</v>
      </c>
      <c r="D1210" s="14">
        <v>138.66666666666666</v>
      </c>
      <c r="E1210" s="14">
        <v>616</v>
      </c>
      <c r="F1210" s="14">
        <v>86</v>
      </c>
      <c r="G1210" s="14">
        <v>1555.3333333333333</v>
      </c>
      <c r="H1210" s="14">
        <v>404.66666666666663</v>
      </c>
      <c r="I1210" s="14">
        <v>894.66666666666652</v>
      </c>
    </row>
    <row r="1211" spans="1:11" ht="16.5" x14ac:dyDescent="0.2">
      <c r="A1211" s="4" t="s">
        <v>202</v>
      </c>
      <c r="B1211">
        <v>2016</v>
      </c>
      <c r="C1211" s="14">
        <v>6432.6666666666661</v>
      </c>
      <c r="D1211" s="14">
        <v>137.33333333333334</v>
      </c>
      <c r="E1211" s="14">
        <v>611.99999999999989</v>
      </c>
      <c r="F1211" s="14">
        <v>83.333333333333329</v>
      </c>
      <c r="G1211" s="14">
        <v>1568.6666666666665</v>
      </c>
      <c r="H1211" s="14">
        <v>405.33333333333326</v>
      </c>
      <c r="I1211" s="14">
        <v>893.99999999999989</v>
      </c>
      <c r="K1211" s="15"/>
    </row>
    <row r="1212" spans="1:11" ht="16.5" x14ac:dyDescent="0.2">
      <c r="A1212" s="4" t="s">
        <v>201</v>
      </c>
      <c r="B1212">
        <v>2009</v>
      </c>
      <c r="C1212" s="14">
        <v>5674</v>
      </c>
      <c r="D1212" s="14">
        <v>109.33333333333331</v>
      </c>
      <c r="E1212" s="14">
        <v>613.99999999999989</v>
      </c>
      <c r="F1212" s="14">
        <v>15.999999999999998</v>
      </c>
      <c r="G1212" s="14">
        <v>1326.6666666666663</v>
      </c>
      <c r="H1212" s="14">
        <v>325.99999999999994</v>
      </c>
      <c r="I1212" s="14">
        <v>473.99999999999994</v>
      </c>
    </row>
    <row r="1213" spans="1:11" ht="16.5" x14ac:dyDescent="0.2">
      <c r="A1213" s="4" t="s">
        <v>201</v>
      </c>
      <c r="B1213">
        <v>2010</v>
      </c>
      <c r="C1213" s="14">
        <v>5666.6666666666661</v>
      </c>
      <c r="D1213" s="14">
        <v>107.99999999999999</v>
      </c>
      <c r="E1213" s="14">
        <v>606</v>
      </c>
      <c r="F1213" s="14">
        <v>15.999999999999998</v>
      </c>
      <c r="G1213" s="14">
        <v>1342</v>
      </c>
      <c r="H1213" s="14">
        <v>327.33333333333331</v>
      </c>
      <c r="I1213" s="14">
        <v>476</v>
      </c>
      <c r="K1213" s="15"/>
    </row>
    <row r="1214" spans="1:11" ht="16.5" x14ac:dyDescent="0.2">
      <c r="A1214" s="4" t="s">
        <v>201</v>
      </c>
      <c r="B1214">
        <v>2011</v>
      </c>
      <c r="C1214" s="14">
        <v>5663.333333333333</v>
      </c>
      <c r="D1214" s="14">
        <v>106.66666666666666</v>
      </c>
      <c r="E1214" s="14">
        <v>595.33333333333326</v>
      </c>
      <c r="F1214" s="14">
        <v>15.33333333333333</v>
      </c>
      <c r="G1214" s="14">
        <v>1352.6666666666663</v>
      </c>
      <c r="H1214" s="14">
        <v>328.66666666666663</v>
      </c>
      <c r="I1214" s="14">
        <v>476.66666666666663</v>
      </c>
    </row>
    <row r="1215" spans="1:11" ht="16.5" x14ac:dyDescent="0.2">
      <c r="A1215" s="4" t="s">
        <v>201</v>
      </c>
      <c r="B1215">
        <v>2012</v>
      </c>
      <c r="C1215" s="14">
        <v>5654.6666666666661</v>
      </c>
      <c r="D1215" s="14">
        <v>105.33333333333333</v>
      </c>
      <c r="E1215" s="14">
        <v>584.66666666666663</v>
      </c>
      <c r="F1215" s="14">
        <v>14.666666666666666</v>
      </c>
      <c r="G1215" s="14">
        <v>1368.6666666666665</v>
      </c>
      <c r="H1215" s="14">
        <v>331.99999999999994</v>
      </c>
      <c r="I1215" s="14">
        <v>478.66666666666663</v>
      </c>
    </row>
    <row r="1216" spans="1:11" ht="16.5" x14ac:dyDescent="0.2">
      <c r="A1216" s="4" t="s">
        <v>201</v>
      </c>
      <c r="B1216">
        <v>2013</v>
      </c>
      <c r="C1216" s="14">
        <v>5651.9999999999991</v>
      </c>
      <c r="D1216" s="14">
        <v>103.99999999999999</v>
      </c>
      <c r="E1216" s="14">
        <v>568</v>
      </c>
      <c r="F1216" s="14">
        <v>13.333333333333332</v>
      </c>
      <c r="G1216" s="14">
        <v>1383.3333333333335</v>
      </c>
      <c r="H1216" s="14">
        <v>335.99999999999994</v>
      </c>
      <c r="I1216" s="14">
        <v>480.66666666666657</v>
      </c>
      <c r="K1216" s="15"/>
    </row>
    <row r="1217" spans="1:11" ht="16.5" x14ac:dyDescent="0.2">
      <c r="A1217" s="4" t="s">
        <v>201</v>
      </c>
      <c r="B1217">
        <v>2014</v>
      </c>
      <c r="C1217" s="14">
        <v>5648.6666666666661</v>
      </c>
      <c r="D1217" s="14">
        <v>102.66666666666666</v>
      </c>
      <c r="E1217" s="14">
        <v>551.99999999999989</v>
      </c>
      <c r="F1217" s="14">
        <v>13.333333333333332</v>
      </c>
      <c r="G1217" s="14">
        <v>1396.6666666666663</v>
      </c>
      <c r="H1217" s="14">
        <v>339.33333333333331</v>
      </c>
      <c r="I1217" s="14">
        <v>479.33333333333331</v>
      </c>
    </row>
    <row r="1218" spans="1:11" ht="16.5" x14ac:dyDescent="0.2">
      <c r="A1218" s="4" t="s">
        <v>201</v>
      </c>
      <c r="B1218">
        <v>2015</v>
      </c>
      <c r="C1218" s="14">
        <v>5649.333333333333</v>
      </c>
      <c r="D1218" s="14">
        <v>99.999999999999986</v>
      </c>
      <c r="E1218" s="14">
        <v>543.99999999999989</v>
      </c>
      <c r="F1218" s="14">
        <v>13.333333333333332</v>
      </c>
      <c r="G1218" s="14">
        <v>1408.6666666666665</v>
      </c>
      <c r="H1218" s="14">
        <v>339.33333333333331</v>
      </c>
      <c r="I1218" s="14">
        <v>478.66666666666663</v>
      </c>
      <c r="K1218" s="15"/>
    </row>
    <row r="1219" spans="1:11" ht="16.5" x14ac:dyDescent="0.2">
      <c r="A1219" s="4" t="s">
        <v>201</v>
      </c>
      <c r="B1219">
        <v>2016</v>
      </c>
      <c r="C1219" s="14">
        <v>5647.333333333333</v>
      </c>
      <c r="D1219" s="14">
        <v>98.666666666666657</v>
      </c>
      <c r="E1219" s="14">
        <v>538.66666666666663</v>
      </c>
      <c r="F1219" s="14">
        <v>12.666666666666664</v>
      </c>
      <c r="G1219" s="14">
        <v>1412.6666666666663</v>
      </c>
      <c r="H1219" s="14">
        <v>341.33333333333331</v>
      </c>
      <c r="I1219" s="14">
        <v>478.66666666666663</v>
      </c>
    </row>
    <row r="1220" spans="1:11" ht="16.5" x14ac:dyDescent="0.2">
      <c r="A1220" s="4" t="s">
        <v>200</v>
      </c>
      <c r="B1220">
        <v>2009</v>
      </c>
      <c r="C1220" s="14">
        <v>4676.6666666666661</v>
      </c>
      <c r="D1220" s="14">
        <v>315.33333333333331</v>
      </c>
      <c r="E1220" s="14">
        <v>225.99999999999997</v>
      </c>
      <c r="F1220" s="14">
        <v>285.99999999999994</v>
      </c>
      <c r="G1220" s="14">
        <v>1281.333333333333</v>
      </c>
      <c r="H1220" s="14">
        <v>346.66666666666663</v>
      </c>
      <c r="I1220" s="14">
        <v>1692</v>
      </c>
    </row>
    <row r="1221" spans="1:11" ht="16.5" x14ac:dyDescent="0.2">
      <c r="A1221" s="4" t="s">
        <v>200</v>
      </c>
      <c r="B1221">
        <v>2010</v>
      </c>
      <c r="C1221" s="14">
        <v>4678.6666666666661</v>
      </c>
      <c r="D1221" s="14">
        <v>309.33333333333331</v>
      </c>
      <c r="E1221" s="14">
        <v>222.66666666666663</v>
      </c>
      <c r="F1221" s="14">
        <v>278</v>
      </c>
      <c r="G1221" s="14">
        <v>1295.9999999999998</v>
      </c>
      <c r="H1221" s="14">
        <v>349.33333333333331</v>
      </c>
      <c r="I1221" s="14">
        <v>1691.333333333333</v>
      </c>
      <c r="K1221" s="15"/>
    </row>
    <row r="1222" spans="1:11" ht="16.5" x14ac:dyDescent="0.2">
      <c r="A1222" s="4" t="s">
        <v>200</v>
      </c>
      <c r="B1222">
        <v>2011</v>
      </c>
      <c r="C1222" s="14">
        <v>4658</v>
      </c>
      <c r="D1222" s="14">
        <v>309.33333333333331</v>
      </c>
      <c r="E1222" s="14">
        <v>219.33333333333331</v>
      </c>
      <c r="F1222" s="14">
        <v>268.66666666666663</v>
      </c>
      <c r="G1222" s="14">
        <v>1315.3333333333333</v>
      </c>
      <c r="H1222" s="14">
        <v>355.99999999999994</v>
      </c>
      <c r="I1222" s="14">
        <v>1692.6666666666665</v>
      </c>
    </row>
    <row r="1223" spans="1:11" ht="16.5" x14ac:dyDescent="0.2">
      <c r="A1223" s="4" t="s">
        <v>200</v>
      </c>
      <c r="B1223">
        <v>2012</v>
      </c>
      <c r="C1223" s="14">
        <v>4651.9999999999991</v>
      </c>
      <c r="D1223" s="14">
        <v>303.33333333333331</v>
      </c>
      <c r="E1223" s="14">
        <v>217.33333333333331</v>
      </c>
      <c r="F1223" s="14">
        <v>264</v>
      </c>
      <c r="G1223" s="14">
        <v>1332.6666666666665</v>
      </c>
      <c r="H1223" s="14">
        <v>360.66666666666663</v>
      </c>
      <c r="I1223" s="14">
        <v>1692</v>
      </c>
      <c r="K1223" s="15"/>
    </row>
    <row r="1224" spans="1:11" ht="16.5" x14ac:dyDescent="0.2">
      <c r="A1224" s="4" t="s">
        <v>200</v>
      </c>
      <c r="B1224">
        <v>2013</v>
      </c>
      <c r="C1224" s="14">
        <v>4660.6666666666661</v>
      </c>
      <c r="D1224" s="14">
        <v>299.33333333333331</v>
      </c>
      <c r="E1224" s="14">
        <v>214.66666666666666</v>
      </c>
      <c r="F1224" s="14">
        <v>255.99999999999997</v>
      </c>
      <c r="G1224" s="14">
        <v>1347.9999999999998</v>
      </c>
      <c r="H1224" s="14">
        <v>361.33333333333331</v>
      </c>
      <c r="I1224" s="14">
        <v>1687.9999999999998</v>
      </c>
    </row>
    <row r="1225" spans="1:11" ht="16.5" x14ac:dyDescent="0.2">
      <c r="A1225" s="4" t="s">
        <v>200</v>
      </c>
      <c r="B1225">
        <v>2014</v>
      </c>
      <c r="C1225" s="14">
        <v>4658</v>
      </c>
      <c r="D1225" s="14">
        <v>296.66666666666663</v>
      </c>
      <c r="E1225" s="14">
        <v>209.99999999999997</v>
      </c>
      <c r="F1225" s="14">
        <v>254</v>
      </c>
      <c r="G1225" s="14">
        <v>1357.9999999999998</v>
      </c>
      <c r="H1225" s="14">
        <v>367.33333333333331</v>
      </c>
      <c r="I1225" s="14">
        <v>1685.3333333333333</v>
      </c>
    </row>
    <row r="1226" spans="1:11" ht="16.5" x14ac:dyDescent="0.2">
      <c r="A1226" s="4" t="s">
        <v>200</v>
      </c>
      <c r="B1226">
        <v>2015</v>
      </c>
      <c r="C1226" s="14">
        <v>4652.6666666666661</v>
      </c>
      <c r="D1226" s="14">
        <v>294.66666666666669</v>
      </c>
      <c r="E1226" s="14">
        <v>207.99999999999997</v>
      </c>
      <c r="F1226" s="14">
        <v>250.66666666666666</v>
      </c>
      <c r="G1226" s="14">
        <v>1373.3333333333335</v>
      </c>
      <c r="H1226" s="14">
        <v>368</v>
      </c>
      <c r="I1226" s="14">
        <v>1682</v>
      </c>
      <c r="K1226" s="15"/>
    </row>
    <row r="1227" spans="1:11" ht="16.5" x14ac:dyDescent="0.2">
      <c r="A1227" s="4" t="s">
        <v>200</v>
      </c>
      <c r="B1227">
        <v>2016</v>
      </c>
      <c r="C1227" s="14">
        <v>4656.6666666666661</v>
      </c>
      <c r="D1227" s="14">
        <v>291.33333333333331</v>
      </c>
      <c r="E1227" s="14">
        <v>205.33333333333331</v>
      </c>
      <c r="F1227" s="14">
        <v>242.66666666666663</v>
      </c>
      <c r="G1227" s="14">
        <v>1389.3333333333333</v>
      </c>
      <c r="H1227" s="14">
        <v>371.33333333333331</v>
      </c>
      <c r="I1227" s="14">
        <v>1677.9999999999998</v>
      </c>
    </row>
    <row r="1228" spans="1:11" ht="16.5" x14ac:dyDescent="0.2">
      <c r="A1228" s="4" t="s">
        <v>199</v>
      </c>
      <c r="B1228">
        <v>2009</v>
      </c>
      <c r="C1228" s="14">
        <v>8330</v>
      </c>
      <c r="D1228" s="14">
        <v>73.333333333333329</v>
      </c>
      <c r="E1228" s="14">
        <v>610</v>
      </c>
      <c r="F1228" s="14">
        <v>33.333333333333329</v>
      </c>
      <c r="G1228" s="14">
        <v>1843.9999999999995</v>
      </c>
      <c r="H1228" s="14">
        <v>408.66666666666663</v>
      </c>
      <c r="I1228" s="14">
        <v>779.33333333333326</v>
      </c>
      <c r="K1228" s="15"/>
    </row>
    <row r="1229" spans="1:11" ht="16.5" x14ac:dyDescent="0.2">
      <c r="A1229" s="4" t="s">
        <v>199</v>
      </c>
      <c r="B1229">
        <v>2010</v>
      </c>
      <c r="C1229" s="14">
        <v>8319.3333333333339</v>
      </c>
      <c r="D1229" s="14">
        <v>72.666666666666657</v>
      </c>
      <c r="E1229" s="14">
        <v>600.66666666666663</v>
      </c>
      <c r="F1229" s="14">
        <v>32.666666666666664</v>
      </c>
      <c r="G1229" s="14">
        <v>1864</v>
      </c>
      <c r="H1229" s="14">
        <v>409.99999999999994</v>
      </c>
      <c r="I1229" s="14">
        <v>778</v>
      </c>
    </row>
    <row r="1230" spans="1:11" ht="16.5" x14ac:dyDescent="0.2">
      <c r="A1230" s="4" t="s">
        <v>199</v>
      </c>
      <c r="B1230">
        <v>2011</v>
      </c>
      <c r="C1230" s="14">
        <v>8317.3333333333321</v>
      </c>
      <c r="D1230" s="14">
        <v>72</v>
      </c>
      <c r="E1230" s="14">
        <v>590</v>
      </c>
      <c r="F1230" s="14">
        <v>29.333333333333332</v>
      </c>
      <c r="G1230" s="14">
        <v>1878.6666666666665</v>
      </c>
      <c r="H1230" s="14">
        <v>411.33333333333331</v>
      </c>
      <c r="I1230" s="14">
        <v>772.66666666666663</v>
      </c>
    </row>
    <row r="1231" spans="1:11" ht="16.5" x14ac:dyDescent="0.2">
      <c r="A1231" s="4" t="s">
        <v>199</v>
      </c>
      <c r="B1231">
        <v>2012</v>
      </c>
      <c r="C1231" s="14">
        <v>8318</v>
      </c>
      <c r="D1231" s="14">
        <v>67.999999999999986</v>
      </c>
      <c r="E1231" s="14">
        <v>581.33333333333326</v>
      </c>
      <c r="F1231" s="14">
        <v>28.666666666666664</v>
      </c>
      <c r="G1231" s="14">
        <v>1894.6666666666665</v>
      </c>
      <c r="H1231" s="14">
        <v>412.66666666666663</v>
      </c>
      <c r="I1231" s="14">
        <v>769.33333333333326</v>
      </c>
      <c r="K1231" s="15"/>
    </row>
    <row r="1232" spans="1:11" ht="16.5" x14ac:dyDescent="0.2">
      <c r="A1232" s="4" t="s">
        <v>199</v>
      </c>
      <c r="B1232">
        <v>2013</v>
      </c>
      <c r="C1232" s="14">
        <v>8315.3333333333321</v>
      </c>
      <c r="D1232" s="14">
        <v>67.333333333333329</v>
      </c>
      <c r="E1232" s="14">
        <v>575.33333333333326</v>
      </c>
      <c r="F1232" s="14">
        <v>28</v>
      </c>
      <c r="G1232" s="14">
        <v>1904</v>
      </c>
      <c r="H1232" s="14">
        <v>412.66666666666663</v>
      </c>
      <c r="I1232" s="14">
        <v>764.66666666666663</v>
      </c>
    </row>
    <row r="1233" spans="1:11" ht="16.5" x14ac:dyDescent="0.2">
      <c r="A1233" s="4" t="s">
        <v>199</v>
      </c>
      <c r="B1233">
        <v>2014</v>
      </c>
      <c r="C1233" s="14">
        <v>8310</v>
      </c>
      <c r="D1233" s="14">
        <v>67.333333333333329</v>
      </c>
      <c r="E1233" s="14">
        <v>570</v>
      </c>
      <c r="F1233" s="14">
        <v>28</v>
      </c>
      <c r="G1233" s="14">
        <v>1915.3333333333333</v>
      </c>
      <c r="H1233" s="14">
        <v>413.33333333333331</v>
      </c>
      <c r="I1233" s="14">
        <v>760.66666666666652</v>
      </c>
      <c r="K1233" s="15"/>
    </row>
    <row r="1234" spans="1:11" ht="16.5" x14ac:dyDescent="0.2">
      <c r="A1234" s="4" t="s">
        <v>199</v>
      </c>
      <c r="B1234">
        <v>2015</v>
      </c>
      <c r="C1234" s="14">
        <v>8296.6666666666661</v>
      </c>
      <c r="D1234" s="14">
        <v>66.666666666666657</v>
      </c>
      <c r="E1234" s="14">
        <v>566.66666666666663</v>
      </c>
      <c r="F1234" s="14">
        <v>27.333333333333329</v>
      </c>
      <c r="G1234" s="14">
        <v>1929.9999999999998</v>
      </c>
      <c r="H1234" s="14">
        <v>414</v>
      </c>
      <c r="I1234" s="14">
        <v>759.99999999999989</v>
      </c>
    </row>
    <row r="1235" spans="1:11" ht="16.5" x14ac:dyDescent="0.2">
      <c r="A1235" s="4" t="s">
        <v>199</v>
      </c>
      <c r="B1235">
        <v>2016</v>
      </c>
      <c r="C1235" s="14">
        <v>8293.3333333333321</v>
      </c>
      <c r="D1235" s="14">
        <v>66</v>
      </c>
      <c r="E1235" s="14">
        <v>558</v>
      </c>
      <c r="F1235" s="14">
        <v>26.666666666666664</v>
      </c>
      <c r="G1235" s="14">
        <v>1949.9999999999998</v>
      </c>
      <c r="H1235" s="14">
        <v>416.66666666666663</v>
      </c>
      <c r="I1235" s="14">
        <v>748.66666666666663</v>
      </c>
    </row>
    <row r="1236" spans="1:11" ht="16.5" x14ac:dyDescent="0.2">
      <c r="A1236" s="4" t="s">
        <v>198</v>
      </c>
      <c r="B1236">
        <v>2009</v>
      </c>
      <c r="C1236" s="14">
        <v>81920</v>
      </c>
      <c r="D1236" s="14">
        <v>2310.6666666666665</v>
      </c>
      <c r="E1236" s="14">
        <v>35069.333333333328</v>
      </c>
      <c r="F1236" s="14">
        <v>6799.333333333333</v>
      </c>
      <c r="G1236" s="14">
        <v>20216.666666666664</v>
      </c>
      <c r="H1236" s="14">
        <v>4290.6666666666661</v>
      </c>
      <c r="I1236" s="14">
        <v>10543.333333333332</v>
      </c>
      <c r="K1236" s="15"/>
    </row>
    <row r="1237" spans="1:11" ht="16.5" x14ac:dyDescent="0.2">
      <c r="A1237" s="4" t="s">
        <v>198</v>
      </c>
      <c r="B1237">
        <v>2010</v>
      </c>
      <c r="C1237" s="14">
        <v>81774.666666666672</v>
      </c>
      <c r="D1237" s="14">
        <v>2296.6666666666665</v>
      </c>
      <c r="E1237" s="14">
        <v>35012</v>
      </c>
      <c r="F1237" s="14">
        <v>6749.333333333333</v>
      </c>
      <c r="G1237" s="14">
        <v>20477.333333333336</v>
      </c>
      <c r="H1237" s="14">
        <v>4351.333333333333</v>
      </c>
      <c r="I1237" s="14">
        <v>10503.333333333332</v>
      </c>
    </row>
    <row r="1238" spans="1:11" ht="16.5" x14ac:dyDescent="0.2">
      <c r="A1238" s="4" t="s">
        <v>198</v>
      </c>
      <c r="B1238">
        <v>2011</v>
      </c>
      <c r="C1238" s="14">
        <v>81619.333333333328</v>
      </c>
      <c r="D1238" s="14">
        <v>2272</v>
      </c>
      <c r="E1238" s="14">
        <v>34937.999999999993</v>
      </c>
      <c r="F1238" s="14">
        <v>6691.333333333333</v>
      </c>
      <c r="G1238" s="14">
        <v>20783.999999999996</v>
      </c>
      <c r="H1238" s="14">
        <v>4421.9999999999991</v>
      </c>
      <c r="I1238" s="14">
        <v>10453.333333333332</v>
      </c>
      <c r="K1238" s="15"/>
    </row>
    <row r="1239" spans="1:11" ht="16.5" x14ac:dyDescent="0.2">
      <c r="A1239" s="4" t="s">
        <v>198</v>
      </c>
      <c r="B1239">
        <v>2012</v>
      </c>
      <c r="C1239" s="14">
        <v>81567.333333333328</v>
      </c>
      <c r="D1239" s="14">
        <v>2250.6666666666665</v>
      </c>
      <c r="E1239" s="14">
        <v>34865.999999999993</v>
      </c>
      <c r="F1239" s="14">
        <v>6624.6666666666661</v>
      </c>
      <c r="G1239" s="14">
        <v>21045.333333333328</v>
      </c>
      <c r="H1239" s="14">
        <v>4462.6666666666661</v>
      </c>
      <c r="I1239" s="14">
        <v>10385.333333333332</v>
      </c>
    </row>
    <row r="1240" spans="1:11" ht="16.5" x14ac:dyDescent="0.2">
      <c r="A1240" s="4" t="s">
        <v>198</v>
      </c>
      <c r="B1240">
        <v>2013</v>
      </c>
      <c r="C1240" s="14">
        <v>81407.333333333328</v>
      </c>
      <c r="D1240" s="14">
        <v>2234.6666666666665</v>
      </c>
      <c r="E1240" s="14">
        <v>34814</v>
      </c>
      <c r="F1240" s="14">
        <v>6571.333333333333</v>
      </c>
      <c r="G1240" s="14">
        <v>21319.999999999996</v>
      </c>
      <c r="H1240" s="14">
        <v>4542.6666666666661</v>
      </c>
      <c r="I1240" s="14">
        <v>10325.333333333332</v>
      </c>
    </row>
    <row r="1241" spans="1:11" ht="16.5" x14ac:dyDescent="0.2">
      <c r="A1241" s="4" t="s">
        <v>198</v>
      </c>
      <c r="B1241">
        <v>2014</v>
      </c>
      <c r="C1241" s="14">
        <v>81179.333333333328</v>
      </c>
      <c r="D1241" s="14">
        <v>2218.6666666666665</v>
      </c>
      <c r="E1241" s="14">
        <v>34764</v>
      </c>
      <c r="F1241" s="14">
        <v>6531.333333333333</v>
      </c>
      <c r="G1241" s="14">
        <v>21611.333333333332</v>
      </c>
      <c r="H1241" s="14">
        <v>4621.333333333333</v>
      </c>
      <c r="I1241" s="14">
        <v>10266.666666666666</v>
      </c>
      <c r="K1241" s="15"/>
    </row>
    <row r="1242" spans="1:11" ht="16.5" x14ac:dyDescent="0.2">
      <c r="A1242" s="4" t="s">
        <v>198</v>
      </c>
      <c r="B1242">
        <v>2015</v>
      </c>
      <c r="C1242" s="14">
        <v>81059.333333333328</v>
      </c>
      <c r="D1242" s="14">
        <v>2205.333333333333</v>
      </c>
      <c r="E1242" s="14">
        <v>34717.333333333336</v>
      </c>
      <c r="F1242" s="14">
        <v>6487.333333333333</v>
      </c>
      <c r="G1242" s="14">
        <v>21862.666666666664</v>
      </c>
      <c r="H1242" s="14">
        <v>4655.9999999999991</v>
      </c>
      <c r="I1242" s="14">
        <v>10196.666666666666</v>
      </c>
    </row>
    <row r="1243" spans="1:11" ht="16.5" x14ac:dyDescent="0.2">
      <c r="A1243" s="4" t="s">
        <v>198</v>
      </c>
      <c r="B1243">
        <v>2016</v>
      </c>
      <c r="C1243" s="14">
        <v>81110</v>
      </c>
      <c r="D1243" s="14">
        <v>2165.333333333333</v>
      </c>
      <c r="E1243" s="14">
        <v>34569.333333333328</v>
      </c>
      <c r="F1243" s="14">
        <v>6448</v>
      </c>
      <c r="G1243" s="14">
        <v>22161.333333333328</v>
      </c>
      <c r="H1243" s="14">
        <v>4655.333333333333</v>
      </c>
      <c r="I1243" s="14">
        <v>10091.333333333332</v>
      </c>
      <c r="K1243" s="15"/>
    </row>
    <row r="1244" spans="1:11" ht="16.5" x14ac:dyDescent="0.2">
      <c r="A1244" s="4" t="s">
        <v>197</v>
      </c>
      <c r="B1244">
        <v>2009</v>
      </c>
      <c r="C1244" s="14">
        <v>3405.333333333333</v>
      </c>
      <c r="D1244" s="14">
        <v>117.33333333333333</v>
      </c>
      <c r="E1244" s="14">
        <v>936.66666666666663</v>
      </c>
      <c r="F1244" s="14">
        <v>492.66666666666669</v>
      </c>
      <c r="G1244" s="14">
        <v>1562.6666666666663</v>
      </c>
      <c r="H1244" s="14">
        <v>265.99999999999994</v>
      </c>
      <c r="I1244" s="14">
        <v>499.99999999999994</v>
      </c>
    </row>
    <row r="1245" spans="1:11" ht="16.5" x14ac:dyDescent="0.2">
      <c r="A1245" s="4" t="s">
        <v>197</v>
      </c>
      <c r="B1245">
        <v>2010</v>
      </c>
      <c r="C1245" s="14">
        <v>3376.6666666666665</v>
      </c>
      <c r="D1245" s="14">
        <v>114.66666666666666</v>
      </c>
      <c r="E1245" s="14">
        <v>932</v>
      </c>
      <c r="F1245" s="14">
        <v>485.33333333333326</v>
      </c>
      <c r="G1245" s="14">
        <v>1602.6666666666663</v>
      </c>
      <c r="H1245" s="14">
        <v>275.33333333333331</v>
      </c>
      <c r="I1245" s="14">
        <v>493.33333333333331</v>
      </c>
    </row>
    <row r="1246" spans="1:11" ht="16.5" x14ac:dyDescent="0.2">
      <c r="A1246" s="4" t="s">
        <v>197</v>
      </c>
      <c r="B1246">
        <v>2011</v>
      </c>
      <c r="C1246" s="14">
        <v>3337.9999999999995</v>
      </c>
      <c r="D1246" s="14">
        <v>113.33333333333333</v>
      </c>
      <c r="E1246" s="14">
        <v>919.33333333333326</v>
      </c>
      <c r="F1246" s="14">
        <v>481.99999999999994</v>
      </c>
      <c r="G1246" s="14">
        <v>1650.6666666666663</v>
      </c>
      <c r="H1246" s="14">
        <v>284.66666666666669</v>
      </c>
      <c r="I1246" s="14">
        <v>490.66666666666657</v>
      </c>
      <c r="K1246" s="15"/>
    </row>
    <row r="1247" spans="1:11" ht="16.5" x14ac:dyDescent="0.2">
      <c r="A1247" s="4" t="s">
        <v>197</v>
      </c>
      <c r="B1247">
        <v>2012</v>
      </c>
      <c r="C1247" s="14">
        <v>3317.9999999999995</v>
      </c>
      <c r="D1247" s="14">
        <v>110.66666666666667</v>
      </c>
      <c r="E1247" s="14">
        <v>915.33333333333337</v>
      </c>
      <c r="F1247" s="14">
        <v>479.99999999999994</v>
      </c>
      <c r="G1247" s="14">
        <v>1685.9999999999998</v>
      </c>
      <c r="H1247" s="14">
        <v>290.66666666666663</v>
      </c>
      <c r="I1247" s="14">
        <v>478.66666666666663</v>
      </c>
    </row>
    <row r="1248" spans="1:11" ht="16.5" x14ac:dyDescent="0.2">
      <c r="A1248" s="4" t="s">
        <v>197</v>
      </c>
      <c r="B1248">
        <v>2013</v>
      </c>
      <c r="C1248" s="14">
        <v>3286.6666666666665</v>
      </c>
      <c r="D1248" s="14">
        <v>106.66666666666666</v>
      </c>
      <c r="E1248" s="14">
        <v>909.33333333333326</v>
      </c>
      <c r="F1248" s="14">
        <v>471.33333333333331</v>
      </c>
      <c r="G1248" s="14">
        <v>1738.6666666666665</v>
      </c>
      <c r="H1248" s="14">
        <v>299.33333333333331</v>
      </c>
      <c r="I1248" s="14">
        <v>464.66666666666663</v>
      </c>
      <c r="K1248" s="15"/>
    </row>
    <row r="1249" spans="1:11" ht="16.5" x14ac:dyDescent="0.2">
      <c r="A1249" s="4" t="s">
        <v>197</v>
      </c>
      <c r="B1249">
        <v>2014</v>
      </c>
      <c r="C1249" s="14">
        <v>3234.6666666666665</v>
      </c>
      <c r="D1249" s="14">
        <v>103.33333333333333</v>
      </c>
      <c r="E1249" s="14">
        <v>899.33333333333326</v>
      </c>
      <c r="F1249" s="14">
        <v>466.66666666666663</v>
      </c>
      <c r="G1249" s="14">
        <v>1780.6666666666667</v>
      </c>
      <c r="H1249" s="14">
        <v>328</v>
      </c>
      <c r="I1249" s="14">
        <v>462.66666666666669</v>
      </c>
    </row>
    <row r="1250" spans="1:11" ht="16.5" x14ac:dyDescent="0.2">
      <c r="A1250" s="4" t="s">
        <v>197</v>
      </c>
      <c r="B1250">
        <v>2015</v>
      </c>
      <c r="C1250" s="14">
        <v>3192</v>
      </c>
      <c r="D1250" s="14">
        <v>100.66666666666666</v>
      </c>
      <c r="E1250" s="14">
        <v>892</v>
      </c>
      <c r="F1250" s="14">
        <v>463.33333333333331</v>
      </c>
      <c r="G1250" s="14">
        <v>1829.9999999999998</v>
      </c>
      <c r="H1250" s="14">
        <v>337.33333333333331</v>
      </c>
      <c r="I1250" s="14">
        <v>459.99999999999994</v>
      </c>
    </row>
    <row r="1251" spans="1:11" ht="16.5" x14ac:dyDescent="0.2">
      <c r="A1251" s="4" t="s">
        <v>197</v>
      </c>
      <c r="B1251">
        <v>2016</v>
      </c>
      <c r="C1251" s="14">
        <v>3157.333333333333</v>
      </c>
      <c r="D1251" s="14">
        <v>96.666666666666657</v>
      </c>
      <c r="E1251" s="14">
        <v>877.33333333333326</v>
      </c>
      <c r="F1251" s="14">
        <v>460.66666666666657</v>
      </c>
      <c r="G1251" s="14">
        <v>1902.6666666666667</v>
      </c>
      <c r="H1251" s="14">
        <v>334.66666666666663</v>
      </c>
      <c r="I1251" s="14">
        <v>441.99999999999994</v>
      </c>
      <c r="K1251" s="15"/>
    </row>
    <row r="1252" spans="1:11" ht="16.5" x14ac:dyDescent="0.2">
      <c r="A1252" s="4" t="s">
        <v>196</v>
      </c>
      <c r="B1252">
        <v>2009</v>
      </c>
      <c r="C1252" s="14">
        <v>4175.9999999999991</v>
      </c>
      <c r="D1252" s="14">
        <v>43.999999999999993</v>
      </c>
      <c r="E1252" s="14">
        <v>431.99999999999994</v>
      </c>
      <c r="F1252" s="14">
        <v>6.6666666666666661</v>
      </c>
      <c r="G1252" s="14">
        <v>923.33333333333326</v>
      </c>
      <c r="H1252" s="14">
        <v>189.33333333333331</v>
      </c>
      <c r="I1252" s="14">
        <v>395.33333333333326</v>
      </c>
    </row>
    <row r="1253" spans="1:11" ht="16.5" x14ac:dyDescent="0.2">
      <c r="A1253" s="4" t="s">
        <v>196</v>
      </c>
      <c r="B1253">
        <v>2010</v>
      </c>
      <c r="C1253" s="14">
        <v>4173.333333333333</v>
      </c>
      <c r="D1253" s="14">
        <v>43.333333333333329</v>
      </c>
      <c r="E1253" s="14">
        <v>430.66666666666657</v>
      </c>
      <c r="F1253" s="14">
        <v>6.6666666666666661</v>
      </c>
      <c r="G1253" s="14">
        <v>933.33333333333326</v>
      </c>
      <c r="H1253" s="14">
        <v>192.66666666666663</v>
      </c>
      <c r="I1253" s="14">
        <v>391.33333333333331</v>
      </c>
      <c r="K1253" s="15"/>
    </row>
    <row r="1254" spans="1:11" ht="16.5" x14ac:dyDescent="0.2">
      <c r="A1254" s="4" t="s">
        <v>196</v>
      </c>
      <c r="B1254">
        <v>2011</v>
      </c>
      <c r="C1254" s="14">
        <v>4165.333333333333</v>
      </c>
      <c r="D1254" s="14">
        <v>43.333333333333329</v>
      </c>
      <c r="E1254" s="14">
        <v>427.33333333333326</v>
      </c>
      <c r="F1254" s="14">
        <v>6.6666666666666661</v>
      </c>
      <c r="G1254" s="14">
        <v>945.33333333333337</v>
      </c>
      <c r="H1254" s="14">
        <v>194.66666666666666</v>
      </c>
      <c r="I1254" s="14">
        <v>389.33333333333331</v>
      </c>
    </row>
    <row r="1255" spans="1:11" ht="16.5" x14ac:dyDescent="0.2">
      <c r="A1255" s="4" t="s">
        <v>196</v>
      </c>
      <c r="B1255">
        <v>2012</v>
      </c>
      <c r="C1255" s="14">
        <v>4161.333333333333</v>
      </c>
      <c r="D1255" s="14">
        <v>42.666666666666664</v>
      </c>
      <c r="E1255" s="14">
        <v>424</v>
      </c>
      <c r="F1255" s="14">
        <v>6</v>
      </c>
      <c r="G1255" s="14">
        <v>955.33333333333337</v>
      </c>
      <c r="H1255" s="14">
        <v>195.99999999999997</v>
      </c>
      <c r="I1255" s="14">
        <v>388.66666666666663</v>
      </c>
    </row>
    <row r="1256" spans="1:11" ht="16.5" x14ac:dyDescent="0.2">
      <c r="A1256" s="4" t="s">
        <v>196</v>
      </c>
      <c r="B1256">
        <v>2013</v>
      </c>
      <c r="C1256" s="14">
        <v>4144</v>
      </c>
      <c r="D1256" s="14">
        <v>41.999999999999993</v>
      </c>
      <c r="E1256" s="14">
        <v>418.66666666666663</v>
      </c>
      <c r="F1256" s="14">
        <v>6</v>
      </c>
      <c r="G1256" s="14">
        <v>973.33333333333303</v>
      </c>
      <c r="H1256" s="14">
        <v>208.66666666666666</v>
      </c>
      <c r="I1256" s="14">
        <v>386.66666666666663</v>
      </c>
      <c r="K1256" s="15"/>
    </row>
    <row r="1257" spans="1:11" ht="16.5" x14ac:dyDescent="0.2">
      <c r="A1257" s="4" t="s">
        <v>196</v>
      </c>
      <c r="B1257">
        <v>2014</v>
      </c>
      <c r="C1257" s="14">
        <v>4138</v>
      </c>
      <c r="D1257" s="14">
        <v>41.999999999999993</v>
      </c>
      <c r="E1257" s="14">
        <v>415.99999999999994</v>
      </c>
      <c r="F1257" s="14">
        <v>5.333333333333333</v>
      </c>
      <c r="G1257" s="14">
        <v>986</v>
      </c>
      <c r="H1257" s="14">
        <v>212</v>
      </c>
      <c r="I1257" s="14">
        <v>379.99999999999994</v>
      </c>
    </row>
    <row r="1258" spans="1:11" ht="16.5" x14ac:dyDescent="0.2">
      <c r="A1258" s="4" t="s">
        <v>196</v>
      </c>
      <c r="B1258">
        <v>2015</v>
      </c>
      <c r="C1258" s="14">
        <v>4140</v>
      </c>
      <c r="D1258" s="14">
        <v>41.333333333333329</v>
      </c>
      <c r="E1258" s="14">
        <v>408.66666666666663</v>
      </c>
      <c r="F1258" s="14">
        <v>5.333333333333333</v>
      </c>
      <c r="G1258" s="14">
        <v>999.33333333333326</v>
      </c>
      <c r="H1258" s="14">
        <v>213.33333333333331</v>
      </c>
      <c r="I1258" s="14">
        <v>371.33333333333331</v>
      </c>
      <c r="K1258" s="15"/>
    </row>
    <row r="1259" spans="1:11" ht="16.5" x14ac:dyDescent="0.2">
      <c r="A1259" s="4" t="s">
        <v>196</v>
      </c>
      <c r="B1259">
        <v>2016</v>
      </c>
      <c r="C1259" s="14">
        <v>4162.6666666666661</v>
      </c>
      <c r="D1259" s="14">
        <v>39.333333333333336</v>
      </c>
      <c r="E1259" s="14">
        <v>384.66666666666663</v>
      </c>
      <c r="F1259" s="14">
        <v>5.333333333333333</v>
      </c>
      <c r="G1259" s="14">
        <v>1016.6666666666666</v>
      </c>
      <c r="H1259" s="14">
        <v>212.66666666666663</v>
      </c>
      <c r="I1259" s="14">
        <v>357.33333333333331</v>
      </c>
    </row>
    <row r="1260" spans="1:11" ht="16.5" x14ac:dyDescent="0.2">
      <c r="A1260" s="4" t="s">
        <v>195</v>
      </c>
      <c r="B1260">
        <v>2009</v>
      </c>
      <c r="C1260" s="14">
        <v>4350.6666666666661</v>
      </c>
      <c r="D1260" s="14">
        <v>137.99999999999997</v>
      </c>
      <c r="E1260" s="14">
        <v>6423.333333333333</v>
      </c>
      <c r="F1260" s="14">
        <v>1390.6666666666665</v>
      </c>
      <c r="G1260" s="14">
        <v>1299.9999999999998</v>
      </c>
      <c r="H1260" s="14">
        <v>229.33333333333331</v>
      </c>
      <c r="I1260" s="14">
        <v>617.33333333333326</v>
      </c>
    </row>
    <row r="1261" spans="1:11" ht="16.5" x14ac:dyDescent="0.2">
      <c r="A1261" s="4" t="s">
        <v>195</v>
      </c>
      <c r="B1261">
        <v>2010</v>
      </c>
      <c r="C1261" s="14">
        <v>4340.6666666666661</v>
      </c>
      <c r="D1261" s="14">
        <v>136.66666666666666</v>
      </c>
      <c r="E1261" s="14">
        <v>6413.333333333333</v>
      </c>
      <c r="F1261" s="14">
        <v>1382.6666666666665</v>
      </c>
      <c r="G1261" s="14">
        <v>1326</v>
      </c>
      <c r="H1261" s="14">
        <v>238.66666666666663</v>
      </c>
      <c r="I1261" s="14">
        <v>614.66666666666663</v>
      </c>
      <c r="K1261" s="15"/>
    </row>
    <row r="1262" spans="1:11" ht="16.5" x14ac:dyDescent="0.2">
      <c r="A1262" s="4" t="s">
        <v>195</v>
      </c>
      <c r="B1262">
        <v>2011</v>
      </c>
      <c r="C1262" s="14">
        <v>4331.333333333333</v>
      </c>
      <c r="D1262" s="14">
        <v>133.33333333333331</v>
      </c>
      <c r="E1262" s="14">
        <v>6404.6666666666661</v>
      </c>
      <c r="F1262" s="14">
        <v>1366.6666666666665</v>
      </c>
      <c r="G1262" s="14">
        <v>1358</v>
      </c>
      <c r="H1262" s="14">
        <v>251.99999999999997</v>
      </c>
      <c r="I1262" s="14">
        <v>606.66666666666663</v>
      </c>
    </row>
    <row r="1263" spans="1:11" ht="16.5" x14ac:dyDescent="0.2">
      <c r="A1263" s="4" t="s">
        <v>195</v>
      </c>
      <c r="B1263">
        <v>2012</v>
      </c>
      <c r="C1263" s="14">
        <v>4325.9999999999991</v>
      </c>
      <c r="D1263" s="14">
        <v>130.66666666666666</v>
      </c>
      <c r="E1263" s="14">
        <v>6399.9999999999991</v>
      </c>
      <c r="F1263" s="14">
        <v>1356.6666666666665</v>
      </c>
      <c r="G1263" s="14">
        <v>1381.9999999999998</v>
      </c>
      <c r="H1263" s="14">
        <v>255.33333333333329</v>
      </c>
      <c r="I1263" s="14">
        <v>603.33333333333326</v>
      </c>
      <c r="K1263" s="15"/>
    </row>
    <row r="1264" spans="1:11" ht="16.5" x14ac:dyDescent="0.2">
      <c r="A1264" s="4" t="s">
        <v>195</v>
      </c>
      <c r="B1264">
        <v>2013</v>
      </c>
      <c r="C1264" s="14">
        <v>4325.9999999999991</v>
      </c>
      <c r="D1264" s="14">
        <v>128.66666666666666</v>
      </c>
      <c r="E1264" s="14">
        <v>6397.333333333333</v>
      </c>
      <c r="F1264" s="14">
        <v>1347.3333333333333</v>
      </c>
      <c r="G1264" s="14">
        <v>1397.9999999999998</v>
      </c>
      <c r="H1264" s="14">
        <v>258</v>
      </c>
      <c r="I1264" s="14">
        <v>597.33333333333326</v>
      </c>
    </row>
    <row r="1265" spans="1:11" ht="16.5" x14ac:dyDescent="0.2">
      <c r="A1265" s="4" t="s">
        <v>195</v>
      </c>
      <c r="B1265">
        <v>2014</v>
      </c>
      <c r="C1265" s="14">
        <v>4317.333333333333</v>
      </c>
      <c r="D1265" s="14">
        <v>127.99999999999999</v>
      </c>
      <c r="E1265" s="14">
        <v>6392.6666666666661</v>
      </c>
      <c r="F1265" s="14">
        <v>1336</v>
      </c>
      <c r="G1265" s="14">
        <v>1419.3333333333333</v>
      </c>
      <c r="H1265" s="14">
        <v>263.33333333333331</v>
      </c>
      <c r="I1265" s="14">
        <v>593.99999999999989</v>
      </c>
    </row>
    <row r="1266" spans="1:11" ht="16.5" x14ac:dyDescent="0.2">
      <c r="A1266" s="4" t="s">
        <v>195</v>
      </c>
      <c r="B1266">
        <v>2015</v>
      </c>
      <c r="C1266" s="14">
        <v>4309.333333333333</v>
      </c>
      <c r="D1266" s="14">
        <v>126.66666666666666</v>
      </c>
      <c r="E1266" s="14">
        <v>6390.6666666666661</v>
      </c>
      <c r="F1266" s="14">
        <v>1327.9999999999998</v>
      </c>
      <c r="G1266" s="14">
        <v>1438.6666666666665</v>
      </c>
      <c r="H1266" s="14">
        <v>265.33333333333331</v>
      </c>
      <c r="I1266" s="14">
        <v>590</v>
      </c>
      <c r="K1266" s="15"/>
    </row>
    <row r="1267" spans="1:11" ht="16.5" x14ac:dyDescent="0.2">
      <c r="A1267" s="4" t="s">
        <v>195</v>
      </c>
      <c r="B1267">
        <v>2016</v>
      </c>
      <c r="C1267" s="14">
        <v>4308</v>
      </c>
      <c r="D1267" s="14">
        <v>120.66666666666667</v>
      </c>
      <c r="E1267" s="14">
        <v>6388.6666666666661</v>
      </c>
      <c r="F1267" s="14">
        <v>1322.6666666666665</v>
      </c>
      <c r="G1267" s="14">
        <v>1454</v>
      </c>
      <c r="H1267" s="14">
        <v>268.66666666666663</v>
      </c>
      <c r="I1267" s="14">
        <v>584.66666666666663</v>
      </c>
    </row>
    <row r="1268" spans="1:11" ht="16.5" x14ac:dyDescent="0.2">
      <c r="A1268" s="4" t="s">
        <v>194</v>
      </c>
      <c r="B1268">
        <v>2009</v>
      </c>
      <c r="C1268" s="14">
        <v>3236.6666666666665</v>
      </c>
      <c r="D1268" s="14">
        <v>31.999999999999996</v>
      </c>
      <c r="E1268" s="14">
        <v>1816.6666666666665</v>
      </c>
      <c r="F1268" s="14">
        <v>841.99999999999989</v>
      </c>
      <c r="G1268" s="14">
        <v>902.6666666666664</v>
      </c>
      <c r="H1268" s="14">
        <v>201.33333333333331</v>
      </c>
      <c r="I1268" s="14">
        <v>526</v>
      </c>
      <c r="K1268" s="15"/>
    </row>
    <row r="1269" spans="1:11" ht="16.5" x14ac:dyDescent="0.2">
      <c r="A1269" s="4" t="s">
        <v>194</v>
      </c>
      <c r="B1269">
        <v>2010</v>
      </c>
      <c r="C1269" s="14">
        <v>3219.9999999999995</v>
      </c>
      <c r="D1269" s="14">
        <v>31.333333333333332</v>
      </c>
      <c r="E1269" s="14">
        <v>1814.6666666666665</v>
      </c>
      <c r="F1269" s="14">
        <v>838</v>
      </c>
      <c r="G1269" s="14">
        <v>915.33333333333337</v>
      </c>
      <c r="H1269" s="14">
        <v>202</v>
      </c>
      <c r="I1269" s="14">
        <v>538.66666666666663</v>
      </c>
    </row>
    <row r="1270" spans="1:11" ht="16.5" x14ac:dyDescent="0.2">
      <c r="A1270" s="4" t="s">
        <v>194</v>
      </c>
      <c r="B1270">
        <v>2011</v>
      </c>
      <c r="C1270" s="14">
        <v>3215.9999999999995</v>
      </c>
      <c r="D1270" s="14">
        <v>30.666666666666661</v>
      </c>
      <c r="E1270" s="14">
        <v>1810.6666666666667</v>
      </c>
      <c r="F1270" s="14">
        <v>829.33333333333326</v>
      </c>
      <c r="G1270" s="14">
        <v>932.66666666666663</v>
      </c>
      <c r="H1270" s="14">
        <v>204.66666666666666</v>
      </c>
      <c r="I1270" s="14">
        <v>537.33333333333326</v>
      </c>
    </row>
    <row r="1271" spans="1:11" ht="16.5" x14ac:dyDescent="0.2">
      <c r="A1271" s="4" t="s">
        <v>194</v>
      </c>
      <c r="B1271">
        <v>2012</v>
      </c>
      <c r="C1271" s="14">
        <v>3217.9999999999995</v>
      </c>
      <c r="D1271" s="14">
        <v>30.666666666666661</v>
      </c>
      <c r="E1271" s="14">
        <v>1807.9999999999998</v>
      </c>
      <c r="F1271" s="14">
        <v>821.33333333333326</v>
      </c>
      <c r="G1271" s="14">
        <v>944.00000000000011</v>
      </c>
      <c r="H1271" s="14">
        <v>205.99999999999997</v>
      </c>
      <c r="I1271" s="14">
        <v>537.33333333333326</v>
      </c>
      <c r="K1271" s="15"/>
    </row>
    <row r="1272" spans="1:11" ht="16.5" x14ac:dyDescent="0.2">
      <c r="A1272" s="4" t="s">
        <v>194</v>
      </c>
      <c r="B1272">
        <v>2013</v>
      </c>
      <c r="C1272" s="14">
        <v>3217.333333333333</v>
      </c>
      <c r="D1272" s="14">
        <v>30.666666666666661</v>
      </c>
      <c r="E1272" s="14">
        <v>1805.9999999999998</v>
      </c>
      <c r="F1272" s="14">
        <v>817.33333333333326</v>
      </c>
      <c r="G1272" s="14">
        <v>951.33333333333314</v>
      </c>
      <c r="H1272" s="14">
        <v>207.99999999999997</v>
      </c>
      <c r="I1272" s="14">
        <v>536.66666666666663</v>
      </c>
    </row>
    <row r="1273" spans="1:11" ht="16.5" x14ac:dyDescent="0.2">
      <c r="A1273" s="4" t="s">
        <v>194</v>
      </c>
      <c r="B1273">
        <v>2014</v>
      </c>
      <c r="C1273" s="14">
        <v>3199.333333333333</v>
      </c>
      <c r="D1273" s="14">
        <v>29.999999999999996</v>
      </c>
      <c r="E1273" s="14">
        <v>1804</v>
      </c>
      <c r="F1273" s="14">
        <v>813.33333333333326</v>
      </c>
      <c r="G1273" s="14">
        <v>977.99999999999989</v>
      </c>
      <c r="H1273" s="14">
        <v>212</v>
      </c>
      <c r="I1273" s="14">
        <v>535.33333333333326</v>
      </c>
      <c r="K1273" s="15"/>
    </row>
    <row r="1274" spans="1:11" ht="16.5" x14ac:dyDescent="0.2">
      <c r="A1274" s="4" t="s">
        <v>194</v>
      </c>
      <c r="B1274">
        <v>2015</v>
      </c>
      <c r="C1274" s="14">
        <v>3195.333333333333</v>
      </c>
      <c r="D1274" s="14">
        <v>29.999999999999996</v>
      </c>
      <c r="E1274" s="14">
        <v>1802</v>
      </c>
      <c r="F1274" s="14">
        <v>806.66666666666663</v>
      </c>
      <c r="G1274" s="14">
        <v>992.66666666666663</v>
      </c>
      <c r="H1274" s="14">
        <v>213.33333333333331</v>
      </c>
      <c r="I1274" s="14">
        <v>534.66666666666663</v>
      </c>
    </row>
    <row r="1275" spans="1:11" ht="16.5" x14ac:dyDescent="0.2">
      <c r="A1275" s="4" t="s">
        <v>194</v>
      </c>
      <c r="B1275">
        <v>2016</v>
      </c>
      <c r="C1275" s="14">
        <v>3204</v>
      </c>
      <c r="D1275" s="14">
        <v>29.333333333333332</v>
      </c>
      <c r="E1275" s="14">
        <v>1800.6666666666667</v>
      </c>
      <c r="F1275" s="14">
        <v>799.33333333333326</v>
      </c>
      <c r="G1275" s="14">
        <v>1006.6666666666667</v>
      </c>
      <c r="H1275" s="14">
        <v>212.66666666666663</v>
      </c>
      <c r="I1275" s="14">
        <v>533.33333333333326</v>
      </c>
    </row>
    <row r="1276" spans="1:11" ht="16.5" x14ac:dyDescent="0.2">
      <c r="A1276" s="4" t="s">
        <v>193</v>
      </c>
      <c r="B1276">
        <v>2009</v>
      </c>
      <c r="C1276" s="14">
        <v>4114</v>
      </c>
      <c r="D1276" s="14">
        <v>58.666666666666664</v>
      </c>
      <c r="E1276" s="14">
        <v>699.33333333333326</v>
      </c>
      <c r="F1276" s="14">
        <v>358</v>
      </c>
      <c r="G1276" s="14">
        <v>1013.3333333333333</v>
      </c>
      <c r="H1276" s="14">
        <v>197.33333333333331</v>
      </c>
      <c r="I1276" s="14">
        <v>214.66666666666666</v>
      </c>
      <c r="K1276" s="15"/>
    </row>
    <row r="1277" spans="1:11" ht="16.5" x14ac:dyDescent="0.2">
      <c r="A1277" s="4" t="s">
        <v>193</v>
      </c>
      <c r="B1277">
        <v>2010</v>
      </c>
      <c r="C1277" s="14">
        <v>4101.333333333333</v>
      </c>
      <c r="D1277" s="14">
        <v>57.333333333333329</v>
      </c>
      <c r="E1277" s="14">
        <v>696.66666666666663</v>
      </c>
      <c r="F1277" s="14">
        <v>356.66666666666663</v>
      </c>
      <c r="G1277" s="14">
        <v>1033.9999999999998</v>
      </c>
      <c r="H1277" s="14">
        <v>203.33333333333331</v>
      </c>
      <c r="I1277" s="14">
        <v>214</v>
      </c>
    </row>
    <row r="1278" spans="1:11" ht="16.5" x14ac:dyDescent="0.2">
      <c r="A1278" s="4" t="s">
        <v>193</v>
      </c>
      <c r="B1278">
        <v>2011</v>
      </c>
      <c r="C1278" s="14">
        <v>4097.333333333333</v>
      </c>
      <c r="D1278" s="14">
        <v>51.333333333333329</v>
      </c>
      <c r="E1278" s="14">
        <v>688.66666666666663</v>
      </c>
      <c r="F1278" s="14">
        <v>354.66666666666663</v>
      </c>
      <c r="G1278" s="14">
        <v>1056</v>
      </c>
      <c r="H1278" s="14">
        <v>207.99999999999997</v>
      </c>
      <c r="I1278" s="14">
        <v>212.66666666666663</v>
      </c>
      <c r="K1278" s="15"/>
    </row>
    <row r="1279" spans="1:11" ht="16.5" x14ac:dyDescent="0.2">
      <c r="A1279" s="4" t="s">
        <v>193</v>
      </c>
      <c r="B1279">
        <v>2012</v>
      </c>
      <c r="C1279" s="14">
        <v>4100</v>
      </c>
      <c r="D1279" s="14">
        <v>49.999999999999993</v>
      </c>
      <c r="E1279" s="14">
        <v>682.66666666666663</v>
      </c>
      <c r="F1279" s="14">
        <v>348</v>
      </c>
      <c r="G1279" s="14">
        <v>1074</v>
      </c>
      <c r="H1279" s="14">
        <v>211.33333333333331</v>
      </c>
      <c r="I1279" s="14">
        <v>212.66666666666663</v>
      </c>
    </row>
    <row r="1280" spans="1:11" ht="16.5" x14ac:dyDescent="0.2">
      <c r="A1280" s="4" t="s">
        <v>193</v>
      </c>
      <c r="B1280">
        <v>2013</v>
      </c>
      <c r="C1280" s="14">
        <v>4098.6666666666661</v>
      </c>
      <c r="D1280" s="14">
        <v>49.333333333333329</v>
      </c>
      <c r="E1280" s="14">
        <v>677.33333333333326</v>
      </c>
      <c r="F1280" s="14">
        <v>346.66666666666663</v>
      </c>
      <c r="G1280" s="14">
        <v>1082.6666666666665</v>
      </c>
      <c r="H1280" s="14">
        <v>217.33333333333331</v>
      </c>
      <c r="I1280" s="14">
        <v>212.66666666666663</v>
      </c>
    </row>
    <row r="1281" spans="1:11" ht="16.5" x14ac:dyDescent="0.2">
      <c r="A1281" s="4" t="s">
        <v>193</v>
      </c>
      <c r="B1281">
        <v>2014</v>
      </c>
      <c r="C1281" s="14">
        <v>4085.9999999999995</v>
      </c>
      <c r="D1281" s="14">
        <v>49.333333333333329</v>
      </c>
      <c r="E1281" s="14">
        <v>675.33333333333326</v>
      </c>
      <c r="F1281" s="14">
        <v>344</v>
      </c>
      <c r="G1281" s="14">
        <v>1097.9999999999998</v>
      </c>
      <c r="H1281" s="14">
        <v>218.66666666666663</v>
      </c>
      <c r="I1281" s="14">
        <v>212</v>
      </c>
      <c r="K1281" s="15"/>
    </row>
    <row r="1282" spans="1:11" ht="16.5" x14ac:dyDescent="0.2">
      <c r="A1282" s="4" t="s">
        <v>193</v>
      </c>
      <c r="B1282">
        <v>2015</v>
      </c>
      <c r="C1282" s="14">
        <v>4078</v>
      </c>
      <c r="D1282" s="14">
        <v>48.666666666666664</v>
      </c>
      <c r="E1282" s="14">
        <v>674.66666666666663</v>
      </c>
      <c r="F1282" s="14">
        <v>344</v>
      </c>
      <c r="G1282" s="14">
        <v>1104.6666666666665</v>
      </c>
      <c r="H1282" s="14">
        <v>223.33333333333331</v>
      </c>
      <c r="I1282" s="14">
        <v>212</v>
      </c>
    </row>
    <row r="1283" spans="1:11" ht="16.5" x14ac:dyDescent="0.2">
      <c r="A1283" s="4" t="s">
        <v>193</v>
      </c>
      <c r="B1283">
        <v>2016</v>
      </c>
      <c r="C1283" s="14">
        <v>4071.3333333333335</v>
      </c>
      <c r="D1283" s="14">
        <v>48.666666666666664</v>
      </c>
      <c r="E1283" s="14">
        <v>668</v>
      </c>
      <c r="F1283" s="14">
        <v>341.33333333333331</v>
      </c>
      <c r="G1283" s="14">
        <v>1120.6666666666667</v>
      </c>
      <c r="H1283" s="14">
        <v>225.33333333333329</v>
      </c>
      <c r="I1283" s="14">
        <v>211.33333333333331</v>
      </c>
      <c r="K1283" s="15"/>
    </row>
    <row r="1284" spans="1:11" ht="16.5" x14ac:dyDescent="0.2">
      <c r="A1284" s="4" t="s">
        <v>192</v>
      </c>
      <c r="B1284">
        <v>2009</v>
      </c>
      <c r="C1284" s="14">
        <v>1243.9999999999998</v>
      </c>
      <c r="D1284" s="14">
        <v>13.333333333333332</v>
      </c>
      <c r="E1284" s="14">
        <v>106.66666666666666</v>
      </c>
      <c r="F1284" s="14">
        <v>21.999999999999996</v>
      </c>
      <c r="G1284" s="14">
        <v>277.33333333333326</v>
      </c>
      <c r="H1284" s="14">
        <v>59.333333333333329</v>
      </c>
      <c r="I1284" s="14">
        <v>84.666666666666657</v>
      </c>
    </row>
    <row r="1285" spans="1:11" ht="16.5" x14ac:dyDescent="0.2">
      <c r="A1285" s="4" t="s">
        <v>192</v>
      </c>
      <c r="B1285">
        <v>2010</v>
      </c>
      <c r="C1285" s="14">
        <v>1233.9999999999998</v>
      </c>
      <c r="D1285" s="14">
        <v>13.333333333333332</v>
      </c>
      <c r="E1285" s="14">
        <v>106.66666666666666</v>
      </c>
      <c r="F1285" s="14">
        <v>21.333333333333332</v>
      </c>
      <c r="G1285" s="14">
        <v>287.33333333333326</v>
      </c>
      <c r="H1285" s="14">
        <v>59.999999999999993</v>
      </c>
      <c r="I1285" s="14">
        <v>84.666666666666657</v>
      </c>
    </row>
    <row r="1286" spans="1:11" ht="16.5" x14ac:dyDescent="0.2">
      <c r="A1286" s="4" t="s">
        <v>192</v>
      </c>
      <c r="B1286">
        <v>2011</v>
      </c>
      <c r="C1286" s="14">
        <v>1225.3333333333333</v>
      </c>
      <c r="D1286" s="14">
        <v>13.333333333333332</v>
      </c>
      <c r="E1286" s="14">
        <v>105.33333333333333</v>
      </c>
      <c r="F1286" s="14">
        <v>21.333333333333332</v>
      </c>
      <c r="G1286" s="14">
        <v>297.33333333333326</v>
      </c>
      <c r="H1286" s="14">
        <v>61.333333333333321</v>
      </c>
      <c r="I1286" s="14">
        <v>84.666666666666657</v>
      </c>
      <c r="K1286" s="15"/>
    </row>
    <row r="1287" spans="1:11" ht="16.5" x14ac:dyDescent="0.2">
      <c r="A1287" s="4" t="s">
        <v>192</v>
      </c>
      <c r="B1287">
        <v>2012</v>
      </c>
      <c r="C1287" s="14">
        <v>1217.9999999999998</v>
      </c>
      <c r="D1287" s="14">
        <v>13.333333333333332</v>
      </c>
      <c r="E1287" s="14">
        <v>105.33333333333333</v>
      </c>
      <c r="F1287" s="14">
        <v>21.333333333333332</v>
      </c>
      <c r="G1287" s="14">
        <v>303.33333333333331</v>
      </c>
      <c r="H1287" s="14">
        <v>63.333333333333329</v>
      </c>
      <c r="I1287" s="14">
        <v>84.666666666666657</v>
      </c>
    </row>
    <row r="1288" spans="1:11" ht="16.5" x14ac:dyDescent="0.2">
      <c r="A1288" s="4" t="s">
        <v>192</v>
      </c>
      <c r="B1288">
        <v>2013</v>
      </c>
      <c r="C1288" s="14">
        <v>1206</v>
      </c>
      <c r="D1288" s="14">
        <v>12.666666666666664</v>
      </c>
      <c r="E1288" s="14">
        <v>103.33333333333333</v>
      </c>
      <c r="F1288" s="14">
        <v>21.333333333333332</v>
      </c>
      <c r="G1288" s="14">
        <v>314.66666666666669</v>
      </c>
      <c r="H1288" s="14">
        <v>66</v>
      </c>
      <c r="I1288" s="14">
        <v>84.666666666666657</v>
      </c>
      <c r="K1288" s="15"/>
    </row>
    <row r="1289" spans="1:11" ht="16.5" x14ac:dyDescent="0.2">
      <c r="A1289" s="4" t="s">
        <v>192</v>
      </c>
      <c r="B1289">
        <v>2014</v>
      </c>
      <c r="C1289" s="14">
        <v>1193.9999999999998</v>
      </c>
      <c r="D1289" s="14">
        <v>12.666666666666664</v>
      </c>
      <c r="E1289" s="14">
        <v>102.66666666666666</v>
      </c>
      <c r="F1289" s="14">
        <v>21.333333333333332</v>
      </c>
      <c r="G1289" s="14">
        <v>324</v>
      </c>
      <c r="H1289" s="14">
        <v>69.333333333333329</v>
      </c>
      <c r="I1289" s="14">
        <v>83.999999999999986</v>
      </c>
    </row>
    <row r="1290" spans="1:11" ht="16.5" x14ac:dyDescent="0.2">
      <c r="A1290" s="4" t="s">
        <v>192</v>
      </c>
      <c r="B1290">
        <v>2015</v>
      </c>
      <c r="C1290" s="14">
        <v>1196.6666666666665</v>
      </c>
      <c r="D1290" s="14">
        <v>12.666666666666664</v>
      </c>
      <c r="E1290" s="14">
        <v>102.66666666666666</v>
      </c>
      <c r="F1290" s="14">
        <v>17.333333333333332</v>
      </c>
      <c r="G1290" s="14">
        <v>327.33333333333331</v>
      </c>
      <c r="H1290" s="14">
        <v>69.333333333333329</v>
      </c>
      <c r="I1290" s="14">
        <v>80.666666666666657</v>
      </c>
    </row>
    <row r="1291" spans="1:11" ht="16.5" x14ac:dyDescent="0.2">
      <c r="A1291" s="4" t="s">
        <v>192</v>
      </c>
      <c r="B1291">
        <v>2016</v>
      </c>
      <c r="C1291" s="14">
        <v>1196</v>
      </c>
      <c r="D1291" s="14">
        <v>12.666666666666664</v>
      </c>
      <c r="E1291" s="14">
        <v>102</v>
      </c>
      <c r="F1291" s="14">
        <v>16.666666666666664</v>
      </c>
      <c r="G1291" s="14">
        <v>334.66666666666663</v>
      </c>
      <c r="H1291" s="14">
        <v>67.999999999999986</v>
      </c>
      <c r="I1291" s="14">
        <v>77.333333333333329</v>
      </c>
      <c r="K1291" s="15"/>
    </row>
    <row r="1292" spans="1:11" ht="16.5" x14ac:dyDescent="0.2">
      <c r="A1292" s="4" t="s">
        <v>191</v>
      </c>
      <c r="B1292">
        <v>2009</v>
      </c>
      <c r="C1292" s="14">
        <v>4753.333333333333</v>
      </c>
      <c r="D1292" s="14">
        <v>67.333333333333329</v>
      </c>
      <c r="E1292" s="14">
        <v>937.33333333333326</v>
      </c>
      <c r="F1292" s="14">
        <v>58.666666666666664</v>
      </c>
      <c r="G1292" s="14">
        <v>1193.9999999999998</v>
      </c>
      <c r="H1292" s="14">
        <v>286.66666666666663</v>
      </c>
      <c r="I1292" s="14">
        <v>642.66666666666663</v>
      </c>
    </row>
    <row r="1293" spans="1:11" ht="16.5" x14ac:dyDescent="0.2">
      <c r="A1293" s="4" t="s">
        <v>191</v>
      </c>
      <c r="B1293">
        <v>2010</v>
      </c>
      <c r="C1293" s="14">
        <v>4751.9999999999991</v>
      </c>
      <c r="D1293" s="14">
        <v>66.666666666666657</v>
      </c>
      <c r="E1293" s="14">
        <v>936</v>
      </c>
      <c r="F1293" s="14">
        <v>57.333333333333329</v>
      </c>
      <c r="G1293" s="14">
        <v>1209.3333333333333</v>
      </c>
      <c r="H1293" s="14">
        <v>288.66666666666663</v>
      </c>
      <c r="I1293" s="14">
        <v>634.66666666666663</v>
      </c>
      <c r="K1293" s="15"/>
    </row>
    <row r="1294" spans="1:11" ht="16.5" x14ac:dyDescent="0.2">
      <c r="A1294" s="4" t="s">
        <v>191</v>
      </c>
      <c r="B1294">
        <v>2011</v>
      </c>
      <c r="C1294" s="14">
        <v>4748.6666666666661</v>
      </c>
      <c r="D1294" s="14">
        <v>64.666666666666657</v>
      </c>
      <c r="E1294" s="14">
        <v>934.66666666666652</v>
      </c>
      <c r="F1294" s="14">
        <v>54.666666666666657</v>
      </c>
      <c r="G1294" s="14">
        <v>1231.3333333333333</v>
      </c>
      <c r="H1294" s="14">
        <v>293.33333333333331</v>
      </c>
      <c r="I1294" s="14">
        <v>628</v>
      </c>
    </row>
    <row r="1295" spans="1:11" ht="16.5" x14ac:dyDescent="0.2">
      <c r="A1295" s="4" t="s">
        <v>191</v>
      </c>
      <c r="B1295">
        <v>2012</v>
      </c>
      <c r="C1295" s="14">
        <v>4755.333333333333</v>
      </c>
      <c r="D1295" s="14">
        <v>58.666666666666664</v>
      </c>
      <c r="E1295" s="14">
        <v>927.99999999999989</v>
      </c>
      <c r="F1295" s="14">
        <v>53.999999999999993</v>
      </c>
      <c r="G1295" s="14">
        <v>1245.9999999999998</v>
      </c>
      <c r="H1295" s="14">
        <v>294.66666666666669</v>
      </c>
      <c r="I1295" s="14">
        <v>631.33333333333326</v>
      </c>
    </row>
    <row r="1296" spans="1:11" ht="16.5" x14ac:dyDescent="0.2">
      <c r="A1296" s="4" t="s">
        <v>191</v>
      </c>
      <c r="B1296">
        <v>2013</v>
      </c>
      <c r="C1296" s="14">
        <v>4754</v>
      </c>
      <c r="D1296" s="14">
        <v>58.666666666666664</v>
      </c>
      <c r="E1296" s="14">
        <v>926.66666666666663</v>
      </c>
      <c r="F1296" s="14">
        <v>50.666666666666657</v>
      </c>
      <c r="G1296" s="14">
        <v>1263.9999999999998</v>
      </c>
      <c r="H1296" s="14">
        <v>296.66666666666663</v>
      </c>
      <c r="I1296" s="14">
        <v>629.33333333333337</v>
      </c>
      <c r="K1296" s="15"/>
    </row>
    <row r="1297" spans="1:11" ht="16.5" x14ac:dyDescent="0.2">
      <c r="A1297" s="4" t="s">
        <v>191</v>
      </c>
      <c r="B1297">
        <v>2014</v>
      </c>
      <c r="C1297" s="14">
        <v>4738</v>
      </c>
      <c r="D1297" s="14">
        <v>57.999999999999993</v>
      </c>
      <c r="E1297" s="14">
        <v>925.33333333333337</v>
      </c>
      <c r="F1297" s="14">
        <v>50.666666666666657</v>
      </c>
      <c r="G1297" s="14">
        <v>1282.6666666666665</v>
      </c>
      <c r="H1297" s="14">
        <v>298.66666666666663</v>
      </c>
      <c r="I1297" s="14">
        <v>625.33333333333326</v>
      </c>
    </row>
    <row r="1298" spans="1:11" ht="16.5" x14ac:dyDescent="0.2">
      <c r="A1298" s="4" t="s">
        <v>191</v>
      </c>
      <c r="B1298">
        <v>2015</v>
      </c>
      <c r="C1298" s="14">
        <v>4730.6666666666661</v>
      </c>
      <c r="D1298" s="14">
        <v>56.666666666666664</v>
      </c>
      <c r="E1298" s="14">
        <v>924.66666666666652</v>
      </c>
      <c r="F1298" s="14">
        <v>48.666666666666664</v>
      </c>
      <c r="G1298" s="14">
        <v>1301.9999999999998</v>
      </c>
      <c r="H1298" s="14">
        <v>300</v>
      </c>
      <c r="I1298" s="14">
        <v>623.33333333333326</v>
      </c>
      <c r="K1298" s="15"/>
    </row>
    <row r="1299" spans="1:11" ht="16.5" x14ac:dyDescent="0.2">
      <c r="A1299" s="4" t="s">
        <v>191</v>
      </c>
      <c r="B1299">
        <v>2016</v>
      </c>
      <c r="C1299" s="14">
        <v>4728</v>
      </c>
      <c r="D1299" s="14">
        <v>56.666666666666664</v>
      </c>
      <c r="E1299" s="14">
        <v>923.33333333333326</v>
      </c>
      <c r="F1299" s="14">
        <v>47.333333333333329</v>
      </c>
      <c r="G1299" s="14">
        <v>1321.9999999999998</v>
      </c>
      <c r="H1299" s="14">
        <v>297.33333333333331</v>
      </c>
      <c r="I1299" s="14">
        <v>616</v>
      </c>
    </row>
    <row r="1300" spans="1:11" ht="16.5" x14ac:dyDescent="0.2">
      <c r="A1300" s="4" t="s">
        <v>190</v>
      </c>
      <c r="B1300">
        <v>2009</v>
      </c>
      <c r="C1300" s="14">
        <v>1955.9999999999998</v>
      </c>
      <c r="D1300" s="14">
        <v>39.333333333333336</v>
      </c>
      <c r="E1300" s="14">
        <v>621.33333333333326</v>
      </c>
      <c r="F1300" s="14">
        <v>111.33333333333331</v>
      </c>
      <c r="G1300" s="14">
        <v>679.33333333333326</v>
      </c>
      <c r="H1300" s="14">
        <v>127.99999999999999</v>
      </c>
      <c r="I1300" s="14">
        <v>358</v>
      </c>
    </row>
    <row r="1301" spans="1:11" ht="16.5" x14ac:dyDescent="0.2">
      <c r="A1301" s="4" t="s">
        <v>190</v>
      </c>
      <c r="B1301">
        <v>2010</v>
      </c>
      <c r="C1301" s="14">
        <v>1964.6666666666665</v>
      </c>
      <c r="D1301" s="14">
        <v>38.666666666666664</v>
      </c>
      <c r="E1301" s="14">
        <v>620.66666666666663</v>
      </c>
      <c r="F1301" s="14">
        <v>110.66666666666667</v>
      </c>
      <c r="G1301" s="14">
        <v>691.99999999999989</v>
      </c>
      <c r="H1301" s="14">
        <v>132</v>
      </c>
      <c r="I1301" s="14">
        <v>334</v>
      </c>
      <c r="K1301" s="15"/>
    </row>
    <row r="1302" spans="1:11" ht="16.5" x14ac:dyDescent="0.2">
      <c r="A1302" s="4" t="s">
        <v>190</v>
      </c>
      <c r="B1302">
        <v>2011</v>
      </c>
      <c r="C1302" s="14">
        <v>1952.6666666666663</v>
      </c>
      <c r="D1302" s="14">
        <v>38</v>
      </c>
      <c r="E1302" s="14">
        <v>620</v>
      </c>
      <c r="F1302" s="14">
        <v>109.99999999999999</v>
      </c>
      <c r="G1302" s="14">
        <v>711.33333333333326</v>
      </c>
      <c r="H1302" s="14">
        <v>134</v>
      </c>
      <c r="I1302" s="14">
        <v>325.33333333333326</v>
      </c>
    </row>
    <row r="1303" spans="1:11" ht="16.5" x14ac:dyDescent="0.2">
      <c r="A1303" s="4" t="s">
        <v>190</v>
      </c>
      <c r="B1303">
        <v>2012</v>
      </c>
      <c r="C1303" s="14">
        <v>1956.6666666666665</v>
      </c>
      <c r="D1303" s="14">
        <v>38</v>
      </c>
      <c r="E1303" s="14">
        <v>615.33333333333326</v>
      </c>
      <c r="F1303" s="14">
        <v>109.33333333333331</v>
      </c>
      <c r="G1303" s="14">
        <v>724.66666666666663</v>
      </c>
      <c r="H1303" s="14">
        <v>135.33333333333331</v>
      </c>
      <c r="I1303" s="14">
        <v>310</v>
      </c>
      <c r="K1303" s="15"/>
    </row>
    <row r="1304" spans="1:11" ht="16.5" x14ac:dyDescent="0.2">
      <c r="A1304" s="4" t="s">
        <v>190</v>
      </c>
      <c r="B1304">
        <v>2013</v>
      </c>
      <c r="C1304" s="14">
        <v>1953.3333333333333</v>
      </c>
      <c r="D1304" s="14">
        <v>38.666666666666664</v>
      </c>
      <c r="E1304" s="14">
        <v>613.99999999999989</v>
      </c>
      <c r="F1304" s="14">
        <v>109.33333333333331</v>
      </c>
      <c r="G1304" s="14">
        <v>735.33333333333337</v>
      </c>
      <c r="H1304" s="14">
        <v>137.99999999999997</v>
      </c>
      <c r="I1304" s="14">
        <v>300.66666666666663</v>
      </c>
    </row>
    <row r="1305" spans="1:11" ht="16.5" x14ac:dyDescent="0.2">
      <c r="A1305" s="4" t="s">
        <v>190</v>
      </c>
      <c r="B1305">
        <v>2014</v>
      </c>
      <c r="C1305" s="14">
        <v>1946.6666666666665</v>
      </c>
      <c r="D1305" s="14">
        <v>38</v>
      </c>
      <c r="E1305" s="14">
        <v>611.33333333333326</v>
      </c>
      <c r="F1305" s="14">
        <v>109.33333333333331</v>
      </c>
      <c r="G1305" s="14">
        <v>748.66666666666663</v>
      </c>
      <c r="H1305" s="14">
        <v>141.33333333333331</v>
      </c>
      <c r="I1305" s="14">
        <v>290</v>
      </c>
    </row>
    <row r="1306" spans="1:11" ht="16.5" x14ac:dyDescent="0.2">
      <c r="A1306" s="4" t="s">
        <v>190</v>
      </c>
      <c r="B1306">
        <v>2015</v>
      </c>
      <c r="C1306" s="14">
        <v>1948.6666666666665</v>
      </c>
      <c r="D1306" s="14">
        <v>36</v>
      </c>
      <c r="E1306" s="14">
        <v>607.33333333333326</v>
      </c>
      <c r="F1306" s="14">
        <v>108.66666666666666</v>
      </c>
      <c r="G1306" s="14">
        <v>756.66666666666663</v>
      </c>
      <c r="H1306" s="14">
        <v>143.33333333333331</v>
      </c>
      <c r="I1306" s="14">
        <v>283.33333333333331</v>
      </c>
      <c r="K1306" s="15"/>
    </row>
    <row r="1307" spans="1:11" ht="16.5" x14ac:dyDescent="0.2">
      <c r="A1307" s="4" t="s">
        <v>190</v>
      </c>
      <c r="B1307">
        <v>2016</v>
      </c>
      <c r="C1307" s="14">
        <v>1951.333333333333</v>
      </c>
      <c r="D1307" s="14">
        <v>29.333333333333332</v>
      </c>
      <c r="E1307" s="14">
        <v>604.66666666666663</v>
      </c>
      <c r="F1307" s="14">
        <v>108.66666666666666</v>
      </c>
      <c r="G1307" s="14">
        <v>766.66666666666663</v>
      </c>
      <c r="H1307" s="14">
        <v>143.33333333333331</v>
      </c>
      <c r="I1307" s="14">
        <v>279.33333333333331</v>
      </c>
    </row>
    <row r="1308" spans="1:11" ht="16.5" x14ac:dyDescent="0.2">
      <c r="A1308" s="4" t="s">
        <v>189</v>
      </c>
      <c r="B1308">
        <v>2009</v>
      </c>
      <c r="C1308" s="14">
        <v>2824.6666666666665</v>
      </c>
      <c r="D1308" s="14">
        <v>19.333333333333332</v>
      </c>
      <c r="E1308" s="14">
        <v>189.99999999999997</v>
      </c>
      <c r="F1308" s="14">
        <v>13.333333333333332</v>
      </c>
      <c r="G1308" s="14">
        <v>714</v>
      </c>
      <c r="H1308" s="14">
        <v>106</v>
      </c>
      <c r="I1308" s="14">
        <v>337.33333333333331</v>
      </c>
      <c r="K1308" s="15"/>
    </row>
    <row r="1309" spans="1:11" ht="16.5" x14ac:dyDescent="0.2">
      <c r="A1309" s="4" t="s">
        <v>189</v>
      </c>
      <c r="B1309">
        <v>2010</v>
      </c>
      <c r="C1309" s="14">
        <v>2826.6666666666665</v>
      </c>
      <c r="D1309" s="14">
        <v>19.333333333333332</v>
      </c>
      <c r="E1309" s="14">
        <v>188.66666666666666</v>
      </c>
      <c r="F1309" s="14">
        <v>13.333333333333332</v>
      </c>
      <c r="G1309" s="14">
        <v>719.99999999999989</v>
      </c>
      <c r="H1309" s="14">
        <v>107.33333333333333</v>
      </c>
      <c r="I1309" s="14">
        <v>330.66666666666663</v>
      </c>
    </row>
    <row r="1310" spans="1:11" ht="16.5" x14ac:dyDescent="0.2">
      <c r="A1310" s="4" t="s">
        <v>189</v>
      </c>
      <c r="B1310">
        <v>2011</v>
      </c>
      <c r="C1310" s="14">
        <v>2831.333333333333</v>
      </c>
      <c r="D1310" s="14">
        <v>17.333333333333332</v>
      </c>
      <c r="E1310" s="14">
        <v>185.99999999999997</v>
      </c>
      <c r="F1310" s="14">
        <v>13.333333333333332</v>
      </c>
      <c r="G1310" s="14">
        <v>727.33333333333337</v>
      </c>
      <c r="H1310" s="14">
        <v>107.99999999999999</v>
      </c>
      <c r="I1310" s="14">
        <v>324.66666666666663</v>
      </c>
    </row>
    <row r="1311" spans="1:11" ht="16.5" x14ac:dyDescent="0.2">
      <c r="A1311" s="4" t="s">
        <v>189</v>
      </c>
      <c r="B1311">
        <v>2012</v>
      </c>
      <c r="C1311" s="14">
        <v>2835.9999999999995</v>
      </c>
      <c r="D1311" s="14">
        <v>16.666666666666664</v>
      </c>
      <c r="E1311" s="14">
        <v>184.66666666666666</v>
      </c>
      <c r="F1311" s="14">
        <v>13.333333333333332</v>
      </c>
      <c r="G1311" s="14">
        <v>738.66666666666663</v>
      </c>
      <c r="H1311" s="14">
        <v>109.99999999999999</v>
      </c>
      <c r="I1311" s="14">
        <v>311.33333333333331</v>
      </c>
      <c r="K1311" s="15"/>
    </row>
    <row r="1312" spans="1:11" ht="16.5" x14ac:dyDescent="0.2">
      <c r="A1312" s="4" t="s">
        <v>189</v>
      </c>
      <c r="B1312">
        <v>2013</v>
      </c>
      <c r="C1312" s="14">
        <v>2832.6666666666661</v>
      </c>
      <c r="D1312" s="14">
        <v>16.666666666666664</v>
      </c>
      <c r="E1312" s="14">
        <v>183.33333333333331</v>
      </c>
      <c r="F1312" s="14">
        <v>13.333333333333332</v>
      </c>
      <c r="G1312" s="14">
        <v>752</v>
      </c>
      <c r="H1312" s="14">
        <v>114.66666666666666</v>
      </c>
      <c r="I1312" s="14">
        <v>301.99999999999994</v>
      </c>
    </row>
    <row r="1313" spans="1:11" ht="16.5" x14ac:dyDescent="0.2">
      <c r="A1313" s="4" t="s">
        <v>189</v>
      </c>
      <c r="B1313">
        <v>2014</v>
      </c>
      <c r="C1313" s="14">
        <v>2824</v>
      </c>
      <c r="D1313" s="14">
        <v>16.666666666666664</v>
      </c>
      <c r="E1313" s="14">
        <v>181.33333333333331</v>
      </c>
      <c r="F1313" s="14">
        <v>13.333333333333332</v>
      </c>
      <c r="G1313" s="14">
        <v>762.66666666666663</v>
      </c>
      <c r="H1313" s="14">
        <v>119.33333333333331</v>
      </c>
      <c r="I1313" s="14">
        <v>298.66666666666663</v>
      </c>
      <c r="K1313" s="15"/>
    </row>
    <row r="1314" spans="1:11" ht="16.5" x14ac:dyDescent="0.2">
      <c r="A1314" s="4" t="s">
        <v>189</v>
      </c>
      <c r="B1314">
        <v>2015</v>
      </c>
      <c r="C1314" s="14">
        <v>2827.333333333333</v>
      </c>
      <c r="D1314" s="14">
        <v>16.666666666666664</v>
      </c>
      <c r="E1314" s="14">
        <v>180.66666666666666</v>
      </c>
      <c r="F1314" s="14">
        <v>13.333333333333332</v>
      </c>
      <c r="G1314" s="14">
        <v>772.66666666666663</v>
      </c>
      <c r="H1314" s="14">
        <v>119.99999999999999</v>
      </c>
      <c r="I1314" s="14">
        <v>287.33333333333331</v>
      </c>
    </row>
    <row r="1315" spans="1:11" ht="16.5" x14ac:dyDescent="0.2">
      <c r="A1315" s="4" t="s">
        <v>189</v>
      </c>
      <c r="B1315">
        <v>2016</v>
      </c>
      <c r="C1315" s="14">
        <v>2827.9999999999995</v>
      </c>
      <c r="D1315" s="14">
        <v>16.666666666666664</v>
      </c>
      <c r="E1315" s="14">
        <v>179.33333333333331</v>
      </c>
      <c r="F1315" s="14">
        <v>12.666666666666664</v>
      </c>
      <c r="G1315" s="14">
        <v>792.66666666666663</v>
      </c>
      <c r="H1315" s="14">
        <v>118.66666666666666</v>
      </c>
      <c r="I1315" s="14">
        <v>280</v>
      </c>
    </row>
    <row r="1316" spans="1:11" ht="16.5" x14ac:dyDescent="0.2">
      <c r="A1316" s="4" t="s">
        <v>188</v>
      </c>
      <c r="B1316">
        <v>2009</v>
      </c>
      <c r="C1316" s="14">
        <v>3449.9999999999995</v>
      </c>
      <c r="D1316" s="14">
        <v>5.333333333333333</v>
      </c>
      <c r="E1316" s="14">
        <v>180.66666666666666</v>
      </c>
      <c r="F1316" s="14">
        <v>101.33333333333331</v>
      </c>
      <c r="G1316" s="14">
        <v>845.33333333333326</v>
      </c>
      <c r="H1316" s="14">
        <v>149.33333333333331</v>
      </c>
      <c r="I1316" s="14">
        <v>144.66666666666666</v>
      </c>
      <c r="K1316" s="15"/>
    </row>
    <row r="1317" spans="1:11" ht="16.5" x14ac:dyDescent="0.2">
      <c r="A1317" s="4" t="s">
        <v>188</v>
      </c>
      <c r="B1317">
        <v>2010</v>
      </c>
      <c r="C1317" s="14">
        <v>3434.6666666666665</v>
      </c>
      <c r="D1317" s="14">
        <v>5.333333333333333</v>
      </c>
      <c r="E1317" s="14">
        <v>179.99999999999997</v>
      </c>
      <c r="F1317" s="14">
        <v>101.33333333333331</v>
      </c>
      <c r="G1317" s="14">
        <v>857.33333333333326</v>
      </c>
      <c r="H1317" s="14">
        <v>153.33333333333331</v>
      </c>
      <c r="I1317" s="14">
        <v>144</v>
      </c>
    </row>
    <row r="1318" spans="1:11" ht="16.5" x14ac:dyDescent="0.2">
      <c r="A1318" s="4" t="s">
        <v>188</v>
      </c>
      <c r="B1318">
        <v>2011</v>
      </c>
      <c r="C1318" s="14">
        <v>3409.333333333333</v>
      </c>
      <c r="D1318" s="14">
        <v>4.6666666666666661</v>
      </c>
      <c r="E1318" s="14">
        <v>178.66666666666666</v>
      </c>
      <c r="F1318" s="14">
        <v>101.33333333333331</v>
      </c>
      <c r="G1318" s="14">
        <v>873.33333333333326</v>
      </c>
      <c r="H1318" s="14">
        <v>156.66666666666666</v>
      </c>
      <c r="I1318" s="14">
        <v>151.33333333333331</v>
      </c>
      <c r="K1318" s="15"/>
    </row>
    <row r="1319" spans="1:11" ht="16.5" x14ac:dyDescent="0.2">
      <c r="A1319" s="4" t="s">
        <v>188</v>
      </c>
      <c r="B1319">
        <v>2012</v>
      </c>
      <c r="C1319" s="14">
        <v>3394.6666666666665</v>
      </c>
      <c r="D1319" s="14">
        <v>4.6666666666666661</v>
      </c>
      <c r="E1319" s="14">
        <v>177.99999999999997</v>
      </c>
      <c r="F1319" s="14">
        <v>100.66666666666666</v>
      </c>
      <c r="G1319" s="14">
        <v>887.99999999999989</v>
      </c>
      <c r="H1319" s="14">
        <v>158.66666666666666</v>
      </c>
      <c r="I1319" s="14">
        <v>150.66666666666666</v>
      </c>
    </row>
    <row r="1320" spans="1:11" ht="16.5" x14ac:dyDescent="0.2">
      <c r="A1320" s="4" t="s">
        <v>188</v>
      </c>
      <c r="B1320">
        <v>2013</v>
      </c>
      <c r="C1320" s="14">
        <v>3388.6666666666665</v>
      </c>
      <c r="D1320" s="14">
        <v>4.6666666666666661</v>
      </c>
      <c r="E1320" s="14">
        <v>176.66666666666666</v>
      </c>
      <c r="F1320" s="14">
        <v>99.999999999999986</v>
      </c>
      <c r="G1320" s="14">
        <v>897.99999999999989</v>
      </c>
      <c r="H1320" s="14">
        <v>160.66666666666666</v>
      </c>
      <c r="I1320" s="14">
        <v>145.33333333333331</v>
      </c>
    </row>
    <row r="1321" spans="1:11" ht="16.5" x14ac:dyDescent="0.2">
      <c r="A1321" s="4" t="s">
        <v>188</v>
      </c>
      <c r="B1321">
        <v>2014</v>
      </c>
      <c r="C1321" s="14">
        <v>3371.333333333333</v>
      </c>
      <c r="D1321" s="14">
        <v>4.6666666666666661</v>
      </c>
      <c r="E1321" s="14">
        <v>175.99999999999997</v>
      </c>
      <c r="F1321" s="14">
        <v>99.999999999999986</v>
      </c>
      <c r="G1321" s="14">
        <v>912.6666666666664</v>
      </c>
      <c r="H1321" s="14">
        <v>162</v>
      </c>
      <c r="I1321" s="14">
        <v>144.66666666666666</v>
      </c>
      <c r="K1321" s="15"/>
    </row>
    <row r="1322" spans="1:11" ht="16.5" x14ac:dyDescent="0.2">
      <c r="A1322" s="4" t="s">
        <v>188</v>
      </c>
      <c r="B1322">
        <v>2015</v>
      </c>
      <c r="C1322" s="14">
        <v>3358.6666666666665</v>
      </c>
      <c r="D1322" s="14">
        <v>4.6666666666666661</v>
      </c>
      <c r="E1322" s="14">
        <v>175.99999999999997</v>
      </c>
      <c r="F1322" s="14">
        <v>99.999999999999986</v>
      </c>
      <c r="G1322" s="14">
        <v>926.66666666666663</v>
      </c>
      <c r="H1322" s="14">
        <v>162.66666666666663</v>
      </c>
      <c r="I1322" s="14">
        <v>142</v>
      </c>
    </row>
    <row r="1323" spans="1:11" ht="16.5" x14ac:dyDescent="0.2">
      <c r="A1323" s="4" t="s">
        <v>188</v>
      </c>
      <c r="B1323">
        <v>2016</v>
      </c>
      <c r="C1323" s="14">
        <v>3359.9999999999995</v>
      </c>
      <c r="D1323" s="14">
        <v>3.333333333333333</v>
      </c>
      <c r="E1323" s="14">
        <v>168.66666666666666</v>
      </c>
      <c r="F1323" s="14">
        <v>97.999999999999986</v>
      </c>
      <c r="G1323" s="14">
        <v>942.66666666666663</v>
      </c>
      <c r="H1323" s="14">
        <v>160.66666666666666</v>
      </c>
      <c r="I1323" s="14">
        <v>135.33333333333331</v>
      </c>
      <c r="K1323" s="15"/>
    </row>
    <row r="1324" spans="1:11" ht="16.5" x14ac:dyDescent="0.2">
      <c r="A1324" s="4" t="s">
        <v>187</v>
      </c>
      <c r="B1324">
        <v>2009</v>
      </c>
      <c r="C1324" s="14">
        <v>1906.6666666666665</v>
      </c>
      <c r="D1324" s="14">
        <v>7.333333333333333</v>
      </c>
      <c r="E1324" s="14">
        <v>95.333333333333329</v>
      </c>
      <c r="F1324" s="14">
        <v>0</v>
      </c>
      <c r="G1324" s="14">
        <v>448.66666666666663</v>
      </c>
      <c r="H1324" s="14">
        <v>94.666666666666657</v>
      </c>
      <c r="I1324" s="14">
        <v>122.66666666666664</v>
      </c>
    </row>
    <row r="1325" spans="1:11" ht="16.5" x14ac:dyDescent="0.2">
      <c r="A1325" s="4" t="s">
        <v>187</v>
      </c>
      <c r="B1325">
        <v>2010</v>
      </c>
      <c r="C1325" s="14">
        <v>1911.333333333333</v>
      </c>
      <c r="D1325" s="14">
        <v>6</v>
      </c>
      <c r="E1325" s="14">
        <v>86</v>
      </c>
      <c r="F1325" s="14">
        <v>0</v>
      </c>
      <c r="G1325" s="14">
        <v>455.33333333333326</v>
      </c>
      <c r="H1325" s="14">
        <v>95.333333333333329</v>
      </c>
      <c r="I1325" s="14">
        <v>122.66666666666664</v>
      </c>
    </row>
    <row r="1326" spans="1:11" ht="16.5" x14ac:dyDescent="0.2">
      <c r="A1326" s="4" t="s">
        <v>187</v>
      </c>
      <c r="B1326">
        <v>2011</v>
      </c>
      <c r="C1326" s="14">
        <v>1906.6666666666665</v>
      </c>
      <c r="D1326" s="14">
        <v>6</v>
      </c>
      <c r="E1326" s="14">
        <v>85.333333333333329</v>
      </c>
      <c r="F1326" s="14">
        <v>0</v>
      </c>
      <c r="G1326" s="14">
        <v>458.66666666666663</v>
      </c>
      <c r="H1326" s="14">
        <v>96</v>
      </c>
      <c r="I1326" s="14">
        <v>122.66666666666664</v>
      </c>
      <c r="K1326" s="15"/>
    </row>
    <row r="1327" spans="1:11" ht="16.5" x14ac:dyDescent="0.2">
      <c r="A1327" s="4" t="s">
        <v>187</v>
      </c>
      <c r="B1327">
        <v>2012</v>
      </c>
      <c r="C1327" s="14">
        <v>1905.3333333333333</v>
      </c>
      <c r="D1327" s="14">
        <v>6</v>
      </c>
      <c r="E1327" s="14">
        <v>82</v>
      </c>
      <c r="F1327" s="14">
        <v>0</v>
      </c>
      <c r="G1327" s="14">
        <v>463.33333333333331</v>
      </c>
      <c r="H1327" s="14">
        <v>96</v>
      </c>
      <c r="I1327" s="14">
        <v>122.66666666666664</v>
      </c>
    </row>
    <row r="1328" spans="1:11" ht="16.5" x14ac:dyDescent="0.2">
      <c r="A1328" s="4" t="s">
        <v>187</v>
      </c>
      <c r="B1328">
        <v>2013</v>
      </c>
      <c r="C1328" s="14">
        <v>1901.333333333333</v>
      </c>
      <c r="D1328" s="14">
        <v>6</v>
      </c>
      <c r="E1328" s="14">
        <v>81.333333333333314</v>
      </c>
      <c r="F1328" s="14">
        <v>0</v>
      </c>
      <c r="G1328" s="14">
        <v>467.33333333333337</v>
      </c>
      <c r="H1328" s="14">
        <v>96.666666666666657</v>
      </c>
      <c r="I1328" s="14">
        <v>122.66666666666664</v>
      </c>
      <c r="K1328" s="15"/>
    </row>
    <row r="1329" spans="1:11" ht="16.5" x14ac:dyDescent="0.2">
      <c r="A1329" s="4" t="s">
        <v>187</v>
      </c>
      <c r="B1329">
        <v>2014</v>
      </c>
      <c r="C1329" s="14">
        <v>1893.3333333333333</v>
      </c>
      <c r="D1329" s="14">
        <v>5.333333333333333</v>
      </c>
      <c r="E1329" s="14">
        <v>80.666666666666657</v>
      </c>
      <c r="F1329" s="14">
        <v>0</v>
      </c>
      <c r="G1329" s="14">
        <v>473.99999999999994</v>
      </c>
      <c r="H1329" s="14">
        <v>97.333333333333329</v>
      </c>
      <c r="I1329" s="14">
        <v>122</v>
      </c>
    </row>
    <row r="1330" spans="1:11" ht="16.5" x14ac:dyDescent="0.2">
      <c r="A1330" s="4" t="s">
        <v>187</v>
      </c>
      <c r="B1330">
        <v>2015</v>
      </c>
      <c r="C1330" s="14">
        <v>1887.9999999999998</v>
      </c>
      <c r="D1330" s="14">
        <v>5.333333333333333</v>
      </c>
      <c r="E1330" s="14">
        <v>80</v>
      </c>
      <c r="F1330" s="14">
        <v>0</v>
      </c>
      <c r="G1330" s="14">
        <v>479.33333333333331</v>
      </c>
      <c r="H1330" s="14">
        <v>97.333333333333329</v>
      </c>
      <c r="I1330" s="14">
        <v>121.33333333333331</v>
      </c>
    </row>
    <row r="1331" spans="1:11" ht="16.5" x14ac:dyDescent="0.2">
      <c r="A1331" s="4" t="s">
        <v>187</v>
      </c>
      <c r="B1331">
        <v>2016</v>
      </c>
      <c r="C1331" s="14">
        <v>1899.9999999999998</v>
      </c>
      <c r="D1331" s="14">
        <v>3.9999999999999996</v>
      </c>
      <c r="E1331" s="14">
        <v>68.666666666666671</v>
      </c>
      <c r="F1331" s="14">
        <v>0</v>
      </c>
      <c r="G1331" s="14">
        <v>482.66666666666669</v>
      </c>
      <c r="H1331" s="14">
        <v>96.666666666666657</v>
      </c>
      <c r="I1331" s="14">
        <v>119.33333333333331</v>
      </c>
      <c r="K1331" s="15"/>
    </row>
    <row r="1332" spans="1:11" ht="16.5" x14ac:dyDescent="0.2">
      <c r="A1332" s="4" t="s">
        <v>186</v>
      </c>
      <c r="B1332">
        <v>2009</v>
      </c>
      <c r="C1332" s="14">
        <v>1775.3333333333333</v>
      </c>
      <c r="D1332" s="14">
        <v>534.66666666666663</v>
      </c>
      <c r="E1332" s="14">
        <v>5373.333333333333</v>
      </c>
      <c r="F1332" s="14">
        <v>1123.9999999999998</v>
      </c>
      <c r="G1332" s="14">
        <v>520.66666666666663</v>
      </c>
      <c r="H1332" s="14">
        <v>130.66666666666666</v>
      </c>
      <c r="I1332" s="14">
        <v>206.66666666666666</v>
      </c>
    </row>
    <row r="1333" spans="1:11" ht="16.5" x14ac:dyDescent="0.2">
      <c r="A1333" s="4" t="s">
        <v>186</v>
      </c>
      <c r="B1333">
        <v>2010</v>
      </c>
      <c r="C1333" s="14">
        <v>1769.9999999999998</v>
      </c>
      <c r="D1333" s="14">
        <v>533.33333333333326</v>
      </c>
      <c r="E1333" s="14">
        <v>5373.333333333333</v>
      </c>
      <c r="F1333" s="14">
        <v>1121.3333333333333</v>
      </c>
      <c r="G1333" s="14">
        <v>528</v>
      </c>
      <c r="H1333" s="14">
        <v>131.33333333333331</v>
      </c>
      <c r="I1333" s="14">
        <v>207.99999999999997</v>
      </c>
      <c r="K1333" s="15"/>
    </row>
    <row r="1334" spans="1:11" ht="16.5" x14ac:dyDescent="0.2">
      <c r="A1334" s="4" t="s">
        <v>186</v>
      </c>
      <c r="B1334">
        <v>2011</v>
      </c>
      <c r="C1334" s="14">
        <v>1765.3333333333333</v>
      </c>
      <c r="D1334" s="14">
        <v>529.33333333333337</v>
      </c>
      <c r="E1334" s="14">
        <v>5369.333333333333</v>
      </c>
      <c r="F1334" s="14">
        <v>1115.3333333333333</v>
      </c>
      <c r="G1334" s="14">
        <v>536.66666666666663</v>
      </c>
      <c r="H1334" s="14">
        <v>140.66666666666666</v>
      </c>
      <c r="I1334" s="14">
        <v>207.33333333333331</v>
      </c>
    </row>
    <row r="1335" spans="1:11" ht="16.5" x14ac:dyDescent="0.2">
      <c r="A1335" s="4" t="s">
        <v>186</v>
      </c>
      <c r="B1335">
        <v>2012</v>
      </c>
      <c r="C1335" s="14">
        <v>1769.9999999999998</v>
      </c>
      <c r="D1335" s="14">
        <v>526.66666666666663</v>
      </c>
      <c r="E1335" s="14">
        <v>5366.6666666666661</v>
      </c>
      <c r="F1335" s="14">
        <v>1107.3333333333333</v>
      </c>
      <c r="G1335" s="14">
        <v>543.33333333333326</v>
      </c>
      <c r="H1335" s="14">
        <v>144</v>
      </c>
      <c r="I1335" s="14">
        <v>206.66666666666666</v>
      </c>
    </row>
    <row r="1336" spans="1:11" ht="16.5" x14ac:dyDescent="0.2">
      <c r="A1336" s="4" t="s">
        <v>186</v>
      </c>
      <c r="B1336">
        <v>2013</v>
      </c>
      <c r="C1336" s="14">
        <v>1768.6666666666665</v>
      </c>
      <c r="D1336" s="14">
        <v>523.33333333333326</v>
      </c>
      <c r="E1336" s="14">
        <v>5364.6666666666661</v>
      </c>
      <c r="F1336" s="14">
        <v>1099.3333333333333</v>
      </c>
      <c r="G1336" s="14">
        <v>552</v>
      </c>
      <c r="H1336" s="14">
        <v>147.99999999999997</v>
      </c>
      <c r="I1336" s="14">
        <v>205.99999999999997</v>
      </c>
      <c r="K1336" s="15"/>
    </row>
    <row r="1337" spans="1:11" ht="16.5" x14ac:dyDescent="0.2">
      <c r="A1337" s="4" t="s">
        <v>186</v>
      </c>
      <c r="B1337">
        <v>2014</v>
      </c>
      <c r="C1337" s="14">
        <v>1763.3333333333333</v>
      </c>
      <c r="D1337" s="14">
        <v>521.33333333333326</v>
      </c>
      <c r="E1337" s="14">
        <v>5364</v>
      </c>
      <c r="F1337" s="14">
        <v>1098.6666666666667</v>
      </c>
      <c r="G1337" s="14">
        <v>559.33333333333337</v>
      </c>
      <c r="H1337" s="14">
        <v>148.66666666666666</v>
      </c>
      <c r="I1337" s="14">
        <v>205.99999999999997</v>
      </c>
    </row>
    <row r="1338" spans="1:11" ht="16.5" x14ac:dyDescent="0.2">
      <c r="A1338" s="4" t="s">
        <v>186</v>
      </c>
      <c r="B1338">
        <v>2015</v>
      </c>
      <c r="C1338" s="14">
        <v>1761.333333333333</v>
      </c>
      <c r="D1338" s="14">
        <v>520</v>
      </c>
      <c r="E1338" s="14">
        <v>5363.333333333333</v>
      </c>
      <c r="F1338" s="14">
        <v>1096.6666666666665</v>
      </c>
      <c r="G1338" s="14">
        <v>564</v>
      </c>
      <c r="H1338" s="14">
        <v>149.33333333333331</v>
      </c>
      <c r="I1338" s="14">
        <v>205.99999999999997</v>
      </c>
      <c r="K1338" s="15"/>
    </row>
    <row r="1339" spans="1:11" ht="16.5" x14ac:dyDescent="0.2">
      <c r="A1339" s="4" t="s">
        <v>186</v>
      </c>
      <c r="B1339">
        <v>2016</v>
      </c>
      <c r="C1339" s="14">
        <v>1759.333333333333</v>
      </c>
      <c r="D1339" s="14">
        <v>518.66666666666663</v>
      </c>
      <c r="E1339" s="14">
        <v>5362.6666666666661</v>
      </c>
      <c r="F1339" s="14">
        <v>1094.6666666666665</v>
      </c>
      <c r="G1339" s="14">
        <v>571.33333333333326</v>
      </c>
      <c r="H1339" s="14">
        <v>148.66666666666666</v>
      </c>
      <c r="I1339" s="14">
        <v>205.33333333333331</v>
      </c>
    </row>
    <row r="1340" spans="1:11" ht="16.5" x14ac:dyDescent="0.2">
      <c r="A1340" s="4" t="s">
        <v>185</v>
      </c>
      <c r="B1340">
        <v>2009</v>
      </c>
      <c r="C1340" s="14">
        <v>10598.666666666666</v>
      </c>
      <c r="D1340" s="14">
        <v>298</v>
      </c>
      <c r="E1340" s="14">
        <v>9186</v>
      </c>
      <c r="F1340" s="14">
        <v>1314.6666666666665</v>
      </c>
      <c r="G1340" s="14">
        <v>2158</v>
      </c>
      <c r="H1340" s="14">
        <v>628.66666666666663</v>
      </c>
      <c r="I1340" s="14">
        <v>1847.3333333333333</v>
      </c>
    </row>
    <row r="1341" spans="1:11" ht="16.5" x14ac:dyDescent="0.2">
      <c r="A1341" s="4" t="s">
        <v>185</v>
      </c>
      <c r="B1341">
        <v>2010</v>
      </c>
      <c r="C1341" s="14">
        <v>10571.999999999998</v>
      </c>
      <c r="D1341" s="14">
        <v>297.33333333333331</v>
      </c>
      <c r="E1341" s="14">
        <v>9177.3333333333321</v>
      </c>
      <c r="F1341" s="14">
        <v>1307.3333333333333</v>
      </c>
      <c r="G1341" s="14">
        <v>2186</v>
      </c>
      <c r="H1341" s="14">
        <v>636.66666666666663</v>
      </c>
      <c r="I1341" s="14">
        <v>1851.333333333333</v>
      </c>
      <c r="K1341" s="15"/>
    </row>
    <row r="1342" spans="1:11" ht="16.5" x14ac:dyDescent="0.2">
      <c r="A1342" s="4" t="s">
        <v>185</v>
      </c>
      <c r="B1342">
        <v>2011</v>
      </c>
      <c r="C1342" s="14">
        <v>10559.333333333332</v>
      </c>
      <c r="D1342" s="14">
        <v>296.66666666666663</v>
      </c>
      <c r="E1342" s="14">
        <v>9168.6666666666661</v>
      </c>
      <c r="F1342" s="14">
        <v>1299.3333333333333</v>
      </c>
      <c r="G1342" s="14">
        <v>2208.6666666666665</v>
      </c>
      <c r="H1342" s="14">
        <v>639.33333333333337</v>
      </c>
      <c r="I1342" s="14">
        <v>1854</v>
      </c>
    </row>
    <row r="1343" spans="1:11" ht="16.5" x14ac:dyDescent="0.2">
      <c r="A1343" s="4" t="s">
        <v>185</v>
      </c>
      <c r="B1343">
        <v>2012</v>
      </c>
      <c r="C1343" s="14">
        <v>10569.333333333332</v>
      </c>
      <c r="D1343" s="14">
        <v>292.66666666666663</v>
      </c>
      <c r="E1343" s="14">
        <v>9153.3333333333321</v>
      </c>
      <c r="F1343" s="14">
        <v>1276</v>
      </c>
      <c r="G1343" s="14">
        <v>2234.666666666667</v>
      </c>
      <c r="H1343" s="14">
        <v>645.33333333333326</v>
      </c>
      <c r="I1343" s="14">
        <v>1852</v>
      </c>
      <c r="K1343" s="15"/>
    </row>
    <row r="1344" spans="1:11" ht="16.5" x14ac:dyDescent="0.2">
      <c r="A1344" s="4" t="s">
        <v>185</v>
      </c>
      <c r="B1344">
        <v>2013</v>
      </c>
      <c r="C1344" s="14">
        <v>10544.666666666666</v>
      </c>
      <c r="D1344" s="14">
        <v>290.66666666666663</v>
      </c>
      <c r="E1344" s="14">
        <v>9143.3333333333321</v>
      </c>
      <c r="F1344" s="14">
        <v>1268.6666666666667</v>
      </c>
      <c r="G1344" s="14">
        <v>2263.333333333333</v>
      </c>
      <c r="H1344" s="14">
        <v>654.66666666666663</v>
      </c>
      <c r="I1344" s="14">
        <v>1854</v>
      </c>
    </row>
    <row r="1345" spans="1:11" ht="16.5" x14ac:dyDescent="0.2">
      <c r="A1345" s="4" t="s">
        <v>185</v>
      </c>
      <c r="B1345">
        <v>2014</v>
      </c>
      <c r="C1345" s="14">
        <v>10528</v>
      </c>
      <c r="D1345" s="14">
        <v>289.33333333333331</v>
      </c>
      <c r="E1345" s="14">
        <v>9138</v>
      </c>
      <c r="F1345" s="14">
        <v>1262.6666666666665</v>
      </c>
      <c r="G1345" s="14">
        <v>2281.9999999999995</v>
      </c>
      <c r="H1345" s="14">
        <v>659.99999999999989</v>
      </c>
      <c r="I1345" s="14">
        <v>1853.3333333333333</v>
      </c>
    </row>
    <row r="1346" spans="1:11" ht="16.5" x14ac:dyDescent="0.2">
      <c r="A1346" s="4" t="s">
        <v>185</v>
      </c>
      <c r="B1346">
        <v>2015</v>
      </c>
      <c r="C1346" s="14">
        <v>10516.666666666666</v>
      </c>
      <c r="D1346" s="14">
        <v>288.66666666666663</v>
      </c>
      <c r="E1346" s="14">
        <v>9135.3333333333321</v>
      </c>
      <c r="F1346" s="14">
        <v>1258.6666666666667</v>
      </c>
      <c r="G1346" s="14">
        <v>2300.6666666666665</v>
      </c>
      <c r="H1346" s="14">
        <v>663.33333333333326</v>
      </c>
      <c r="I1346" s="14">
        <v>1845.9999999999998</v>
      </c>
      <c r="K1346" s="15"/>
    </row>
    <row r="1347" spans="1:11" ht="16.5" x14ac:dyDescent="0.2">
      <c r="A1347" s="4" t="s">
        <v>185</v>
      </c>
      <c r="B1347">
        <v>2016</v>
      </c>
      <c r="C1347" s="14">
        <v>10521.999999999998</v>
      </c>
      <c r="D1347" s="14">
        <v>286.66666666666663</v>
      </c>
      <c r="E1347" s="14">
        <v>9127.3333333333321</v>
      </c>
      <c r="F1347" s="14">
        <v>1248.6666666666667</v>
      </c>
      <c r="G1347" s="14">
        <v>2322.6666666666665</v>
      </c>
      <c r="H1347" s="14">
        <v>671.99999999999989</v>
      </c>
      <c r="I1347" s="14">
        <v>1827.9999999999998</v>
      </c>
    </row>
    <row r="1348" spans="1:11" ht="16.5" x14ac:dyDescent="0.2">
      <c r="A1348" s="4" t="s">
        <v>184</v>
      </c>
      <c r="B1348">
        <v>2009</v>
      </c>
      <c r="C1348" s="14">
        <v>7090.6666666666652</v>
      </c>
      <c r="D1348" s="14">
        <v>140.66666666666666</v>
      </c>
      <c r="E1348" s="14">
        <v>781.99999999999989</v>
      </c>
      <c r="F1348" s="14">
        <v>2.6666666666666665</v>
      </c>
      <c r="G1348" s="14">
        <v>1826</v>
      </c>
      <c r="H1348" s="14">
        <v>330.66666666666663</v>
      </c>
      <c r="I1348" s="14">
        <v>509.33333333333331</v>
      </c>
      <c r="K1348" s="15"/>
    </row>
    <row r="1349" spans="1:11" ht="16.5" x14ac:dyDescent="0.2">
      <c r="A1349" s="4" t="s">
        <v>184</v>
      </c>
      <c r="B1349">
        <v>2010</v>
      </c>
      <c r="C1349" s="14">
        <v>7083.9999999999991</v>
      </c>
      <c r="D1349" s="14">
        <v>140.66666666666666</v>
      </c>
      <c r="E1349" s="14">
        <v>780.66666666666652</v>
      </c>
      <c r="F1349" s="14">
        <v>1.9999999999999998</v>
      </c>
      <c r="G1349" s="14">
        <v>1833.3333333333333</v>
      </c>
      <c r="H1349" s="14">
        <v>333.33333333333331</v>
      </c>
      <c r="I1349" s="14">
        <v>508</v>
      </c>
    </row>
    <row r="1350" spans="1:11" ht="16.5" x14ac:dyDescent="0.2">
      <c r="A1350" s="4" t="s">
        <v>184</v>
      </c>
      <c r="B1350">
        <v>2011</v>
      </c>
      <c r="C1350" s="14">
        <v>7087.3333333333321</v>
      </c>
      <c r="D1350" s="14">
        <v>140</v>
      </c>
      <c r="E1350" s="14">
        <v>774.66666666666663</v>
      </c>
      <c r="F1350" s="14">
        <v>1.9999999999999998</v>
      </c>
      <c r="G1350" s="14">
        <v>1844.6666666666665</v>
      </c>
      <c r="H1350" s="14">
        <v>339.33333333333331</v>
      </c>
      <c r="I1350" s="14">
        <v>493.99999999999994</v>
      </c>
    </row>
    <row r="1351" spans="1:11" ht="16.5" x14ac:dyDescent="0.2">
      <c r="A1351" s="4" t="s">
        <v>184</v>
      </c>
      <c r="B1351">
        <v>2012</v>
      </c>
      <c r="C1351" s="14">
        <v>7083.333333333333</v>
      </c>
      <c r="D1351" s="14">
        <v>139.33333333333331</v>
      </c>
      <c r="E1351" s="14">
        <v>771.33333333333326</v>
      </c>
      <c r="F1351" s="14">
        <v>1.9999999999999998</v>
      </c>
      <c r="G1351" s="14">
        <v>1862.6666666666667</v>
      </c>
      <c r="H1351" s="14">
        <v>340.66666666666663</v>
      </c>
      <c r="I1351" s="14">
        <v>484.66666666666663</v>
      </c>
      <c r="K1351" s="15"/>
    </row>
    <row r="1352" spans="1:11" ht="16.5" x14ac:dyDescent="0.2">
      <c r="A1352" s="4" t="s">
        <v>184</v>
      </c>
      <c r="B1352">
        <v>2013</v>
      </c>
      <c r="C1352" s="14">
        <v>7069.333333333333</v>
      </c>
      <c r="D1352" s="14">
        <v>138.66666666666666</v>
      </c>
      <c r="E1352" s="14">
        <v>767.33333333333326</v>
      </c>
      <c r="F1352" s="14">
        <v>1.9999999999999998</v>
      </c>
      <c r="G1352" s="14">
        <v>1876.6666666666665</v>
      </c>
      <c r="H1352" s="14">
        <v>349.33333333333331</v>
      </c>
      <c r="I1352" s="14">
        <v>478.66666666666663</v>
      </c>
    </row>
    <row r="1353" spans="1:11" ht="16.5" x14ac:dyDescent="0.2">
      <c r="A1353" s="4" t="s">
        <v>184</v>
      </c>
      <c r="B1353">
        <v>2014</v>
      </c>
      <c r="C1353" s="14">
        <v>7054.6666666666661</v>
      </c>
      <c r="D1353" s="14">
        <v>138.66666666666666</v>
      </c>
      <c r="E1353" s="14">
        <v>764.66666666666663</v>
      </c>
      <c r="F1353" s="14">
        <v>1.9999999999999998</v>
      </c>
      <c r="G1353" s="14">
        <v>1891.333333333333</v>
      </c>
      <c r="H1353" s="14">
        <v>354</v>
      </c>
      <c r="I1353" s="14">
        <v>476.66666666666663</v>
      </c>
      <c r="K1353" s="15"/>
    </row>
    <row r="1354" spans="1:11" ht="16.5" x14ac:dyDescent="0.2">
      <c r="A1354" s="4" t="s">
        <v>184</v>
      </c>
      <c r="B1354">
        <v>2015</v>
      </c>
      <c r="C1354" s="14">
        <v>7039.9999999999991</v>
      </c>
      <c r="D1354" s="14">
        <v>136.66666666666666</v>
      </c>
      <c r="E1354" s="14">
        <v>761.99999999999989</v>
      </c>
      <c r="F1354" s="14">
        <v>1.9999999999999998</v>
      </c>
      <c r="G1354" s="14">
        <v>1908.6666666666665</v>
      </c>
      <c r="H1354" s="14">
        <v>355.99999999999994</v>
      </c>
      <c r="I1354" s="14">
        <v>474.66666666666663</v>
      </c>
    </row>
    <row r="1355" spans="1:11" ht="16.5" x14ac:dyDescent="0.2">
      <c r="A1355" s="4" t="s">
        <v>184</v>
      </c>
      <c r="B1355">
        <v>2016</v>
      </c>
      <c r="C1355" s="14">
        <v>7078</v>
      </c>
      <c r="D1355" s="14">
        <v>127.99999999999999</v>
      </c>
      <c r="E1355" s="14">
        <v>732.66666666666663</v>
      </c>
      <c r="F1355" s="14">
        <v>1.9999999999999998</v>
      </c>
      <c r="G1355" s="14">
        <v>1913.3333333333333</v>
      </c>
      <c r="H1355" s="14">
        <v>354</v>
      </c>
      <c r="I1355" s="14">
        <v>471.33333333333331</v>
      </c>
    </row>
    <row r="1356" spans="1:11" ht="16.5" x14ac:dyDescent="0.2">
      <c r="A1356" s="4" t="s">
        <v>183</v>
      </c>
      <c r="B1356">
        <v>2009</v>
      </c>
      <c r="C1356" s="14">
        <v>8397.3333333333321</v>
      </c>
      <c r="D1356" s="14">
        <v>673.99999999999989</v>
      </c>
      <c r="E1356" s="14">
        <v>4321.9999999999991</v>
      </c>
      <c r="F1356" s="14">
        <v>593.33333333333326</v>
      </c>
      <c r="G1356" s="14">
        <v>2073.9999999999995</v>
      </c>
      <c r="H1356" s="14">
        <v>389.99999999999994</v>
      </c>
      <c r="I1356" s="14">
        <v>2194</v>
      </c>
      <c r="K1356" s="15"/>
    </row>
    <row r="1357" spans="1:11" ht="16.5" x14ac:dyDescent="0.2">
      <c r="A1357" s="4" t="s">
        <v>183</v>
      </c>
      <c r="B1357">
        <v>2010</v>
      </c>
      <c r="C1357" s="14">
        <v>8385.3333333333321</v>
      </c>
      <c r="D1357" s="14">
        <v>673.33333333333326</v>
      </c>
      <c r="E1357" s="14">
        <v>4317.333333333333</v>
      </c>
      <c r="F1357" s="14">
        <v>588</v>
      </c>
      <c r="G1357" s="14">
        <v>2093.333333333333</v>
      </c>
      <c r="H1357" s="14">
        <v>394.66666666666663</v>
      </c>
      <c r="I1357" s="14">
        <v>2191.333333333333</v>
      </c>
    </row>
    <row r="1358" spans="1:11" ht="16.5" x14ac:dyDescent="0.2">
      <c r="A1358" s="4" t="s">
        <v>183</v>
      </c>
      <c r="B1358">
        <v>2011</v>
      </c>
      <c r="C1358" s="14">
        <v>8390.6666666666661</v>
      </c>
      <c r="D1358" s="14">
        <v>672.66666666666663</v>
      </c>
      <c r="E1358" s="14">
        <v>4311.9999999999991</v>
      </c>
      <c r="F1358" s="14">
        <v>578</v>
      </c>
      <c r="G1358" s="14">
        <v>2108</v>
      </c>
      <c r="H1358" s="14">
        <v>399.33333333333331</v>
      </c>
      <c r="I1358" s="14">
        <v>2182</v>
      </c>
      <c r="K1358" s="15"/>
    </row>
    <row r="1359" spans="1:11" ht="16.5" x14ac:dyDescent="0.2">
      <c r="A1359" s="4" t="s">
        <v>183</v>
      </c>
      <c r="B1359">
        <v>2012</v>
      </c>
      <c r="C1359" s="14">
        <v>8397.3333333333321</v>
      </c>
      <c r="D1359" s="14">
        <v>672.66666666666663</v>
      </c>
      <c r="E1359" s="14">
        <v>4309.333333333333</v>
      </c>
      <c r="F1359" s="14">
        <v>572.66666666666663</v>
      </c>
      <c r="G1359" s="14">
        <v>2116</v>
      </c>
      <c r="H1359" s="14">
        <v>400.66666666666663</v>
      </c>
      <c r="I1359" s="14">
        <v>2172</v>
      </c>
    </row>
    <row r="1360" spans="1:11" ht="16.5" x14ac:dyDescent="0.2">
      <c r="A1360" s="4" t="s">
        <v>183</v>
      </c>
      <c r="B1360">
        <v>2013</v>
      </c>
      <c r="C1360" s="14">
        <v>8393.9999999999982</v>
      </c>
      <c r="D1360" s="14">
        <v>671.99999999999989</v>
      </c>
      <c r="E1360" s="14">
        <v>4306.6666666666661</v>
      </c>
      <c r="F1360" s="14">
        <v>566</v>
      </c>
      <c r="G1360" s="14">
        <v>2130.6666666666665</v>
      </c>
      <c r="H1360" s="14">
        <v>405.33333333333326</v>
      </c>
      <c r="I1360" s="14">
        <v>2166.6666666666665</v>
      </c>
    </row>
    <row r="1361" spans="1:11" ht="16.5" x14ac:dyDescent="0.2">
      <c r="A1361" s="4" t="s">
        <v>183</v>
      </c>
      <c r="B1361">
        <v>2014</v>
      </c>
      <c r="C1361" s="14">
        <v>8403.3333333333321</v>
      </c>
      <c r="D1361" s="14">
        <v>670.66666666666652</v>
      </c>
      <c r="E1361" s="14">
        <v>4298.6666666666661</v>
      </c>
      <c r="F1361" s="14">
        <v>560</v>
      </c>
      <c r="G1361" s="14">
        <v>2146.6666666666665</v>
      </c>
      <c r="H1361" s="14">
        <v>407.33333333333331</v>
      </c>
      <c r="I1361" s="14">
        <v>2152.6666666666665</v>
      </c>
      <c r="K1361" s="15"/>
    </row>
    <row r="1362" spans="1:11" ht="16.5" x14ac:dyDescent="0.2">
      <c r="A1362" s="4" t="s">
        <v>183</v>
      </c>
      <c r="B1362">
        <v>2015</v>
      </c>
      <c r="C1362" s="14">
        <v>8418</v>
      </c>
      <c r="D1362" s="14">
        <v>669.33333333333326</v>
      </c>
      <c r="E1362" s="14">
        <v>4292.6666666666661</v>
      </c>
      <c r="F1362" s="14">
        <v>553.33333333333326</v>
      </c>
      <c r="G1362" s="14">
        <v>2157.9999999999995</v>
      </c>
      <c r="H1362" s="14">
        <v>408.66666666666663</v>
      </c>
      <c r="I1362" s="14">
        <v>2140</v>
      </c>
    </row>
    <row r="1363" spans="1:11" ht="16.5" x14ac:dyDescent="0.2">
      <c r="A1363" s="4" t="s">
        <v>183</v>
      </c>
      <c r="B1363">
        <v>2016</v>
      </c>
      <c r="C1363" s="14">
        <v>8409.3333333333339</v>
      </c>
      <c r="D1363" s="14">
        <v>668.66666666666663</v>
      </c>
      <c r="E1363" s="14">
        <v>4290</v>
      </c>
      <c r="F1363" s="14">
        <v>550.66666666666663</v>
      </c>
      <c r="G1363" s="14">
        <v>2176</v>
      </c>
      <c r="H1363" s="14">
        <v>407.33333333333331</v>
      </c>
      <c r="I1363" s="14">
        <v>2135.333333333333</v>
      </c>
      <c r="K1363" s="15"/>
    </row>
    <row r="1364" spans="1:11" ht="16.5" x14ac:dyDescent="0.2">
      <c r="A1364" s="4" t="s">
        <v>182</v>
      </c>
      <c r="B1364">
        <v>2009</v>
      </c>
      <c r="C1364" s="14">
        <v>8621.3333333333321</v>
      </c>
      <c r="D1364" s="14">
        <v>53.999999999999993</v>
      </c>
      <c r="E1364" s="14">
        <v>447.33333333333326</v>
      </c>
      <c r="F1364" s="14">
        <v>1.3333333333333333</v>
      </c>
      <c r="G1364" s="14">
        <v>1829.9999999999998</v>
      </c>
      <c r="H1364" s="14">
        <v>359.99999999999994</v>
      </c>
      <c r="I1364" s="14">
        <v>624.66666666666663</v>
      </c>
    </row>
    <row r="1365" spans="1:11" ht="16.5" x14ac:dyDescent="0.2">
      <c r="A1365" s="4" t="s">
        <v>182</v>
      </c>
      <c r="B1365">
        <v>2010</v>
      </c>
      <c r="C1365" s="14">
        <v>8607.3333333333321</v>
      </c>
      <c r="D1365" s="14">
        <v>53.333333333333329</v>
      </c>
      <c r="E1365" s="14">
        <v>446.66666666666663</v>
      </c>
      <c r="F1365" s="14">
        <v>1.3333333333333333</v>
      </c>
      <c r="G1365" s="14">
        <v>1842.6666666666663</v>
      </c>
      <c r="H1365" s="14">
        <v>361.99999999999994</v>
      </c>
      <c r="I1365" s="14">
        <v>624.66666666666663</v>
      </c>
    </row>
    <row r="1366" spans="1:11" ht="16.5" x14ac:dyDescent="0.2">
      <c r="A1366" s="4" t="s">
        <v>182</v>
      </c>
      <c r="B1366">
        <v>2011</v>
      </c>
      <c r="C1366" s="14">
        <v>8593.3333333333321</v>
      </c>
      <c r="D1366" s="14">
        <v>51.999999999999993</v>
      </c>
      <c r="E1366" s="14">
        <v>443.99999999999994</v>
      </c>
      <c r="F1366" s="14">
        <v>1.3333333333333333</v>
      </c>
      <c r="G1366" s="14">
        <v>1858.6666666666665</v>
      </c>
      <c r="H1366" s="14">
        <v>364</v>
      </c>
      <c r="I1366" s="14">
        <v>623.99999999999989</v>
      </c>
      <c r="K1366" s="15"/>
    </row>
    <row r="1367" spans="1:11" ht="16.5" x14ac:dyDescent="0.2">
      <c r="A1367" s="4" t="s">
        <v>182</v>
      </c>
      <c r="B1367">
        <v>2012</v>
      </c>
      <c r="C1367" s="14">
        <v>8578</v>
      </c>
      <c r="D1367" s="14">
        <v>51.333333333333329</v>
      </c>
      <c r="E1367" s="14">
        <v>438.66666666666663</v>
      </c>
      <c r="F1367" s="14">
        <v>1.3333333333333333</v>
      </c>
      <c r="G1367" s="14">
        <v>1879.3333333333335</v>
      </c>
      <c r="H1367" s="14">
        <v>365.33333333333326</v>
      </c>
      <c r="I1367" s="14">
        <v>623.33333333333326</v>
      </c>
    </row>
    <row r="1368" spans="1:11" ht="16.5" x14ac:dyDescent="0.2">
      <c r="A1368" s="4" t="s">
        <v>182</v>
      </c>
      <c r="B1368">
        <v>2013</v>
      </c>
      <c r="C1368" s="14">
        <v>8561.9999999999982</v>
      </c>
      <c r="D1368" s="14">
        <v>50.666666666666657</v>
      </c>
      <c r="E1368" s="14">
        <v>438</v>
      </c>
      <c r="F1368" s="14">
        <v>1.3333333333333333</v>
      </c>
      <c r="G1368" s="14">
        <v>1892.6666666666667</v>
      </c>
      <c r="H1368" s="14">
        <v>370.66666666666663</v>
      </c>
      <c r="I1368" s="14">
        <v>620</v>
      </c>
      <c r="K1368" s="15"/>
    </row>
    <row r="1369" spans="1:11" ht="16.5" x14ac:dyDescent="0.2">
      <c r="A1369" s="4" t="s">
        <v>182</v>
      </c>
      <c r="B1369">
        <v>2014</v>
      </c>
      <c r="C1369" s="14">
        <v>8545.3333333333321</v>
      </c>
      <c r="D1369" s="14">
        <v>48.666666666666664</v>
      </c>
      <c r="E1369" s="14">
        <v>435.33333333333326</v>
      </c>
      <c r="F1369" s="14">
        <v>1.3333333333333333</v>
      </c>
      <c r="G1369" s="14">
        <v>1913.3333333333333</v>
      </c>
      <c r="H1369" s="14">
        <v>374</v>
      </c>
      <c r="I1369" s="14">
        <v>612.66666666666663</v>
      </c>
    </row>
    <row r="1370" spans="1:11" ht="16.5" x14ac:dyDescent="0.2">
      <c r="A1370" s="4" t="s">
        <v>182</v>
      </c>
      <c r="B1370">
        <v>2015</v>
      </c>
      <c r="C1370" s="14">
        <v>8530.6666666666661</v>
      </c>
      <c r="D1370" s="14">
        <v>48</v>
      </c>
      <c r="E1370" s="14">
        <v>431.99999999999994</v>
      </c>
      <c r="F1370" s="14">
        <v>1.3333333333333333</v>
      </c>
      <c r="G1370" s="14">
        <v>1929.3333333333335</v>
      </c>
      <c r="H1370" s="14">
        <v>375.33333333333326</v>
      </c>
      <c r="I1370" s="14">
        <v>610.66666666666663</v>
      </c>
    </row>
    <row r="1371" spans="1:11" ht="16.5" x14ac:dyDescent="0.2">
      <c r="A1371" s="4" t="s">
        <v>182</v>
      </c>
      <c r="B1371">
        <v>2016</v>
      </c>
      <c r="C1371" s="14">
        <v>8561.3333333333321</v>
      </c>
      <c r="D1371" s="14">
        <v>41.333333333333329</v>
      </c>
      <c r="E1371" s="14">
        <v>398.66666666666663</v>
      </c>
      <c r="F1371" s="14">
        <v>1.3333333333333333</v>
      </c>
      <c r="G1371" s="14">
        <v>1938.6666666666663</v>
      </c>
      <c r="H1371" s="14">
        <v>377.33333333333331</v>
      </c>
      <c r="I1371" s="14">
        <v>601.99999999999989</v>
      </c>
      <c r="K1371" s="15"/>
    </row>
    <row r="1372" spans="1:11" ht="16.5" x14ac:dyDescent="0.2">
      <c r="A1372" s="4" t="s">
        <v>181</v>
      </c>
      <c r="B1372">
        <v>2009</v>
      </c>
      <c r="C1372" s="14">
        <v>9547.3333333333321</v>
      </c>
      <c r="D1372" s="14">
        <v>27.333333333333329</v>
      </c>
      <c r="E1372" s="14">
        <v>1625.3333333333333</v>
      </c>
      <c r="F1372" s="14">
        <v>313.33333333333331</v>
      </c>
      <c r="G1372" s="14">
        <v>1765.9999999999998</v>
      </c>
      <c r="H1372" s="14">
        <v>497.33333333333326</v>
      </c>
      <c r="I1372" s="14">
        <v>1092.6666666666665</v>
      </c>
    </row>
    <row r="1373" spans="1:11" ht="16.5" x14ac:dyDescent="0.2">
      <c r="A1373" s="4" t="s">
        <v>181</v>
      </c>
      <c r="B1373">
        <v>2010</v>
      </c>
      <c r="C1373" s="14">
        <v>9550.6666666666661</v>
      </c>
      <c r="D1373" s="14">
        <v>27.333333333333329</v>
      </c>
      <c r="E1373" s="14">
        <v>1622.6666666666665</v>
      </c>
      <c r="F1373" s="14">
        <v>300</v>
      </c>
      <c r="G1373" s="14">
        <v>1779.9999999999998</v>
      </c>
      <c r="H1373" s="14">
        <v>498</v>
      </c>
      <c r="I1373" s="14">
        <v>1092.6666666666665</v>
      </c>
      <c r="K1373" s="15"/>
    </row>
    <row r="1374" spans="1:11" ht="16.5" x14ac:dyDescent="0.2">
      <c r="A1374" s="4" t="s">
        <v>181</v>
      </c>
      <c r="B1374">
        <v>2011</v>
      </c>
      <c r="C1374" s="14">
        <v>9532.6666666666661</v>
      </c>
      <c r="D1374" s="14">
        <v>26.666666666666664</v>
      </c>
      <c r="E1374" s="14">
        <v>1619.3333333333333</v>
      </c>
      <c r="F1374" s="14">
        <v>299.33333333333331</v>
      </c>
      <c r="G1374" s="14">
        <v>1799.3333333333335</v>
      </c>
      <c r="H1374" s="14">
        <v>499.99999999999994</v>
      </c>
      <c r="I1374" s="14">
        <v>1092</v>
      </c>
    </row>
    <row r="1375" spans="1:11" ht="16.5" x14ac:dyDescent="0.2">
      <c r="A1375" s="4" t="s">
        <v>181</v>
      </c>
      <c r="B1375">
        <v>2012</v>
      </c>
      <c r="C1375" s="14">
        <v>9516</v>
      </c>
      <c r="D1375" s="14">
        <v>26.666666666666664</v>
      </c>
      <c r="E1375" s="14">
        <v>1617.3333333333333</v>
      </c>
      <c r="F1375" s="14">
        <v>297.33333333333331</v>
      </c>
      <c r="G1375" s="14">
        <v>1818.0000000000002</v>
      </c>
      <c r="H1375" s="14">
        <v>501.33333333333331</v>
      </c>
      <c r="I1375" s="14">
        <v>1091.3333333333333</v>
      </c>
    </row>
    <row r="1376" spans="1:11" ht="16.5" x14ac:dyDescent="0.2">
      <c r="A1376" s="4" t="s">
        <v>181</v>
      </c>
      <c r="B1376">
        <v>2013</v>
      </c>
      <c r="C1376" s="14">
        <v>9498.6666666666661</v>
      </c>
      <c r="D1376" s="14">
        <v>26.666666666666664</v>
      </c>
      <c r="E1376" s="14">
        <v>1615.3333333333333</v>
      </c>
      <c r="F1376" s="14">
        <v>295.33333333333331</v>
      </c>
      <c r="G1376" s="14">
        <v>1836.6666666666665</v>
      </c>
      <c r="H1376" s="14">
        <v>505.33333333333326</v>
      </c>
      <c r="I1376" s="14">
        <v>1090.6666666666665</v>
      </c>
      <c r="K1376" s="15"/>
    </row>
    <row r="1377" spans="1:11" ht="16.5" x14ac:dyDescent="0.2">
      <c r="A1377" s="4" t="s">
        <v>181</v>
      </c>
      <c r="B1377">
        <v>2014</v>
      </c>
      <c r="C1377" s="14">
        <v>9483.9999999999982</v>
      </c>
      <c r="D1377" s="14">
        <v>25.999999999999996</v>
      </c>
      <c r="E1377" s="14">
        <v>1611.333333333333</v>
      </c>
      <c r="F1377" s="14">
        <v>291.33333333333331</v>
      </c>
      <c r="G1377" s="14">
        <v>1854.6666666666665</v>
      </c>
      <c r="H1377" s="14">
        <v>508.66666666666663</v>
      </c>
      <c r="I1377" s="14">
        <v>1090</v>
      </c>
    </row>
    <row r="1378" spans="1:11" ht="16.5" x14ac:dyDescent="0.2">
      <c r="A1378" s="4" t="s">
        <v>181</v>
      </c>
      <c r="B1378">
        <v>2015</v>
      </c>
      <c r="C1378" s="14">
        <v>9470.6666666666661</v>
      </c>
      <c r="D1378" s="14">
        <v>25.999999999999996</v>
      </c>
      <c r="E1378" s="14">
        <v>1608.6666666666665</v>
      </c>
      <c r="F1378" s="14">
        <v>284.66666666666669</v>
      </c>
      <c r="G1378" s="14">
        <v>1876.6666666666665</v>
      </c>
      <c r="H1378" s="14">
        <v>510.66666666666657</v>
      </c>
      <c r="I1378" s="14">
        <v>1088.6666666666667</v>
      </c>
      <c r="K1378" s="15"/>
    </row>
    <row r="1379" spans="1:11" ht="16.5" x14ac:dyDescent="0.2">
      <c r="A1379" s="4" t="s">
        <v>181</v>
      </c>
      <c r="B1379">
        <v>2016</v>
      </c>
      <c r="C1379" s="14">
        <v>9455.3333333333321</v>
      </c>
      <c r="D1379" s="14">
        <v>25.999999999999996</v>
      </c>
      <c r="E1379" s="14">
        <v>1606.6666666666665</v>
      </c>
      <c r="F1379" s="14">
        <v>281.99999999999994</v>
      </c>
      <c r="G1379" s="14">
        <v>1899.333333333333</v>
      </c>
      <c r="H1379" s="14">
        <v>510.66666666666657</v>
      </c>
      <c r="I1379" s="14">
        <v>1086</v>
      </c>
    </row>
    <row r="1380" spans="1:11" ht="16.5" x14ac:dyDescent="0.2">
      <c r="A1380" s="4" t="s">
        <v>180</v>
      </c>
      <c r="B1380">
        <v>2009</v>
      </c>
      <c r="C1380" s="14">
        <v>471.33333333333331</v>
      </c>
      <c r="D1380" s="14">
        <v>40</v>
      </c>
      <c r="E1380" s="14">
        <v>892.66666666666663</v>
      </c>
      <c r="F1380" s="14">
        <v>53.333333333333329</v>
      </c>
      <c r="G1380" s="14">
        <v>178</v>
      </c>
      <c r="H1380" s="14">
        <v>45.333333333333329</v>
      </c>
      <c r="I1380" s="14">
        <v>125.33333333333333</v>
      </c>
    </row>
    <row r="1381" spans="1:11" ht="16.5" x14ac:dyDescent="0.2">
      <c r="A1381" s="4" t="s">
        <v>180</v>
      </c>
      <c r="B1381">
        <v>2010</v>
      </c>
      <c r="C1381" s="14">
        <v>469.99999999999994</v>
      </c>
      <c r="D1381" s="14">
        <v>39.333333333333336</v>
      </c>
      <c r="E1381" s="14">
        <v>889.33333333333326</v>
      </c>
      <c r="F1381" s="14">
        <v>56</v>
      </c>
      <c r="G1381" s="14">
        <v>180.66666666666666</v>
      </c>
      <c r="H1381" s="14">
        <v>45.333333333333329</v>
      </c>
      <c r="I1381" s="14">
        <v>125.33333333333333</v>
      </c>
      <c r="K1381" s="15"/>
    </row>
    <row r="1382" spans="1:11" ht="16.5" x14ac:dyDescent="0.2">
      <c r="A1382" s="4" t="s">
        <v>180</v>
      </c>
      <c r="B1382">
        <v>2011</v>
      </c>
      <c r="C1382" s="14">
        <v>468</v>
      </c>
      <c r="D1382" s="14">
        <v>38.666666666666664</v>
      </c>
      <c r="E1382" s="14">
        <v>887.33333333333326</v>
      </c>
      <c r="F1382" s="14">
        <v>57.333333333333329</v>
      </c>
      <c r="G1382" s="14">
        <v>183.33333333333331</v>
      </c>
      <c r="H1382" s="14">
        <v>45.333333333333329</v>
      </c>
      <c r="I1382" s="14">
        <v>125.33333333333333</v>
      </c>
    </row>
    <row r="1383" spans="1:11" ht="16.5" x14ac:dyDescent="0.2">
      <c r="A1383" s="4" t="s">
        <v>180</v>
      </c>
      <c r="B1383">
        <v>2012</v>
      </c>
      <c r="C1383" s="14">
        <v>464.66666666666663</v>
      </c>
      <c r="D1383" s="14">
        <v>38</v>
      </c>
      <c r="E1383" s="14">
        <v>886.66666666666663</v>
      </c>
      <c r="F1383" s="14">
        <v>56.666666666666664</v>
      </c>
      <c r="G1383" s="14">
        <v>187.33333333333331</v>
      </c>
      <c r="H1383" s="14">
        <v>46</v>
      </c>
      <c r="I1383" s="14">
        <v>125.33333333333333</v>
      </c>
      <c r="K1383" s="15"/>
    </row>
    <row r="1384" spans="1:11" ht="16.5" x14ac:dyDescent="0.2">
      <c r="A1384" s="4" t="s">
        <v>180</v>
      </c>
      <c r="B1384">
        <v>2013</v>
      </c>
      <c r="C1384" s="14">
        <v>460.66666666666657</v>
      </c>
      <c r="D1384" s="14">
        <v>38</v>
      </c>
      <c r="E1384" s="14">
        <v>886</v>
      </c>
      <c r="F1384" s="14">
        <v>56.666666666666664</v>
      </c>
      <c r="G1384" s="14">
        <v>192.66666666666663</v>
      </c>
      <c r="H1384" s="14">
        <v>46.666666666666664</v>
      </c>
      <c r="I1384" s="14">
        <v>125.33333333333333</v>
      </c>
    </row>
    <row r="1385" spans="1:11" ht="16.5" x14ac:dyDescent="0.2">
      <c r="A1385" s="4" t="s">
        <v>180</v>
      </c>
      <c r="B1385">
        <v>2014</v>
      </c>
      <c r="C1385" s="14">
        <v>459.33333333333331</v>
      </c>
      <c r="D1385" s="14">
        <v>38</v>
      </c>
      <c r="E1385" s="14">
        <v>886</v>
      </c>
      <c r="F1385" s="14">
        <v>56</v>
      </c>
      <c r="G1385" s="14">
        <v>194</v>
      </c>
      <c r="H1385" s="14">
        <v>47.333333333333329</v>
      </c>
      <c r="I1385" s="14">
        <v>125.33333333333333</v>
      </c>
    </row>
    <row r="1386" spans="1:11" ht="16.5" x14ac:dyDescent="0.2">
      <c r="A1386" s="4" t="s">
        <v>180</v>
      </c>
      <c r="B1386">
        <v>2015</v>
      </c>
      <c r="C1386" s="14">
        <v>458</v>
      </c>
      <c r="D1386" s="14">
        <v>38</v>
      </c>
      <c r="E1386" s="14">
        <v>885.33333333333337</v>
      </c>
      <c r="F1386" s="14">
        <v>56</v>
      </c>
      <c r="G1386" s="14">
        <v>196</v>
      </c>
      <c r="H1386" s="14">
        <v>47.333333333333329</v>
      </c>
      <c r="I1386" s="14">
        <v>125.33333333333333</v>
      </c>
      <c r="K1386" s="15"/>
    </row>
    <row r="1387" spans="1:11" ht="16.5" x14ac:dyDescent="0.2">
      <c r="A1387" s="4" t="s">
        <v>180</v>
      </c>
      <c r="B1387">
        <v>2016</v>
      </c>
      <c r="C1387" s="14">
        <v>457.33333333333326</v>
      </c>
      <c r="D1387" s="14">
        <v>37.333333333333329</v>
      </c>
      <c r="E1387" s="14">
        <v>886</v>
      </c>
      <c r="F1387" s="14">
        <v>56</v>
      </c>
      <c r="G1387" s="14">
        <v>196.66666666666666</v>
      </c>
      <c r="H1387" s="14">
        <v>46.666666666666664</v>
      </c>
      <c r="I1387" s="14">
        <v>125.33333333333333</v>
      </c>
    </row>
    <row r="1388" spans="1:11" ht="16.5" x14ac:dyDescent="0.2">
      <c r="A1388" s="4" t="s">
        <v>179</v>
      </c>
      <c r="B1388">
        <v>2009</v>
      </c>
      <c r="C1388" s="14">
        <v>3208.6666666666665</v>
      </c>
      <c r="D1388" s="14">
        <v>82.666666666666657</v>
      </c>
      <c r="E1388" s="14">
        <v>979.99999999999989</v>
      </c>
      <c r="F1388" s="14">
        <v>40</v>
      </c>
      <c r="G1388" s="14">
        <v>1264.6666666666667</v>
      </c>
      <c r="H1388" s="14">
        <v>243.33333333333331</v>
      </c>
      <c r="I1388" s="14">
        <v>2556.6666666666665</v>
      </c>
      <c r="K1388" s="15"/>
    </row>
    <row r="1389" spans="1:11" ht="16.5" x14ac:dyDescent="0.2">
      <c r="A1389" s="4" t="s">
        <v>179</v>
      </c>
      <c r="B1389">
        <v>2010</v>
      </c>
      <c r="C1389" s="14">
        <v>3174.6666666666665</v>
      </c>
      <c r="D1389" s="14">
        <v>81.333333333333314</v>
      </c>
      <c r="E1389" s="14">
        <v>976</v>
      </c>
      <c r="F1389" s="14">
        <v>38.666666666666664</v>
      </c>
      <c r="G1389" s="14">
        <v>1306</v>
      </c>
      <c r="H1389" s="14">
        <v>251.99999999999997</v>
      </c>
      <c r="I1389" s="14">
        <v>2542.6666666666665</v>
      </c>
    </row>
    <row r="1390" spans="1:11" ht="16.5" x14ac:dyDescent="0.2">
      <c r="A1390" s="4" t="s">
        <v>179</v>
      </c>
      <c r="B1390">
        <v>2011</v>
      </c>
      <c r="C1390" s="14">
        <v>3129.9999999999995</v>
      </c>
      <c r="D1390" s="14">
        <v>81.333333333333314</v>
      </c>
      <c r="E1390" s="14">
        <v>971.33333333333314</v>
      </c>
      <c r="F1390" s="14">
        <v>36.666666666666664</v>
      </c>
      <c r="G1390" s="14">
        <v>1369.333333333333</v>
      </c>
      <c r="H1390" s="14">
        <v>260</v>
      </c>
      <c r="I1390" s="14">
        <v>2522.6666666666665</v>
      </c>
    </row>
    <row r="1391" spans="1:11" ht="16.5" x14ac:dyDescent="0.2">
      <c r="A1391" s="4" t="s">
        <v>179</v>
      </c>
      <c r="B1391">
        <v>2012</v>
      </c>
      <c r="C1391" s="14">
        <v>3083.333333333333</v>
      </c>
      <c r="D1391" s="14">
        <v>79.333333333333329</v>
      </c>
      <c r="E1391" s="14">
        <v>967.33333333333326</v>
      </c>
      <c r="F1391" s="14">
        <v>36</v>
      </c>
      <c r="G1391" s="14">
        <v>1432</v>
      </c>
      <c r="H1391" s="14">
        <v>268.66666666666663</v>
      </c>
      <c r="I1391" s="14">
        <v>2505.9999999999995</v>
      </c>
      <c r="K1391" s="15"/>
    </row>
    <row r="1392" spans="1:11" ht="16.5" x14ac:dyDescent="0.2">
      <c r="A1392" s="4" t="s">
        <v>179</v>
      </c>
      <c r="B1392">
        <v>2013</v>
      </c>
      <c r="C1392" s="14">
        <v>3048.6666666666665</v>
      </c>
      <c r="D1392" s="14">
        <v>79.333333333333329</v>
      </c>
      <c r="E1392" s="14">
        <v>963.33333333333326</v>
      </c>
      <c r="F1392" s="14">
        <v>35.333333333333329</v>
      </c>
      <c r="G1392" s="14">
        <v>1472.6666666666663</v>
      </c>
      <c r="H1392" s="14">
        <v>280.66666666666663</v>
      </c>
      <c r="I1392" s="14">
        <v>2491.333333333333</v>
      </c>
    </row>
    <row r="1393" spans="1:11" ht="16.5" x14ac:dyDescent="0.2">
      <c r="A1393" s="4" t="s">
        <v>179</v>
      </c>
      <c r="B1393">
        <v>2014</v>
      </c>
      <c r="C1393" s="14">
        <v>3018.6666666666665</v>
      </c>
      <c r="D1393" s="14">
        <v>77.999999999999986</v>
      </c>
      <c r="E1393" s="14">
        <v>961.33333333333314</v>
      </c>
      <c r="F1393" s="14">
        <v>33.999999999999993</v>
      </c>
      <c r="G1393" s="14">
        <v>1506.6666666666665</v>
      </c>
      <c r="H1393" s="14">
        <v>292.66666666666663</v>
      </c>
      <c r="I1393" s="14">
        <v>2478.6666666666665</v>
      </c>
      <c r="K1393" s="15"/>
    </row>
    <row r="1394" spans="1:11" ht="16.5" x14ac:dyDescent="0.2">
      <c r="A1394" s="4" t="s">
        <v>179</v>
      </c>
      <c r="B1394">
        <v>2015</v>
      </c>
      <c r="C1394" s="14">
        <v>2990.6666666666665</v>
      </c>
      <c r="D1394" s="14">
        <v>77.333333333333329</v>
      </c>
      <c r="E1394" s="14">
        <v>958.66666666666663</v>
      </c>
      <c r="F1394" s="14">
        <v>33.999999999999993</v>
      </c>
      <c r="G1394" s="14">
        <v>1541.333333333333</v>
      </c>
      <c r="H1394" s="14">
        <v>299.33333333333331</v>
      </c>
      <c r="I1394" s="14">
        <v>2468.6666666666665</v>
      </c>
    </row>
    <row r="1395" spans="1:11" ht="16.5" x14ac:dyDescent="0.2">
      <c r="A1395" s="4" t="s">
        <v>179</v>
      </c>
      <c r="B1395">
        <v>2016</v>
      </c>
      <c r="C1395" s="14">
        <v>2976.6666666666665</v>
      </c>
      <c r="D1395" s="14">
        <v>76.666666666666657</v>
      </c>
      <c r="E1395" s="14">
        <v>956.66666666666663</v>
      </c>
      <c r="F1395" s="14">
        <v>33.333333333333329</v>
      </c>
      <c r="G1395" s="14">
        <v>1556</v>
      </c>
      <c r="H1395" s="14">
        <v>306.66666666666663</v>
      </c>
      <c r="I1395" s="14">
        <v>2462</v>
      </c>
    </row>
    <row r="1396" spans="1:11" ht="16.5" x14ac:dyDescent="0.2">
      <c r="A1396" s="4" t="s">
        <v>178</v>
      </c>
      <c r="B1396">
        <v>2009</v>
      </c>
      <c r="C1396" s="14">
        <v>1204.6666666666665</v>
      </c>
      <c r="D1396" s="14">
        <v>71.333333333333329</v>
      </c>
      <c r="E1396" s="14">
        <v>1706.6666666666665</v>
      </c>
      <c r="F1396" s="14">
        <v>216.66666666666666</v>
      </c>
      <c r="G1396" s="14">
        <v>448.66666666666663</v>
      </c>
      <c r="H1396" s="14">
        <v>63.333333333333329</v>
      </c>
      <c r="I1396" s="14">
        <v>694.66666666666663</v>
      </c>
      <c r="K1396" s="15"/>
    </row>
    <row r="1397" spans="1:11" ht="16.5" x14ac:dyDescent="0.2">
      <c r="A1397" s="4" t="s">
        <v>178</v>
      </c>
      <c r="B1397">
        <v>2010</v>
      </c>
      <c r="C1397" s="14">
        <v>1203.3333333333333</v>
      </c>
      <c r="D1397" s="14">
        <v>71.333333333333329</v>
      </c>
      <c r="E1397" s="14">
        <v>1703.9999999999998</v>
      </c>
      <c r="F1397" s="14">
        <v>212.66666666666663</v>
      </c>
      <c r="G1397" s="14">
        <v>456</v>
      </c>
      <c r="H1397" s="14">
        <v>64.666666666666657</v>
      </c>
      <c r="I1397" s="14">
        <v>693.99999999999989</v>
      </c>
    </row>
    <row r="1398" spans="1:11" ht="16.5" x14ac:dyDescent="0.2">
      <c r="A1398" s="4" t="s">
        <v>178</v>
      </c>
      <c r="B1398">
        <v>2011</v>
      </c>
      <c r="C1398" s="14">
        <v>1204.6666666666665</v>
      </c>
      <c r="D1398" s="14">
        <v>70.666666666666657</v>
      </c>
      <c r="E1398" s="14">
        <v>1697.9999999999998</v>
      </c>
      <c r="F1398" s="14">
        <v>202</v>
      </c>
      <c r="G1398" s="14">
        <v>469.33333333333326</v>
      </c>
      <c r="H1398" s="14">
        <v>66</v>
      </c>
      <c r="I1398" s="14">
        <v>693.33333333333326</v>
      </c>
      <c r="K1398" s="15"/>
    </row>
    <row r="1399" spans="1:11" ht="16.5" x14ac:dyDescent="0.2">
      <c r="A1399" s="4" t="s">
        <v>178</v>
      </c>
      <c r="B1399">
        <v>2012</v>
      </c>
      <c r="C1399" s="14">
        <v>1186</v>
      </c>
      <c r="D1399" s="14">
        <v>69.333333333333329</v>
      </c>
      <c r="E1399" s="14">
        <v>1693.9999999999998</v>
      </c>
      <c r="F1399" s="14">
        <v>195.33333333333331</v>
      </c>
      <c r="G1399" s="14">
        <v>501.33333333333331</v>
      </c>
      <c r="H1399" s="14">
        <v>68.666666666666671</v>
      </c>
      <c r="I1399" s="14">
        <v>691.33333333333326</v>
      </c>
    </row>
    <row r="1400" spans="1:11" ht="16.5" x14ac:dyDescent="0.2">
      <c r="A1400" s="4" t="s">
        <v>178</v>
      </c>
      <c r="B1400">
        <v>2013</v>
      </c>
      <c r="C1400" s="14">
        <v>1192.6666666666665</v>
      </c>
      <c r="D1400" s="14">
        <v>70</v>
      </c>
      <c r="E1400" s="14">
        <v>1694.6666666666665</v>
      </c>
      <c r="F1400" s="14">
        <v>191.33333333333331</v>
      </c>
      <c r="G1400" s="14">
        <v>495.33333333333326</v>
      </c>
      <c r="H1400" s="14">
        <v>70</v>
      </c>
      <c r="I1400" s="14">
        <v>689.99999999999989</v>
      </c>
    </row>
    <row r="1401" spans="1:11" ht="16.5" x14ac:dyDescent="0.2">
      <c r="A1401" s="4" t="s">
        <v>178</v>
      </c>
      <c r="B1401">
        <v>2014</v>
      </c>
      <c r="C1401" s="14">
        <v>1182.6666666666665</v>
      </c>
      <c r="D1401" s="14">
        <v>69.333333333333329</v>
      </c>
      <c r="E1401" s="14">
        <v>1694.6666666666665</v>
      </c>
      <c r="F1401" s="14">
        <v>189.99999999999997</v>
      </c>
      <c r="G1401" s="14">
        <v>509.99999999999994</v>
      </c>
      <c r="H1401" s="14">
        <v>71.333333333333329</v>
      </c>
      <c r="I1401" s="14">
        <v>687.33333333333326</v>
      </c>
      <c r="K1401" s="15"/>
    </row>
    <row r="1402" spans="1:11" ht="16.5" x14ac:dyDescent="0.2">
      <c r="A1402" s="4" t="s">
        <v>178</v>
      </c>
      <c r="B1402">
        <v>2015</v>
      </c>
      <c r="C1402" s="14">
        <v>1180.6666666666665</v>
      </c>
      <c r="D1402" s="14">
        <v>68.666666666666671</v>
      </c>
      <c r="E1402" s="14">
        <v>1693.3333333333333</v>
      </c>
      <c r="F1402" s="14">
        <v>185.33333333333331</v>
      </c>
      <c r="G1402" s="14">
        <v>515.99999999999989</v>
      </c>
      <c r="H1402" s="14">
        <v>75.333333333333329</v>
      </c>
      <c r="I1402" s="14">
        <v>685.33333333333326</v>
      </c>
    </row>
    <row r="1403" spans="1:11" ht="16.5" x14ac:dyDescent="0.2">
      <c r="A1403" s="4" t="s">
        <v>178</v>
      </c>
      <c r="B1403">
        <v>2016</v>
      </c>
      <c r="C1403" s="14">
        <v>1176.6666666666665</v>
      </c>
      <c r="D1403" s="14">
        <v>67.999999999999986</v>
      </c>
      <c r="E1403" s="14">
        <v>1692.6666666666665</v>
      </c>
      <c r="F1403" s="14">
        <v>184.66666666666666</v>
      </c>
      <c r="G1403" s="14">
        <v>518.66666666666674</v>
      </c>
      <c r="H1403" s="14">
        <v>79.333333333333329</v>
      </c>
      <c r="I1403" s="14">
        <v>684.66666666666663</v>
      </c>
      <c r="K1403" s="15"/>
    </row>
    <row r="1404" spans="1:11" ht="16.5" x14ac:dyDescent="0.2">
      <c r="A1404" s="4" t="s">
        <v>177</v>
      </c>
      <c r="B1404">
        <v>2009</v>
      </c>
      <c r="C1404" s="14">
        <v>2447.3333333333335</v>
      </c>
      <c r="D1404" s="14">
        <v>595.33333333333326</v>
      </c>
      <c r="E1404" s="14">
        <v>18330.666666666664</v>
      </c>
      <c r="F1404" s="14">
        <v>515.33333333333326</v>
      </c>
      <c r="G1404" s="14">
        <v>563.99999999999989</v>
      </c>
      <c r="H1404" s="14">
        <v>138.66666666666666</v>
      </c>
      <c r="I1404" s="14">
        <v>728.66666666666663</v>
      </c>
    </row>
    <row r="1405" spans="1:11" ht="16.5" x14ac:dyDescent="0.2">
      <c r="A1405" s="4" t="s">
        <v>177</v>
      </c>
      <c r="B1405">
        <v>2010</v>
      </c>
      <c r="C1405" s="14">
        <v>2445.333333333333</v>
      </c>
      <c r="D1405" s="14">
        <v>593.33333333333326</v>
      </c>
      <c r="E1405" s="14">
        <v>18310.666666666664</v>
      </c>
      <c r="F1405" s="14">
        <v>513.33333333333326</v>
      </c>
      <c r="G1405" s="14">
        <v>576</v>
      </c>
      <c r="H1405" s="14">
        <v>149.33333333333331</v>
      </c>
      <c r="I1405" s="14">
        <v>728.66666666666663</v>
      </c>
    </row>
    <row r="1406" spans="1:11" ht="16.5" x14ac:dyDescent="0.2">
      <c r="A1406" s="4" t="s">
        <v>177</v>
      </c>
      <c r="B1406">
        <v>2011</v>
      </c>
      <c r="C1406" s="14">
        <v>2448.6666666666665</v>
      </c>
      <c r="D1406" s="14">
        <v>590.66666666666663</v>
      </c>
      <c r="E1406" s="14">
        <v>18297.999999999996</v>
      </c>
      <c r="F1406" s="14">
        <v>511.99999999999994</v>
      </c>
      <c r="G1406" s="14">
        <v>585.33333333333337</v>
      </c>
      <c r="H1406" s="14">
        <v>150</v>
      </c>
      <c r="I1406" s="14">
        <v>729.99999999999989</v>
      </c>
      <c r="K1406" s="15"/>
    </row>
    <row r="1407" spans="1:11" ht="16.5" x14ac:dyDescent="0.2">
      <c r="A1407" s="4" t="s">
        <v>177</v>
      </c>
      <c r="B1407">
        <v>2012</v>
      </c>
      <c r="C1407" s="14">
        <v>2447.9999999999995</v>
      </c>
      <c r="D1407" s="14">
        <v>583.99999999999989</v>
      </c>
      <c r="E1407" s="14">
        <v>18277.999999999996</v>
      </c>
      <c r="F1407" s="14">
        <v>509.99999999999994</v>
      </c>
      <c r="G1407" s="14">
        <v>609.33333333333326</v>
      </c>
      <c r="H1407" s="14">
        <v>155.99999999999997</v>
      </c>
      <c r="I1407" s="14">
        <v>728</v>
      </c>
    </row>
    <row r="1408" spans="1:11" ht="16.5" x14ac:dyDescent="0.2">
      <c r="A1408" s="4" t="s">
        <v>177</v>
      </c>
      <c r="B1408">
        <v>2013</v>
      </c>
      <c r="C1408" s="14">
        <v>2448.6666666666665</v>
      </c>
      <c r="D1408" s="14">
        <v>581.99999999999989</v>
      </c>
      <c r="E1408" s="14">
        <v>18262.666666666664</v>
      </c>
      <c r="F1408" s="14">
        <v>509.33333333333331</v>
      </c>
      <c r="G1408" s="14">
        <v>621.99999999999989</v>
      </c>
      <c r="H1408" s="14">
        <v>161.33333333333331</v>
      </c>
      <c r="I1408" s="14">
        <v>727.33333333333326</v>
      </c>
      <c r="K1408" s="15"/>
    </row>
    <row r="1409" spans="1:11" ht="16.5" x14ac:dyDescent="0.2">
      <c r="A1409" s="4" t="s">
        <v>177</v>
      </c>
      <c r="B1409">
        <v>2014</v>
      </c>
      <c r="C1409" s="14">
        <v>2427.9999999999995</v>
      </c>
      <c r="D1409" s="14">
        <v>577.33333333333326</v>
      </c>
      <c r="E1409" s="14">
        <v>18230.666666666664</v>
      </c>
      <c r="F1409" s="14">
        <v>506.66666666666663</v>
      </c>
      <c r="G1409" s="14">
        <v>640</v>
      </c>
      <c r="H1409" s="14">
        <v>165.33333333333331</v>
      </c>
      <c r="I1409" s="14">
        <v>768</v>
      </c>
    </row>
    <row r="1410" spans="1:11" ht="16.5" x14ac:dyDescent="0.2">
      <c r="A1410" s="4" t="s">
        <v>177</v>
      </c>
      <c r="B1410">
        <v>2015</v>
      </c>
      <c r="C1410" s="14">
        <v>2422</v>
      </c>
      <c r="D1410" s="14">
        <v>575.33333333333326</v>
      </c>
      <c r="E1410" s="14">
        <v>18223.333333333332</v>
      </c>
      <c r="F1410" s="14">
        <v>506</v>
      </c>
      <c r="G1410" s="14">
        <v>650.66666666666663</v>
      </c>
      <c r="H1410" s="14">
        <v>167.99999999999997</v>
      </c>
      <c r="I1410" s="14">
        <v>768.66666666666663</v>
      </c>
    </row>
    <row r="1411" spans="1:11" ht="16.5" x14ac:dyDescent="0.2">
      <c r="A1411" s="4" t="s">
        <v>177</v>
      </c>
      <c r="B1411">
        <v>2016</v>
      </c>
      <c r="C1411" s="14">
        <v>2400</v>
      </c>
      <c r="D1411" s="14">
        <v>573.99999999999989</v>
      </c>
      <c r="E1411" s="14">
        <v>18224.666666666664</v>
      </c>
      <c r="F1411" s="14">
        <v>504.66666666666663</v>
      </c>
      <c r="G1411" s="14">
        <v>660.66666666666663</v>
      </c>
      <c r="H1411" s="14">
        <v>169.99999999999997</v>
      </c>
      <c r="I1411" s="14">
        <v>782.66666666666663</v>
      </c>
      <c r="K1411" s="15"/>
    </row>
    <row r="1412" spans="1:11" ht="16.5" x14ac:dyDescent="0.2">
      <c r="A1412" s="4" t="s">
        <v>176</v>
      </c>
      <c r="B1412">
        <v>2009</v>
      </c>
      <c r="C1412" s="14">
        <v>3470.6666666666665</v>
      </c>
      <c r="D1412" s="14">
        <v>1622</v>
      </c>
      <c r="E1412" s="14">
        <v>13450.666666666664</v>
      </c>
      <c r="F1412" s="14">
        <v>122.66666666666664</v>
      </c>
      <c r="G1412" s="14">
        <v>854.66666666666652</v>
      </c>
      <c r="H1412" s="14">
        <v>250.66666666666666</v>
      </c>
      <c r="I1412" s="14">
        <v>1167.9999999999998</v>
      </c>
    </row>
    <row r="1413" spans="1:11" ht="16.5" x14ac:dyDescent="0.2">
      <c r="A1413" s="4" t="s">
        <v>176</v>
      </c>
      <c r="B1413">
        <v>2010</v>
      </c>
      <c r="C1413" s="14">
        <v>3469.9999999999995</v>
      </c>
      <c r="D1413" s="14">
        <v>1606.6666666666665</v>
      </c>
      <c r="E1413" s="14">
        <v>13434.666666666666</v>
      </c>
      <c r="F1413" s="14">
        <v>122</v>
      </c>
      <c r="G1413" s="14">
        <v>879.33333333333326</v>
      </c>
      <c r="H1413" s="14">
        <v>259.33333333333331</v>
      </c>
      <c r="I1413" s="14">
        <v>1163.9999999999998</v>
      </c>
      <c r="K1413" s="15"/>
    </row>
    <row r="1414" spans="1:11" ht="16.5" x14ac:dyDescent="0.2">
      <c r="A1414" s="4" t="s">
        <v>176</v>
      </c>
      <c r="B1414">
        <v>2011</v>
      </c>
      <c r="C1414" s="14">
        <v>3475.3333333333326</v>
      </c>
      <c r="D1414" s="14">
        <v>1595.3333333333333</v>
      </c>
      <c r="E1414" s="14">
        <v>13416</v>
      </c>
      <c r="F1414" s="14">
        <v>121.33333333333331</v>
      </c>
      <c r="G1414" s="14">
        <v>903.33333333333326</v>
      </c>
      <c r="H1414" s="14">
        <v>260.66666666666663</v>
      </c>
      <c r="I1414" s="14">
        <v>1161.3333333333333</v>
      </c>
    </row>
    <row r="1415" spans="1:11" ht="16.5" x14ac:dyDescent="0.2">
      <c r="A1415" s="4" t="s">
        <v>176</v>
      </c>
      <c r="B1415">
        <v>2012</v>
      </c>
      <c r="C1415" s="14">
        <v>3483.333333333333</v>
      </c>
      <c r="D1415" s="14">
        <v>1582.6666666666665</v>
      </c>
      <c r="E1415" s="14">
        <v>13396.666666666666</v>
      </c>
      <c r="F1415" s="14">
        <v>119.99999999999999</v>
      </c>
      <c r="G1415" s="14">
        <v>923.33333333333326</v>
      </c>
      <c r="H1415" s="14">
        <v>266.66666666666663</v>
      </c>
      <c r="I1415" s="14">
        <v>1159.3333333333333</v>
      </c>
    </row>
    <row r="1416" spans="1:11" ht="16.5" x14ac:dyDescent="0.2">
      <c r="A1416" s="4" t="s">
        <v>176</v>
      </c>
      <c r="B1416">
        <v>2013</v>
      </c>
      <c r="C1416" s="14">
        <v>3484.6666666666665</v>
      </c>
      <c r="D1416" s="14">
        <v>1572.6666666666665</v>
      </c>
      <c r="E1416" s="14">
        <v>13386.666666666666</v>
      </c>
      <c r="F1416" s="14">
        <v>119.99999999999999</v>
      </c>
      <c r="G1416" s="14">
        <v>937.33333333333326</v>
      </c>
      <c r="H1416" s="14">
        <v>272.66666666666663</v>
      </c>
      <c r="I1416" s="14">
        <v>1156.6666666666665</v>
      </c>
      <c r="K1416" s="15"/>
    </row>
    <row r="1417" spans="1:11" ht="16.5" x14ac:dyDescent="0.2">
      <c r="A1417" s="4" t="s">
        <v>176</v>
      </c>
      <c r="B1417">
        <v>2014</v>
      </c>
      <c r="C1417" s="14">
        <v>3476.6666666666665</v>
      </c>
      <c r="D1417" s="14">
        <v>1554.6666666666665</v>
      </c>
      <c r="E1417" s="14">
        <v>13377.333333333332</v>
      </c>
      <c r="F1417" s="14">
        <v>119.33333333333331</v>
      </c>
      <c r="G1417" s="14">
        <v>965.33333333333337</v>
      </c>
      <c r="H1417" s="14">
        <v>283.33333333333331</v>
      </c>
      <c r="I1417" s="14">
        <v>1153.9999999999998</v>
      </c>
    </row>
    <row r="1418" spans="1:11" ht="16.5" x14ac:dyDescent="0.2">
      <c r="A1418" s="4" t="s">
        <v>176</v>
      </c>
      <c r="B1418">
        <v>2015</v>
      </c>
      <c r="C1418" s="14">
        <v>3479.333333333333</v>
      </c>
      <c r="D1418" s="14">
        <v>1544.6666666666665</v>
      </c>
      <c r="E1418" s="14">
        <v>13371.999999999998</v>
      </c>
      <c r="F1418" s="14">
        <v>119.33333333333331</v>
      </c>
      <c r="G1418" s="14">
        <v>977.33333333333326</v>
      </c>
      <c r="H1418" s="14">
        <v>285.33333333333331</v>
      </c>
      <c r="I1418" s="14">
        <v>1152.6666666666665</v>
      </c>
      <c r="K1418" s="15"/>
    </row>
    <row r="1419" spans="1:11" ht="16.5" x14ac:dyDescent="0.2">
      <c r="A1419" s="4" t="s">
        <v>176</v>
      </c>
      <c r="B1419">
        <v>2016</v>
      </c>
      <c r="C1419" s="14">
        <v>3479.333333333333</v>
      </c>
      <c r="D1419" s="14">
        <v>1540.6666666666665</v>
      </c>
      <c r="E1419" s="14">
        <v>13366.666666666666</v>
      </c>
      <c r="F1419" s="14">
        <v>118.66666666666666</v>
      </c>
      <c r="G1419" s="14">
        <v>985.33333333333337</v>
      </c>
      <c r="H1419" s="14">
        <v>287.33333333333331</v>
      </c>
      <c r="I1419" s="14">
        <v>1152</v>
      </c>
    </row>
    <row r="1420" spans="1:11" ht="16.5" x14ac:dyDescent="0.2">
      <c r="A1420" s="4" t="s">
        <v>175</v>
      </c>
      <c r="B1420">
        <v>2009</v>
      </c>
      <c r="C1420" s="14">
        <v>7190.6666666666652</v>
      </c>
      <c r="D1420" s="14">
        <v>254.66666666666666</v>
      </c>
      <c r="E1420" s="14">
        <v>8525.3333333333321</v>
      </c>
      <c r="F1420" s="14">
        <v>258.66666666666663</v>
      </c>
      <c r="G1420" s="14">
        <v>1192.6666666666665</v>
      </c>
      <c r="H1420" s="14">
        <v>359.99999999999994</v>
      </c>
      <c r="I1420" s="14">
        <v>1507.3333333333333</v>
      </c>
    </row>
    <row r="1421" spans="1:11" ht="16.5" x14ac:dyDescent="0.2">
      <c r="A1421" s="4" t="s">
        <v>175</v>
      </c>
      <c r="B1421">
        <v>2010</v>
      </c>
      <c r="C1421" s="14">
        <v>7167.3333333333321</v>
      </c>
      <c r="D1421" s="14">
        <v>254.66666666666666</v>
      </c>
      <c r="E1421" s="14">
        <v>8518.6666666666661</v>
      </c>
      <c r="F1421" s="14">
        <v>257.33333333333331</v>
      </c>
      <c r="G1421" s="14">
        <v>1217.3333333333333</v>
      </c>
      <c r="H1421" s="14">
        <v>364.66666666666663</v>
      </c>
      <c r="I1421" s="14">
        <v>1505.3333333333333</v>
      </c>
      <c r="K1421" s="15"/>
    </row>
    <row r="1422" spans="1:11" ht="16.5" x14ac:dyDescent="0.2">
      <c r="A1422" s="4" t="s">
        <v>175</v>
      </c>
      <c r="B1422">
        <v>2011</v>
      </c>
      <c r="C1422" s="14">
        <v>7138</v>
      </c>
      <c r="D1422" s="14">
        <v>261.33333333333331</v>
      </c>
      <c r="E1422" s="14">
        <v>8511.9999999999982</v>
      </c>
      <c r="F1422" s="14">
        <v>257.33333333333331</v>
      </c>
      <c r="G1422" s="14">
        <v>1246</v>
      </c>
      <c r="H1422" s="14">
        <v>365.33333333333326</v>
      </c>
      <c r="I1422" s="14">
        <v>1503.3333333333333</v>
      </c>
    </row>
    <row r="1423" spans="1:11" ht="16.5" x14ac:dyDescent="0.2">
      <c r="A1423" s="4" t="s">
        <v>175</v>
      </c>
      <c r="B1423">
        <v>2012</v>
      </c>
      <c r="C1423" s="14">
        <v>7101.9999999999991</v>
      </c>
      <c r="D1423" s="14">
        <v>273.33333333333331</v>
      </c>
      <c r="E1423" s="14">
        <v>8503.3333333333321</v>
      </c>
      <c r="F1423" s="14">
        <v>255.99999999999997</v>
      </c>
      <c r="G1423" s="14">
        <v>1279.3333333333333</v>
      </c>
      <c r="H1423" s="14">
        <v>369.33333333333331</v>
      </c>
      <c r="I1423" s="14">
        <v>1500.6666666666665</v>
      </c>
      <c r="K1423" s="15"/>
    </row>
    <row r="1424" spans="1:11" ht="16.5" x14ac:dyDescent="0.2">
      <c r="A1424" s="4" t="s">
        <v>175</v>
      </c>
      <c r="B1424">
        <v>2013</v>
      </c>
      <c r="C1424" s="14">
        <v>7081.9999999999991</v>
      </c>
      <c r="D1424" s="14">
        <v>278.66666666666663</v>
      </c>
      <c r="E1424" s="14">
        <v>8490.6666666666661</v>
      </c>
      <c r="F1424" s="14">
        <v>254</v>
      </c>
      <c r="G1424" s="14">
        <v>1301.333333333333</v>
      </c>
      <c r="H1424" s="14">
        <v>378.66666666666663</v>
      </c>
      <c r="I1424" s="14">
        <v>1496.6666666666665</v>
      </c>
    </row>
    <row r="1425" spans="1:11" ht="16.5" x14ac:dyDescent="0.2">
      <c r="A1425" s="4" t="s">
        <v>175</v>
      </c>
      <c r="B1425">
        <v>2014</v>
      </c>
      <c r="C1425" s="14">
        <v>7044.6666666666661</v>
      </c>
      <c r="D1425" s="14">
        <v>282.66666666666663</v>
      </c>
      <c r="E1425" s="14">
        <v>8481.3333333333321</v>
      </c>
      <c r="F1425" s="14">
        <v>253.33333333333331</v>
      </c>
      <c r="G1425" s="14">
        <v>1332.6666666666663</v>
      </c>
      <c r="H1425" s="14">
        <v>390.66666666666663</v>
      </c>
      <c r="I1425" s="14">
        <v>1495.3333333333333</v>
      </c>
    </row>
    <row r="1426" spans="1:11" ht="16.5" x14ac:dyDescent="0.2">
      <c r="A1426" s="4" t="s">
        <v>175</v>
      </c>
      <c r="B1426">
        <v>2015</v>
      </c>
      <c r="C1426" s="14">
        <v>7043.333333333333</v>
      </c>
      <c r="D1426" s="14">
        <v>281.99999999999994</v>
      </c>
      <c r="E1426" s="14">
        <v>8474.6666666666661</v>
      </c>
      <c r="F1426" s="14">
        <v>244.66666666666666</v>
      </c>
      <c r="G1426" s="14">
        <v>1348.6666666666665</v>
      </c>
      <c r="H1426" s="14">
        <v>393.33333333333331</v>
      </c>
      <c r="I1426" s="14">
        <v>1493.3333333333333</v>
      </c>
      <c r="K1426" s="15"/>
    </row>
    <row r="1427" spans="1:11" ht="16.5" x14ac:dyDescent="0.2">
      <c r="A1427" s="4" t="s">
        <v>175</v>
      </c>
      <c r="B1427">
        <v>2016</v>
      </c>
      <c r="C1427" s="14">
        <v>7039.333333333333</v>
      </c>
      <c r="D1427" s="14">
        <v>279.33333333333331</v>
      </c>
      <c r="E1427" s="14">
        <v>8462.6666666666661</v>
      </c>
      <c r="F1427" s="14">
        <v>236.66666666666666</v>
      </c>
      <c r="G1427" s="14">
        <v>1359.3333333333333</v>
      </c>
      <c r="H1427" s="14">
        <v>408.66666666666663</v>
      </c>
      <c r="I1427" s="14">
        <v>1491.333333333333</v>
      </c>
    </row>
    <row r="1428" spans="1:11" ht="16.5" x14ac:dyDescent="0.2">
      <c r="A1428" s="4" t="s">
        <v>174</v>
      </c>
      <c r="B1428">
        <v>2009</v>
      </c>
      <c r="C1428" s="14">
        <v>592.66666666666663</v>
      </c>
      <c r="D1428" s="14">
        <v>9.3333333333333321</v>
      </c>
      <c r="E1428" s="14">
        <v>148.66666666666666</v>
      </c>
      <c r="F1428" s="14">
        <v>26.666666666666664</v>
      </c>
      <c r="G1428" s="14">
        <v>202</v>
      </c>
      <c r="H1428" s="14">
        <v>29.999999999999996</v>
      </c>
      <c r="I1428" s="14">
        <v>557.33333333333326</v>
      </c>
      <c r="K1428" s="15"/>
    </row>
    <row r="1429" spans="1:11" ht="16.5" x14ac:dyDescent="0.2">
      <c r="A1429" s="4" t="s">
        <v>174</v>
      </c>
      <c r="B1429">
        <v>2010</v>
      </c>
      <c r="C1429" s="14">
        <v>585.33333333333326</v>
      </c>
      <c r="D1429" s="14">
        <v>8.6666666666666661</v>
      </c>
      <c r="E1429" s="14">
        <v>147.33333333333334</v>
      </c>
      <c r="F1429" s="14">
        <v>26.666666666666664</v>
      </c>
      <c r="G1429" s="14">
        <v>209.33333333333331</v>
      </c>
      <c r="H1429" s="14">
        <v>34.666666666666664</v>
      </c>
      <c r="I1429" s="14">
        <v>555.33333333333326</v>
      </c>
    </row>
    <row r="1430" spans="1:11" ht="16.5" x14ac:dyDescent="0.2">
      <c r="A1430" s="4" t="s">
        <v>174</v>
      </c>
      <c r="B1430">
        <v>2011</v>
      </c>
      <c r="C1430" s="14">
        <v>584.66666666666663</v>
      </c>
      <c r="D1430" s="14">
        <v>8.6666666666666661</v>
      </c>
      <c r="E1430" s="14">
        <v>144</v>
      </c>
      <c r="F1430" s="14">
        <v>25.333333333333329</v>
      </c>
      <c r="G1430" s="14">
        <v>216.66666666666666</v>
      </c>
      <c r="H1430" s="14">
        <v>35.333333333333329</v>
      </c>
      <c r="I1430" s="14">
        <v>551.99999999999989</v>
      </c>
    </row>
    <row r="1431" spans="1:11" ht="16.5" x14ac:dyDescent="0.2">
      <c r="A1431" s="4" t="s">
        <v>174</v>
      </c>
      <c r="B1431">
        <v>2012</v>
      </c>
      <c r="C1431" s="14">
        <v>584.66666666666663</v>
      </c>
      <c r="D1431" s="14">
        <v>8.6666666666666661</v>
      </c>
      <c r="E1431" s="14">
        <v>144</v>
      </c>
      <c r="F1431" s="14">
        <v>24</v>
      </c>
      <c r="G1431" s="14">
        <v>220.66666666666666</v>
      </c>
      <c r="H1431" s="14">
        <v>37.333333333333329</v>
      </c>
      <c r="I1431" s="14">
        <v>548.66666666666663</v>
      </c>
      <c r="K1431" s="15"/>
    </row>
    <row r="1432" spans="1:11" ht="16.5" x14ac:dyDescent="0.2">
      <c r="A1432" s="4" t="s">
        <v>174</v>
      </c>
      <c r="B1432">
        <v>2013</v>
      </c>
      <c r="C1432" s="14">
        <v>580</v>
      </c>
      <c r="D1432" s="14">
        <v>8.6666666666666661</v>
      </c>
      <c r="E1432" s="14">
        <v>144</v>
      </c>
      <c r="F1432" s="14">
        <v>24</v>
      </c>
      <c r="G1432" s="14">
        <v>225.33333333333334</v>
      </c>
      <c r="H1432" s="14">
        <v>38.666666666666664</v>
      </c>
      <c r="I1432" s="14">
        <v>548</v>
      </c>
    </row>
    <row r="1433" spans="1:11" ht="16.5" x14ac:dyDescent="0.2">
      <c r="A1433" s="4" t="s">
        <v>174</v>
      </c>
      <c r="B1433">
        <v>2014</v>
      </c>
      <c r="C1433" s="14">
        <v>570</v>
      </c>
      <c r="D1433" s="14">
        <v>8.6666666666666661</v>
      </c>
      <c r="E1433" s="14">
        <v>142</v>
      </c>
      <c r="F1433" s="14">
        <v>23.333333333333332</v>
      </c>
      <c r="G1433" s="14">
        <v>239.99999999999997</v>
      </c>
      <c r="H1433" s="14">
        <v>40</v>
      </c>
      <c r="I1433" s="14">
        <v>542.66666666666663</v>
      </c>
      <c r="K1433" s="15"/>
    </row>
    <row r="1434" spans="1:11" ht="16.5" x14ac:dyDescent="0.2">
      <c r="A1434" s="4" t="s">
        <v>174</v>
      </c>
      <c r="B1434">
        <v>2015</v>
      </c>
      <c r="C1434" s="14">
        <v>566.66666666666663</v>
      </c>
      <c r="D1434" s="14">
        <v>8.6666666666666661</v>
      </c>
      <c r="E1434" s="14">
        <v>142</v>
      </c>
      <c r="F1434" s="14">
        <v>23.333333333333332</v>
      </c>
      <c r="G1434" s="14">
        <v>246.66666666666666</v>
      </c>
      <c r="H1434" s="14">
        <v>41.333333333333329</v>
      </c>
      <c r="I1434" s="14">
        <v>540</v>
      </c>
    </row>
    <row r="1435" spans="1:11" ht="16.5" x14ac:dyDescent="0.2">
      <c r="A1435" s="4" t="s">
        <v>174</v>
      </c>
      <c r="B1435">
        <v>2016</v>
      </c>
      <c r="C1435" s="14">
        <v>561.99999999999989</v>
      </c>
      <c r="D1435" s="14">
        <v>7.9999999999999991</v>
      </c>
      <c r="E1435" s="14">
        <v>142</v>
      </c>
      <c r="F1435" s="14">
        <v>23.333333333333332</v>
      </c>
      <c r="G1435" s="14">
        <v>249.99999999999997</v>
      </c>
      <c r="H1435" s="14">
        <v>41.999999999999993</v>
      </c>
      <c r="I1435" s="14">
        <v>540</v>
      </c>
    </row>
    <row r="1436" spans="1:11" ht="16.5" x14ac:dyDescent="0.2">
      <c r="A1436" s="4" t="s">
        <v>173</v>
      </c>
      <c r="B1436">
        <v>2009</v>
      </c>
      <c r="C1436" s="14">
        <v>5029.333333333333</v>
      </c>
      <c r="D1436" s="14">
        <v>199.99999999999997</v>
      </c>
      <c r="E1436" s="14">
        <v>3842.6666666666661</v>
      </c>
      <c r="F1436" s="14">
        <v>272.66666666666663</v>
      </c>
      <c r="G1436" s="14">
        <v>896</v>
      </c>
      <c r="H1436" s="14">
        <v>209.33333333333331</v>
      </c>
      <c r="I1436" s="14">
        <v>1659.3333333333333</v>
      </c>
      <c r="K1436" s="15"/>
    </row>
    <row r="1437" spans="1:11" ht="16.5" x14ac:dyDescent="0.2">
      <c r="A1437" s="4" t="s">
        <v>173</v>
      </c>
      <c r="B1437">
        <v>2010</v>
      </c>
      <c r="C1437" s="14">
        <v>5024.666666666667</v>
      </c>
      <c r="D1437" s="14">
        <v>200.66666666666666</v>
      </c>
      <c r="E1437" s="14">
        <v>3833.333333333333</v>
      </c>
      <c r="F1437" s="14">
        <v>270.66666666666663</v>
      </c>
      <c r="G1437" s="14">
        <v>911.99999999999977</v>
      </c>
      <c r="H1437" s="14">
        <v>209.99999999999997</v>
      </c>
      <c r="I1437" s="14">
        <v>1657.3333333333333</v>
      </c>
    </row>
    <row r="1438" spans="1:11" ht="16.5" x14ac:dyDescent="0.2">
      <c r="A1438" s="4" t="s">
        <v>173</v>
      </c>
      <c r="B1438">
        <v>2011</v>
      </c>
      <c r="C1438" s="14">
        <v>5020.6666666666661</v>
      </c>
      <c r="D1438" s="14">
        <v>198.66666666666666</v>
      </c>
      <c r="E1438" s="14">
        <v>3828</v>
      </c>
      <c r="F1438" s="14">
        <v>269.33333333333331</v>
      </c>
      <c r="G1438" s="14">
        <v>923.99999999999989</v>
      </c>
      <c r="H1438" s="14">
        <v>209.99999999999997</v>
      </c>
      <c r="I1438" s="14">
        <v>1657.3333333333333</v>
      </c>
      <c r="K1438" s="15"/>
    </row>
    <row r="1439" spans="1:11" ht="16.5" x14ac:dyDescent="0.2">
      <c r="A1439" s="4" t="s">
        <v>173</v>
      </c>
      <c r="B1439">
        <v>2012</v>
      </c>
      <c r="C1439" s="14">
        <v>5014.666666666667</v>
      </c>
      <c r="D1439" s="14">
        <v>197.99999999999997</v>
      </c>
      <c r="E1439" s="14">
        <v>3824.6666666666665</v>
      </c>
      <c r="F1439" s="14">
        <v>268.66666666666663</v>
      </c>
      <c r="G1439" s="14">
        <v>933.99999999999989</v>
      </c>
      <c r="H1439" s="14">
        <v>209.99999999999997</v>
      </c>
      <c r="I1439" s="14">
        <v>1656.6666666666665</v>
      </c>
    </row>
    <row r="1440" spans="1:11" ht="16.5" x14ac:dyDescent="0.2">
      <c r="A1440" s="4" t="s">
        <v>173</v>
      </c>
      <c r="B1440">
        <v>2013</v>
      </c>
      <c r="C1440" s="14">
        <v>5018</v>
      </c>
      <c r="D1440" s="14">
        <v>195.99999999999997</v>
      </c>
      <c r="E1440" s="14">
        <v>3811.3333333333335</v>
      </c>
      <c r="F1440" s="14">
        <v>268.66666666666663</v>
      </c>
      <c r="G1440" s="14">
        <v>946</v>
      </c>
      <c r="H1440" s="14">
        <v>210.66666666666666</v>
      </c>
      <c r="I1440" s="14">
        <v>1654.6666666666665</v>
      </c>
    </row>
    <row r="1441" spans="1:11" ht="16.5" x14ac:dyDescent="0.2">
      <c r="A1441" s="4" t="s">
        <v>173</v>
      </c>
      <c r="B1441">
        <v>2014</v>
      </c>
      <c r="C1441" s="14">
        <v>5013.333333333333</v>
      </c>
      <c r="D1441" s="14">
        <v>195.33333333333331</v>
      </c>
      <c r="E1441" s="14">
        <v>3804.6666666666665</v>
      </c>
      <c r="F1441" s="14">
        <v>266.66666666666663</v>
      </c>
      <c r="G1441" s="14">
        <v>958.66666666666663</v>
      </c>
      <c r="H1441" s="14">
        <v>212.66666666666663</v>
      </c>
      <c r="I1441" s="14">
        <v>1652.6666666666665</v>
      </c>
      <c r="K1441" s="15"/>
    </row>
    <row r="1442" spans="1:11" ht="16.5" x14ac:dyDescent="0.2">
      <c r="A1442" s="4" t="s">
        <v>173</v>
      </c>
      <c r="B1442">
        <v>2015</v>
      </c>
      <c r="C1442" s="14">
        <v>5018</v>
      </c>
      <c r="D1442" s="14">
        <v>192</v>
      </c>
      <c r="E1442" s="14">
        <v>3799.333333333333</v>
      </c>
      <c r="F1442" s="14">
        <v>260</v>
      </c>
      <c r="G1442" s="14">
        <v>966.66666666666663</v>
      </c>
      <c r="H1442" s="14">
        <v>213.33333333333331</v>
      </c>
      <c r="I1442" s="14">
        <v>1650.6666666666665</v>
      </c>
    </row>
    <row r="1443" spans="1:11" ht="16.5" x14ac:dyDescent="0.2">
      <c r="A1443" s="4" t="s">
        <v>173</v>
      </c>
      <c r="B1443">
        <v>2016</v>
      </c>
      <c r="C1443" s="14">
        <v>5004</v>
      </c>
      <c r="D1443" s="14">
        <v>192</v>
      </c>
      <c r="E1443" s="14">
        <v>3795.9999999999995</v>
      </c>
      <c r="F1443" s="14">
        <v>258.66666666666663</v>
      </c>
      <c r="G1443" s="14">
        <v>981.33333333333314</v>
      </c>
      <c r="H1443" s="14">
        <v>219.33333333333331</v>
      </c>
      <c r="I1443" s="14">
        <v>1647.9999999999998</v>
      </c>
      <c r="K1443" s="15"/>
    </row>
    <row r="1444" spans="1:11" ht="16.5" x14ac:dyDescent="0.2">
      <c r="A1444" s="4" t="s">
        <v>172</v>
      </c>
      <c r="B1444">
        <v>2009</v>
      </c>
      <c r="C1444" s="14">
        <v>4486.6666666666661</v>
      </c>
      <c r="D1444" s="14">
        <v>195.33333333333331</v>
      </c>
      <c r="E1444" s="14">
        <v>1447.9999999999998</v>
      </c>
      <c r="F1444" s="14">
        <v>141.33333333333331</v>
      </c>
      <c r="G1444" s="14">
        <v>880.66666666666652</v>
      </c>
      <c r="H1444" s="14">
        <v>151.33333333333331</v>
      </c>
      <c r="I1444" s="14">
        <v>1444.6666666666665</v>
      </c>
    </row>
    <row r="1445" spans="1:11" ht="16.5" x14ac:dyDescent="0.2">
      <c r="A1445" s="4" t="s">
        <v>172</v>
      </c>
      <c r="B1445">
        <v>2010</v>
      </c>
      <c r="C1445" s="14">
        <v>4473.333333333333</v>
      </c>
      <c r="D1445" s="14">
        <v>194.66666666666666</v>
      </c>
      <c r="E1445" s="14">
        <v>1444.6666666666665</v>
      </c>
      <c r="F1445" s="14">
        <v>140</v>
      </c>
      <c r="G1445" s="14">
        <v>899.99999999999989</v>
      </c>
      <c r="H1445" s="14">
        <v>154.66666666666666</v>
      </c>
      <c r="I1445" s="14">
        <v>1440.6666666666665</v>
      </c>
    </row>
    <row r="1446" spans="1:11" ht="16.5" x14ac:dyDescent="0.2">
      <c r="A1446" s="4" t="s">
        <v>172</v>
      </c>
      <c r="B1446">
        <v>2011</v>
      </c>
      <c r="C1446" s="14">
        <v>4458.6666666666661</v>
      </c>
      <c r="D1446" s="14">
        <v>192</v>
      </c>
      <c r="E1446" s="14">
        <v>1439.9999999999998</v>
      </c>
      <c r="F1446" s="14">
        <v>138.66666666666666</v>
      </c>
      <c r="G1446" s="14">
        <v>924.66666666666652</v>
      </c>
      <c r="H1446" s="14">
        <v>155.99999999999997</v>
      </c>
      <c r="I1446" s="14">
        <v>1435.3333333333333</v>
      </c>
      <c r="K1446" s="15"/>
    </row>
    <row r="1447" spans="1:11" ht="16.5" x14ac:dyDescent="0.2">
      <c r="A1447" s="4" t="s">
        <v>172</v>
      </c>
      <c r="B1447">
        <v>2012</v>
      </c>
      <c r="C1447" s="14">
        <v>4448.6666666666661</v>
      </c>
      <c r="D1447" s="14">
        <v>192</v>
      </c>
      <c r="E1447" s="14">
        <v>1439.3333333333333</v>
      </c>
      <c r="F1447" s="14">
        <v>135.33333333333331</v>
      </c>
      <c r="G1447" s="14">
        <v>938.66666666666663</v>
      </c>
      <c r="H1447" s="14">
        <v>158.66666666666666</v>
      </c>
      <c r="I1447" s="14">
        <v>1431.333333333333</v>
      </c>
    </row>
    <row r="1448" spans="1:11" ht="16.5" x14ac:dyDescent="0.2">
      <c r="A1448" s="4" t="s">
        <v>172</v>
      </c>
      <c r="B1448">
        <v>2013</v>
      </c>
      <c r="C1448" s="14">
        <v>4435.9999999999991</v>
      </c>
      <c r="D1448" s="14">
        <v>192</v>
      </c>
      <c r="E1448" s="14">
        <v>1437.9999999999998</v>
      </c>
      <c r="F1448" s="14">
        <v>134.66666666666666</v>
      </c>
      <c r="G1448" s="14">
        <v>951.99999999999977</v>
      </c>
      <c r="H1448" s="14">
        <v>160.66666666666666</v>
      </c>
      <c r="I1448" s="14">
        <v>1427.9999999999998</v>
      </c>
      <c r="K1448" s="15"/>
    </row>
    <row r="1449" spans="1:11" ht="16.5" x14ac:dyDescent="0.2">
      <c r="A1449" s="4" t="s">
        <v>172</v>
      </c>
      <c r="B1449">
        <v>2014</v>
      </c>
      <c r="C1449" s="14">
        <v>4413.333333333333</v>
      </c>
      <c r="D1449" s="14">
        <v>190.66666666666666</v>
      </c>
      <c r="E1449" s="14">
        <v>1434.6666666666665</v>
      </c>
      <c r="F1449" s="14">
        <v>134</v>
      </c>
      <c r="G1449" s="14">
        <v>977.99999999999989</v>
      </c>
      <c r="H1449" s="14">
        <v>162.66666666666663</v>
      </c>
      <c r="I1449" s="14">
        <v>1422.6666666666665</v>
      </c>
    </row>
    <row r="1450" spans="1:11" ht="16.5" x14ac:dyDescent="0.2">
      <c r="A1450" s="4" t="s">
        <v>172</v>
      </c>
      <c r="B1450">
        <v>2015</v>
      </c>
      <c r="C1450" s="14">
        <v>4406.6666666666661</v>
      </c>
      <c r="D1450" s="14">
        <v>190.66666666666666</v>
      </c>
      <c r="E1450" s="14">
        <v>1432.6666666666665</v>
      </c>
      <c r="F1450" s="14">
        <v>132.66666666666666</v>
      </c>
      <c r="G1450" s="14">
        <v>989.99999999999989</v>
      </c>
      <c r="H1450" s="14">
        <v>163.33333333333331</v>
      </c>
      <c r="I1450" s="14">
        <v>1418.6666666666665</v>
      </c>
    </row>
    <row r="1451" spans="1:11" ht="16.5" x14ac:dyDescent="0.2">
      <c r="A1451" s="4" t="s">
        <v>172</v>
      </c>
      <c r="B1451">
        <v>2016</v>
      </c>
      <c r="C1451" s="14">
        <v>4401.9999999999991</v>
      </c>
      <c r="D1451" s="14">
        <v>189.99999999999997</v>
      </c>
      <c r="E1451" s="14">
        <v>1429.3333333333333</v>
      </c>
      <c r="F1451" s="14">
        <v>132.66666666666666</v>
      </c>
      <c r="G1451" s="14">
        <v>996</v>
      </c>
      <c r="H1451" s="14">
        <v>174</v>
      </c>
      <c r="I1451" s="14">
        <v>1409.3333333333333</v>
      </c>
      <c r="K1451" s="15"/>
    </row>
    <row r="1452" spans="1:11" ht="16.5" x14ac:dyDescent="0.2">
      <c r="A1452" s="4" t="s">
        <v>171</v>
      </c>
      <c r="B1452">
        <v>2009</v>
      </c>
      <c r="C1452" s="14">
        <v>6916</v>
      </c>
      <c r="D1452" s="14">
        <v>154</v>
      </c>
      <c r="E1452" s="14">
        <v>869.99999999999989</v>
      </c>
      <c r="F1452" s="14">
        <v>17.333333333333332</v>
      </c>
      <c r="G1452" s="14">
        <v>1339.9999999999998</v>
      </c>
      <c r="H1452" s="14">
        <v>295.99999999999994</v>
      </c>
      <c r="I1452" s="14">
        <v>4444.666666666667</v>
      </c>
    </row>
    <row r="1453" spans="1:11" ht="16.5" x14ac:dyDescent="0.2">
      <c r="A1453" s="4" t="s">
        <v>171</v>
      </c>
      <c r="B1453">
        <v>2010</v>
      </c>
      <c r="C1453" s="14">
        <v>6909.9999999999991</v>
      </c>
      <c r="D1453" s="14">
        <v>152.66666666666666</v>
      </c>
      <c r="E1453" s="14">
        <v>866</v>
      </c>
      <c r="F1453" s="14">
        <v>17.333333333333332</v>
      </c>
      <c r="G1453" s="14">
        <v>1351.333333333333</v>
      </c>
      <c r="H1453" s="14">
        <v>298.66666666666663</v>
      </c>
      <c r="I1453" s="14">
        <v>4440.6666666666661</v>
      </c>
      <c r="K1453" s="15"/>
    </row>
    <row r="1454" spans="1:11" ht="16.5" x14ac:dyDescent="0.2">
      <c r="A1454" s="4" t="s">
        <v>171</v>
      </c>
      <c r="B1454">
        <v>2011</v>
      </c>
      <c r="C1454" s="14">
        <v>6903.333333333333</v>
      </c>
      <c r="D1454" s="14">
        <v>152</v>
      </c>
      <c r="E1454" s="14">
        <v>863.33333333333326</v>
      </c>
      <c r="F1454" s="14">
        <v>18</v>
      </c>
      <c r="G1454" s="14">
        <v>1364.6666666666667</v>
      </c>
      <c r="H1454" s="14">
        <v>299.33333333333331</v>
      </c>
      <c r="I1454" s="14">
        <v>4436.6666666666661</v>
      </c>
    </row>
    <row r="1455" spans="1:11" ht="16.5" x14ac:dyDescent="0.2">
      <c r="A1455" s="4" t="s">
        <v>171</v>
      </c>
      <c r="B1455">
        <v>2012</v>
      </c>
      <c r="C1455" s="14">
        <v>6886.6666666666661</v>
      </c>
      <c r="D1455" s="14">
        <v>152.66666666666666</v>
      </c>
      <c r="E1455" s="14">
        <v>856.66666666666663</v>
      </c>
      <c r="F1455" s="14">
        <v>17.333333333333332</v>
      </c>
      <c r="G1455" s="14">
        <v>1386</v>
      </c>
      <c r="H1455" s="14">
        <v>305.99999999999994</v>
      </c>
      <c r="I1455" s="14">
        <v>4430</v>
      </c>
    </row>
    <row r="1456" spans="1:11" ht="16.5" x14ac:dyDescent="0.2">
      <c r="A1456" s="4" t="s">
        <v>171</v>
      </c>
      <c r="B1456">
        <v>2013</v>
      </c>
      <c r="C1456" s="14">
        <v>6881.9999999999991</v>
      </c>
      <c r="D1456" s="14">
        <v>152</v>
      </c>
      <c r="E1456" s="14">
        <v>853.99999999999989</v>
      </c>
      <c r="F1456" s="14">
        <v>17.333333333333332</v>
      </c>
      <c r="G1456" s="14">
        <v>1398.6666666666665</v>
      </c>
      <c r="H1456" s="14">
        <v>311.33333333333331</v>
      </c>
      <c r="I1456" s="14">
        <v>4421.333333333333</v>
      </c>
      <c r="K1456" s="15"/>
    </row>
    <row r="1457" spans="1:11" ht="16.5" x14ac:dyDescent="0.2">
      <c r="A1457" s="4" t="s">
        <v>171</v>
      </c>
      <c r="B1457">
        <v>2014</v>
      </c>
      <c r="C1457" s="14">
        <v>6866</v>
      </c>
      <c r="D1457" s="14">
        <v>150.66666666666666</v>
      </c>
      <c r="E1457" s="14">
        <v>850.66666666666652</v>
      </c>
      <c r="F1457" s="14">
        <v>17.333333333333332</v>
      </c>
      <c r="G1457" s="14">
        <v>1420.6666666666667</v>
      </c>
      <c r="H1457" s="14">
        <v>318</v>
      </c>
      <c r="I1457" s="14">
        <v>4410.6666666666661</v>
      </c>
    </row>
    <row r="1458" spans="1:11" ht="16.5" x14ac:dyDescent="0.2">
      <c r="A1458" s="4" t="s">
        <v>171</v>
      </c>
      <c r="B1458">
        <v>2015</v>
      </c>
      <c r="C1458" s="14">
        <v>6858.6666666666661</v>
      </c>
      <c r="D1458" s="14">
        <v>150</v>
      </c>
      <c r="E1458" s="14">
        <v>846</v>
      </c>
      <c r="F1458" s="14">
        <v>16.666666666666664</v>
      </c>
      <c r="G1458" s="14">
        <v>1430</v>
      </c>
      <c r="H1458" s="14">
        <v>327.33333333333331</v>
      </c>
      <c r="I1458" s="14">
        <v>4402.6666666666661</v>
      </c>
      <c r="K1458" s="15"/>
    </row>
    <row r="1459" spans="1:11" ht="16.5" x14ac:dyDescent="0.2">
      <c r="A1459" s="4" t="s">
        <v>171</v>
      </c>
      <c r="B1459">
        <v>2016</v>
      </c>
      <c r="C1459" s="14">
        <v>6849.333333333333</v>
      </c>
      <c r="D1459" s="14">
        <v>149.33333333333331</v>
      </c>
      <c r="E1459" s="14">
        <v>843.33333333333326</v>
      </c>
      <c r="F1459" s="14">
        <v>16.666666666666664</v>
      </c>
      <c r="G1459" s="14">
        <v>1439.3333333333333</v>
      </c>
      <c r="H1459" s="14">
        <v>334.66666666666663</v>
      </c>
      <c r="I1459" s="14">
        <v>4396.6666666666661</v>
      </c>
    </row>
    <row r="1460" spans="1:11" ht="16.5" x14ac:dyDescent="0.2">
      <c r="A1460" s="4" t="s">
        <v>170</v>
      </c>
      <c r="B1460">
        <v>2009</v>
      </c>
      <c r="C1460" s="14">
        <v>5397.333333333333</v>
      </c>
      <c r="D1460" s="14">
        <v>819.33333333333326</v>
      </c>
      <c r="E1460" s="14">
        <v>6932.666666666667</v>
      </c>
      <c r="F1460" s="14">
        <v>341.33333333333331</v>
      </c>
      <c r="G1460" s="14">
        <v>1279.3333333333335</v>
      </c>
      <c r="H1460" s="14">
        <v>268</v>
      </c>
      <c r="I1460" s="14">
        <v>2012.6666666666663</v>
      </c>
    </row>
    <row r="1461" spans="1:11" ht="16.5" x14ac:dyDescent="0.2">
      <c r="A1461" s="4" t="s">
        <v>170</v>
      </c>
      <c r="B1461">
        <v>2010</v>
      </c>
      <c r="C1461" s="14">
        <v>5390.6666666666661</v>
      </c>
      <c r="D1461" s="14">
        <v>816.66666666666663</v>
      </c>
      <c r="E1461" s="14">
        <v>6924.6666666666661</v>
      </c>
      <c r="F1461" s="14">
        <v>338.66666666666663</v>
      </c>
      <c r="G1461" s="14">
        <v>1300.6666666666665</v>
      </c>
      <c r="H1461" s="14">
        <v>271.33333333333331</v>
      </c>
      <c r="I1461" s="14">
        <v>2007.9999999999998</v>
      </c>
      <c r="K1461" s="15"/>
    </row>
    <row r="1462" spans="1:11" ht="16.5" x14ac:dyDescent="0.2">
      <c r="A1462" s="4" t="s">
        <v>170</v>
      </c>
      <c r="B1462">
        <v>2011</v>
      </c>
      <c r="C1462" s="14">
        <v>5382.6666666666661</v>
      </c>
      <c r="D1462" s="14">
        <v>815.33333333333326</v>
      </c>
      <c r="E1462" s="14">
        <v>6917.3333333333321</v>
      </c>
      <c r="F1462" s="14">
        <v>337.33333333333331</v>
      </c>
      <c r="G1462" s="14">
        <v>1315.333333333333</v>
      </c>
      <c r="H1462" s="14">
        <v>274</v>
      </c>
      <c r="I1462" s="14">
        <v>2005.3333333333333</v>
      </c>
    </row>
    <row r="1463" spans="1:11" ht="16.5" x14ac:dyDescent="0.2">
      <c r="A1463" s="4" t="s">
        <v>170</v>
      </c>
      <c r="B1463">
        <v>2012</v>
      </c>
      <c r="C1463" s="14">
        <v>5378.6666666666661</v>
      </c>
      <c r="D1463" s="14">
        <v>811.99999999999989</v>
      </c>
      <c r="E1463" s="14">
        <v>6908</v>
      </c>
      <c r="F1463" s="14">
        <v>333.33333333333331</v>
      </c>
      <c r="G1463" s="14">
        <v>1339.3333333333333</v>
      </c>
      <c r="H1463" s="14">
        <v>276.66666666666663</v>
      </c>
      <c r="I1463" s="14">
        <v>1997.9999999999998</v>
      </c>
      <c r="K1463" s="15"/>
    </row>
    <row r="1464" spans="1:11" ht="16.5" x14ac:dyDescent="0.2">
      <c r="A1464" s="4" t="s">
        <v>170</v>
      </c>
      <c r="B1464">
        <v>2013</v>
      </c>
      <c r="C1464" s="14">
        <v>5368</v>
      </c>
      <c r="D1464" s="14">
        <v>808</v>
      </c>
      <c r="E1464" s="14">
        <v>6898.6666666666661</v>
      </c>
      <c r="F1464" s="14">
        <v>329.33333333333331</v>
      </c>
      <c r="G1464" s="14">
        <v>1358.6666666666665</v>
      </c>
      <c r="H1464" s="14">
        <v>289.33333333333331</v>
      </c>
      <c r="I1464" s="14">
        <v>1992</v>
      </c>
    </row>
    <row r="1465" spans="1:11" ht="16.5" x14ac:dyDescent="0.2">
      <c r="A1465" s="4" t="s">
        <v>170</v>
      </c>
      <c r="B1465">
        <v>2014</v>
      </c>
      <c r="C1465" s="14">
        <v>5341.9999999999991</v>
      </c>
      <c r="D1465" s="14">
        <v>804.66666666666663</v>
      </c>
      <c r="E1465" s="14">
        <v>6891.9999999999991</v>
      </c>
      <c r="F1465" s="14">
        <v>328.66666666666663</v>
      </c>
      <c r="G1465" s="14">
        <v>1395.3333333333333</v>
      </c>
      <c r="H1465" s="14">
        <v>296.66666666666663</v>
      </c>
      <c r="I1465" s="14">
        <v>1984</v>
      </c>
    </row>
    <row r="1466" spans="1:11" ht="16.5" x14ac:dyDescent="0.2">
      <c r="A1466" s="4" t="s">
        <v>170</v>
      </c>
      <c r="B1466">
        <v>2015</v>
      </c>
      <c r="C1466" s="14">
        <v>5331.9999999999991</v>
      </c>
      <c r="D1466" s="14">
        <v>802.66666666666663</v>
      </c>
      <c r="E1466" s="14">
        <v>6886</v>
      </c>
      <c r="F1466" s="14">
        <v>325.33333333333326</v>
      </c>
      <c r="G1466" s="14">
        <v>1414.6666666666665</v>
      </c>
      <c r="H1466" s="14">
        <v>300.66666666666663</v>
      </c>
      <c r="I1466" s="14">
        <v>1979.9999999999998</v>
      </c>
      <c r="K1466" s="15"/>
    </row>
    <row r="1467" spans="1:11" ht="16.5" x14ac:dyDescent="0.2">
      <c r="A1467" s="4" t="s">
        <v>170</v>
      </c>
      <c r="B1467">
        <v>2016</v>
      </c>
      <c r="C1467" s="14">
        <v>5324</v>
      </c>
      <c r="D1467" s="14">
        <v>801.33333333333326</v>
      </c>
      <c r="E1467" s="14">
        <v>6873.333333333333</v>
      </c>
      <c r="F1467" s="14">
        <v>324</v>
      </c>
      <c r="G1467" s="14">
        <v>1425.9999999999998</v>
      </c>
      <c r="H1467" s="14">
        <v>301.99999999999994</v>
      </c>
      <c r="I1467" s="14">
        <v>1984</v>
      </c>
    </row>
    <row r="1468" spans="1:11" ht="16.5" x14ac:dyDescent="0.2">
      <c r="A1468" s="4" t="s">
        <v>169</v>
      </c>
      <c r="B1468">
        <v>2009</v>
      </c>
      <c r="C1468" s="14">
        <v>1987.9999999999998</v>
      </c>
      <c r="D1468" s="14">
        <v>214</v>
      </c>
      <c r="E1468" s="14">
        <v>5455.9999999999991</v>
      </c>
      <c r="F1468" s="14">
        <v>328</v>
      </c>
      <c r="G1468" s="14">
        <v>453.33333333333331</v>
      </c>
      <c r="H1468" s="14">
        <v>122</v>
      </c>
      <c r="I1468" s="14">
        <v>1076</v>
      </c>
      <c r="K1468" s="15"/>
    </row>
    <row r="1469" spans="1:11" ht="16.5" x14ac:dyDescent="0.2">
      <c r="A1469" s="4" t="s">
        <v>169</v>
      </c>
      <c r="B1469">
        <v>2010</v>
      </c>
      <c r="C1469" s="14">
        <v>1992.6666666666663</v>
      </c>
      <c r="D1469" s="14">
        <v>207.99999999999997</v>
      </c>
      <c r="E1469" s="14">
        <v>5438.6666666666661</v>
      </c>
      <c r="F1469" s="14">
        <v>331.33333333333331</v>
      </c>
      <c r="G1469" s="14">
        <v>467.33333333333326</v>
      </c>
      <c r="H1469" s="14">
        <v>123.33333333333333</v>
      </c>
      <c r="I1469" s="14">
        <v>1074.6666666666665</v>
      </c>
    </row>
    <row r="1470" spans="1:11" ht="16.5" x14ac:dyDescent="0.2">
      <c r="A1470" s="4" t="s">
        <v>169</v>
      </c>
      <c r="B1470">
        <v>2011</v>
      </c>
      <c r="C1470" s="14">
        <v>1990.6666666666667</v>
      </c>
      <c r="D1470" s="14">
        <v>202.66666666666663</v>
      </c>
      <c r="E1470" s="14">
        <v>5405.9999999999991</v>
      </c>
      <c r="F1470" s="14">
        <v>329.99999999999994</v>
      </c>
      <c r="G1470" s="14">
        <v>481.99999999999994</v>
      </c>
      <c r="H1470" s="14">
        <v>128.66666666666666</v>
      </c>
      <c r="I1470" s="14">
        <v>1075.3333333333333</v>
      </c>
    </row>
    <row r="1471" spans="1:11" ht="16.5" x14ac:dyDescent="0.2">
      <c r="A1471" s="4" t="s">
        <v>169</v>
      </c>
      <c r="B1471">
        <v>2012</v>
      </c>
      <c r="C1471" s="14">
        <v>2007.3333333333333</v>
      </c>
      <c r="D1471" s="14">
        <v>199.99999999999997</v>
      </c>
      <c r="E1471" s="14">
        <v>5389.333333333333</v>
      </c>
      <c r="F1471" s="14">
        <v>328.66666666666663</v>
      </c>
      <c r="G1471" s="14">
        <v>493.33333333333331</v>
      </c>
      <c r="H1471" s="14">
        <v>130.66666666666666</v>
      </c>
      <c r="I1471" s="14">
        <v>1073.9999999999998</v>
      </c>
      <c r="K1471" s="15"/>
    </row>
    <row r="1472" spans="1:11" ht="16.5" x14ac:dyDescent="0.2">
      <c r="A1472" s="4" t="s">
        <v>169</v>
      </c>
      <c r="B1472">
        <v>2013</v>
      </c>
      <c r="C1472" s="14">
        <v>2014</v>
      </c>
      <c r="D1472" s="14">
        <v>197.33333333333331</v>
      </c>
      <c r="E1472" s="14">
        <v>5364</v>
      </c>
      <c r="F1472" s="14">
        <v>326.66666666666663</v>
      </c>
      <c r="G1472" s="14">
        <v>514</v>
      </c>
      <c r="H1472" s="14">
        <v>135.33333333333331</v>
      </c>
      <c r="I1472" s="14">
        <v>1070.6666666666665</v>
      </c>
    </row>
    <row r="1473" spans="1:11" ht="16.5" x14ac:dyDescent="0.2">
      <c r="A1473" s="4" t="s">
        <v>169</v>
      </c>
      <c r="B1473">
        <v>2014</v>
      </c>
      <c r="C1473" s="14">
        <v>2012.6666666666663</v>
      </c>
      <c r="D1473" s="14">
        <v>195.33333333333331</v>
      </c>
      <c r="E1473" s="14">
        <v>5334.6666666666661</v>
      </c>
      <c r="F1473" s="14">
        <v>324.66666666666663</v>
      </c>
      <c r="G1473" s="14">
        <v>543.33333333333326</v>
      </c>
      <c r="H1473" s="14">
        <v>143.33333333333331</v>
      </c>
      <c r="I1473" s="14">
        <v>1067.3333333333333</v>
      </c>
      <c r="K1473" s="15"/>
    </row>
    <row r="1474" spans="1:11" ht="16.5" x14ac:dyDescent="0.2">
      <c r="A1474" s="4" t="s">
        <v>169</v>
      </c>
      <c r="B1474">
        <v>2015</v>
      </c>
      <c r="C1474" s="14">
        <v>2016.6666666666665</v>
      </c>
      <c r="D1474" s="14">
        <v>194.66666666666666</v>
      </c>
      <c r="E1474" s="14">
        <v>5320.6666666666661</v>
      </c>
      <c r="F1474" s="14">
        <v>323.33333333333331</v>
      </c>
      <c r="G1474" s="14">
        <v>552.66666666666663</v>
      </c>
      <c r="H1474" s="14">
        <v>144.66666666666666</v>
      </c>
      <c r="I1474" s="14">
        <v>1067.9999999999998</v>
      </c>
    </row>
    <row r="1475" spans="1:11" ht="16.5" x14ac:dyDescent="0.2">
      <c r="A1475" s="4" t="s">
        <v>169</v>
      </c>
      <c r="B1475">
        <v>2016</v>
      </c>
      <c r="C1475" s="14">
        <v>2014</v>
      </c>
      <c r="D1475" s="14">
        <v>194</v>
      </c>
      <c r="E1475" s="14">
        <v>5315.9999999999991</v>
      </c>
      <c r="F1475" s="14">
        <v>323.33333333333331</v>
      </c>
      <c r="G1475" s="14">
        <v>560.66666666666663</v>
      </c>
      <c r="H1475" s="14">
        <v>145.33333333333331</v>
      </c>
      <c r="I1475" s="14">
        <v>1067.3333333333333</v>
      </c>
    </row>
    <row r="1476" spans="1:11" ht="16.5" x14ac:dyDescent="0.2">
      <c r="A1476" s="4" t="s">
        <v>168</v>
      </c>
      <c r="B1476">
        <v>2009</v>
      </c>
      <c r="C1476" s="14">
        <v>2556.6666666666665</v>
      </c>
      <c r="D1476" s="14">
        <v>143.33333333333331</v>
      </c>
      <c r="E1476" s="14">
        <v>5041.333333333333</v>
      </c>
      <c r="F1476" s="14">
        <v>235.33333333333329</v>
      </c>
      <c r="G1476" s="14">
        <v>555.33333333333314</v>
      </c>
      <c r="H1476" s="14">
        <v>122</v>
      </c>
      <c r="I1476" s="14">
        <v>745.33333333333326</v>
      </c>
      <c r="K1476" s="15"/>
    </row>
    <row r="1477" spans="1:11" ht="16.5" x14ac:dyDescent="0.2">
      <c r="A1477" s="4" t="s">
        <v>168</v>
      </c>
      <c r="B1477">
        <v>2010</v>
      </c>
      <c r="C1477" s="14">
        <v>2551.333333333333</v>
      </c>
      <c r="D1477" s="14">
        <v>142</v>
      </c>
      <c r="E1477" s="14">
        <v>5037.333333333333</v>
      </c>
      <c r="F1477" s="14">
        <v>234.66666666666666</v>
      </c>
      <c r="G1477" s="14">
        <v>564.66666666666663</v>
      </c>
      <c r="H1477" s="14">
        <v>122.66666666666664</v>
      </c>
      <c r="I1477" s="14">
        <v>743.99999999999989</v>
      </c>
    </row>
    <row r="1478" spans="1:11" ht="16.5" x14ac:dyDescent="0.2">
      <c r="A1478" s="4" t="s">
        <v>168</v>
      </c>
      <c r="B1478">
        <v>2011</v>
      </c>
      <c r="C1478" s="14">
        <v>2550</v>
      </c>
      <c r="D1478" s="14">
        <v>142.66666666666666</v>
      </c>
      <c r="E1478" s="14">
        <v>5033.333333333333</v>
      </c>
      <c r="F1478" s="14">
        <v>233.33333333333331</v>
      </c>
      <c r="G1478" s="14">
        <v>571.99999999999989</v>
      </c>
      <c r="H1478" s="14">
        <v>123.33333333333333</v>
      </c>
      <c r="I1478" s="14">
        <v>743.33333333333326</v>
      </c>
      <c r="K1478" s="15"/>
    </row>
    <row r="1479" spans="1:11" ht="16.5" x14ac:dyDescent="0.2">
      <c r="A1479" s="4" t="s">
        <v>168</v>
      </c>
      <c r="B1479">
        <v>2012</v>
      </c>
      <c r="C1479" s="14">
        <v>2546.6666666666665</v>
      </c>
      <c r="D1479" s="14">
        <v>142.66666666666666</v>
      </c>
      <c r="E1479" s="14">
        <v>5030.6666666666661</v>
      </c>
      <c r="F1479" s="14">
        <v>232.66666666666663</v>
      </c>
      <c r="G1479" s="14">
        <v>579.33333333333337</v>
      </c>
      <c r="H1479" s="14">
        <v>123.33333333333333</v>
      </c>
      <c r="I1479" s="14">
        <v>741.99999999999989</v>
      </c>
    </row>
    <row r="1480" spans="1:11" ht="16.5" x14ac:dyDescent="0.2">
      <c r="A1480" s="4" t="s">
        <v>168</v>
      </c>
      <c r="B1480">
        <v>2013</v>
      </c>
      <c r="C1480" s="14">
        <v>2541.333333333333</v>
      </c>
      <c r="D1480" s="14">
        <v>142</v>
      </c>
      <c r="E1480" s="14">
        <v>5025.9999999999991</v>
      </c>
      <c r="F1480" s="14">
        <v>231.99999999999997</v>
      </c>
      <c r="G1480" s="14">
        <v>585.99999999999989</v>
      </c>
      <c r="H1480" s="14">
        <v>127.99999999999999</v>
      </c>
      <c r="I1480" s="14">
        <v>740.66666666666652</v>
      </c>
    </row>
    <row r="1481" spans="1:11" ht="16.5" x14ac:dyDescent="0.2">
      <c r="A1481" s="4" t="s">
        <v>168</v>
      </c>
      <c r="B1481">
        <v>2014</v>
      </c>
      <c r="C1481" s="14">
        <v>2535.9999999999995</v>
      </c>
      <c r="D1481" s="14">
        <v>142</v>
      </c>
      <c r="E1481" s="14">
        <v>5024</v>
      </c>
      <c r="F1481" s="14">
        <v>231.33333333333334</v>
      </c>
      <c r="G1481" s="14">
        <v>592.66666666666652</v>
      </c>
      <c r="H1481" s="14">
        <v>128.66666666666666</v>
      </c>
      <c r="I1481" s="14">
        <v>739.99999999999989</v>
      </c>
      <c r="K1481" s="15"/>
    </row>
    <row r="1482" spans="1:11" ht="16.5" x14ac:dyDescent="0.2">
      <c r="A1482" s="4" t="s">
        <v>168</v>
      </c>
      <c r="B1482">
        <v>2015</v>
      </c>
      <c r="C1482" s="14">
        <v>2532.6666666666665</v>
      </c>
      <c r="D1482" s="14">
        <v>142</v>
      </c>
      <c r="E1482" s="14">
        <v>5021.9999999999991</v>
      </c>
      <c r="F1482" s="14">
        <v>230.66666666666666</v>
      </c>
      <c r="G1482" s="14">
        <v>596.66666666666663</v>
      </c>
      <c r="H1482" s="14">
        <v>130</v>
      </c>
      <c r="I1482" s="14">
        <v>739.33333333333326</v>
      </c>
    </row>
    <row r="1483" spans="1:11" ht="16.5" x14ac:dyDescent="0.2">
      <c r="A1483" s="4" t="s">
        <v>168</v>
      </c>
      <c r="B1483">
        <v>2016</v>
      </c>
      <c r="C1483" s="14">
        <v>2537.3333333333335</v>
      </c>
      <c r="D1483" s="14">
        <v>141.33333333333331</v>
      </c>
      <c r="E1483" s="14">
        <v>5011.9999999999991</v>
      </c>
      <c r="F1483" s="14">
        <v>230.66666666666666</v>
      </c>
      <c r="G1483" s="14">
        <v>600.66666666666663</v>
      </c>
      <c r="H1483" s="14">
        <v>133.33333333333331</v>
      </c>
      <c r="I1483" s="14">
        <v>738</v>
      </c>
      <c r="K1483" s="15"/>
    </row>
    <row r="1484" spans="1:11" ht="16.5" x14ac:dyDescent="0.2">
      <c r="A1484" s="4" t="s">
        <v>167</v>
      </c>
      <c r="B1484">
        <v>2009</v>
      </c>
      <c r="C1484" s="14">
        <v>4531.333333333333</v>
      </c>
      <c r="D1484" s="14">
        <v>561.33333333333326</v>
      </c>
      <c r="E1484" s="14">
        <v>16635.333333333332</v>
      </c>
      <c r="F1484" s="14">
        <v>401.33333333333331</v>
      </c>
      <c r="G1484" s="14">
        <v>727.33333333333326</v>
      </c>
      <c r="H1484" s="14">
        <v>204.66666666666666</v>
      </c>
      <c r="I1484" s="14">
        <v>393.33333333333331</v>
      </c>
    </row>
    <row r="1485" spans="1:11" ht="16.5" x14ac:dyDescent="0.2">
      <c r="A1485" s="4" t="s">
        <v>167</v>
      </c>
      <c r="B1485">
        <v>2010</v>
      </c>
      <c r="C1485" s="14">
        <v>4531.9999999999991</v>
      </c>
      <c r="D1485" s="14">
        <v>559.33333333333337</v>
      </c>
      <c r="E1485" s="14">
        <v>16628.666666666668</v>
      </c>
      <c r="F1485" s="14">
        <v>400.66666666666663</v>
      </c>
      <c r="G1485" s="14">
        <v>729.99999999999989</v>
      </c>
      <c r="H1485" s="14">
        <v>205.99999999999997</v>
      </c>
      <c r="I1485" s="14">
        <v>395.99999999999994</v>
      </c>
    </row>
    <row r="1486" spans="1:11" ht="16.5" x14ac:dyDescent="0.2">
      <c r="A1486" s="4" t="s">
        <v>167</v>
      </c>
      <c r="B1486">
        <v>2011</v>
      </c>
      <c r="C1486" s="14">
        <v>4538.6666666666661</v>
      </c>
      <c r="D1486" s="14">
        <v>558.66666666666663</v>
      </c>
      <c r="E1486" s="14">
        <v>16617.999999999996</v>
      </c>
      <c r="F1486" s="14">
        <v>399.99999999999994</v>
      </c>
      <c r="G1486" s="14">
        <v>734.66666666666652</v>
      </c>
      <c r="H1486" s="14">
        <v>205.99999999999997</v>
      </c>
      <c r="I1486" s="14">
        <v>395.33333333333326</v>
      </c>
      <c r="K1486" s="15"/>
    </row>
    <row r="1487" spans="1:11" ht="16.5" x14ac:dyDescent="0.2">
      <c r="A1487" s="4" t="s">
        <v>167</v>
      </c>
      <c r="B1487">
        <v>2012</v>
      </c>
      <c r="C1487" s="14">
        <v>4540.6666666666661</v>
      </c>
      <c r="D1487" s="14">
        <v>555.33333333333326</v>
      </c>
      <c r="E1487" s="14">
        <v>16606</v>
      </c>
      <c r="F1487" s="14">
        <v>396.66666666666663</v>
      </c>
      <c r="G1487" s="14">
        <v>741.33333333333326</v>
      </c>
      <c r="H1487" s="14">
        <v>215.33333333333329</v>
      </c>
      <c r="I1487" s="14">
        <v>395.99999999999994</v>
      </c>
    </row>
    <row r="1488" spans="1:11" ht="16.5" x14ac:dyDescent="0.2">
      <c r="A1488" s="4" t="s">
        <v>167</v>
      </c>
      <c r="B1488">
        <v>2013</v>
      </c>
      <c r="C1488" s="14">
        <v>4535.333333333333</v>
      </c>
      <c r="D1488" s="14">
        <v>554.66666666666663</v>
      </c>
      <c r="E1488" s="14">
        <v>16601.333333333332</v>
      </c>
      <c r="F1488" s="14">
        <v>395.99999999999994</v>
      </c>
      <c r="G1488" s="14">
        <v>751.99999999999989</v>
      </c>
      <c r="H1488" s="14">
        <v>217.33333333333331</v>
      </c>
      <c r="I1488" s="14">
        <v>395.33333333333326</v>
      </c>
      <c r="K1488" s="15"/>
    </row>
    <row r="1489" spans="1:11" ht="16.5" x14ac:dyDescent="0.2">
      <c r="A1489" s="4" t="s">
        <v>167</v>
      </c>
      <c r="B1489">
        <v>2014</v>
      </c>
      <c r="C1489" s="14">
        <v>4530.6666666666661</v>
      </c>
      <c r="D1489" s="14">
        <v>552.66666666666663</v>
      </c>
      <c r="E1489" s="14">
        <v>16593.333333333332</v>
      </c>
      <c r="F1489" s="14">
        <v>394</v>
      </c>
      <c r="G1489" s="14">
        <v>766.66666666666663</v>
      </c>
      <c r="H1489" s="14">
        <v>218.66666666666663</v>
      </c>
      <c r="I1489" s="14">
        <v>395.33333333333326</v>
      </c>
    </row>
    <row r="1490" spans="1:11" ht="16.5" x14ac:dyDescent="0.2">
      <c r="A1490" s="4" t="s">
        <v>167</v>
      </c>
      <c r="B1490">
        <v>2015</v>
      </c>
      <c r="C1490" s="14">
        <v>4528.6666666666661</v>
      </c>
      <c r="D1490" s="14">
        <v>551.99999999999989</v>
      </c>
      <c r="E1490" s="14">
        <v>16591.333333333332</v>
      </c>
      <c r="F1490" s="14">
        <v>392.66666666666663</v>
      </c>
      <c r="G1490" s="14">
        <v>771.99999999999989</v>
      </c>
      <c r="H1490" s="14">
        <v>219.99999999999997</v>
      </c>
      <c r="I1490" s="14">
        <v>395.33333333333326</v>
      </c>
    </row>
    <row r="1491" spans="1:11" ht="16.5" x14ac:dyDescent="0.2">
      <c r="A1491" s="4" t="s">
        <v>167</v>
      </c>
      <c r="B1491">
        <v>2016</v>
      </c>
      <c r="C1491" s="14">
        <v>4525.9999999999991</v>
      </c>
      <c r="D1491" s="14">
        <v>551.33333333333326</v>
      </c>
      <c r="E1491" s="14">
        <v>16587.333333333332</v>
      </c>
      <c r="F1491" s="14">
        <v>392.66666666666663</v>
      </c>
      <c r="G1491" s="14">
        <v>775.33333333333326</v>
      </c>
      <c r="H1491" s="14">
        <v>224</v>
      </c>
      <c r="I1491" s="14">
        <v>395.33333333333326</v>
      </c>
      <c r="K1491" s="15"/>
    </row>
    <row r="1492" spans="1:11" ht="16.5" x14ac:dyDescent="0.2">
      <c r="A1492" s="4" t="s">
        <v>166</v>
      </c>
      <c r="B1492">
        <v>2009</v>
      </c>
      <c r="C1492" s="14">
        <v>2842.6666666666661</v>
      </c>
      <c r="D1492" s="14">
        <v>122</v>
      </c>
      <c r="E1492" s="14">
        <v>6095.9999999999991</v>
      </c>
      <c r="F1492" s="14">
        <v>63.333333333333329</v>
      </c>
      <c r="G1492" s="14">
        <v>1385.3333333333333</v>
      </c>
      <c r="H1492" s="14">
        <v>263.33333333333331</v>
      </c>
      <c r="I1492" s="14">
        <v>790.66666666666652</v>
      </c>
    </row>
    <row r="1493" spans="1:11" ht="16.5" x14ac:dyDescent="0.2">
      <c r="A1493" s="4" t="s">
        <v>166</v>
      </c>
      <c r="B1493">
        <v>2010</v>
      </c>
      <c r="C1493" s="14">
        <v>2827.333333333333</v>
      </c>
      <c r="D1493" s="14">
        <v>119.99999999999999</v>
      </c>
      <c r="E1493" s="14">
        <v>6059.9999999999991</v>
      </c>
      <c r="F1493" s="14">
        <v>62.666666666666664</v>
      </c>
      <c r="G1493" s="14">
        <v>1425.333333333333</v>
      </c>
      <c r="H1493" s="14">
        <v>287.33333333333331</v>
      </c>
      <c r="I1493" s="14">
        <v>786.66666666666663</v>
      </c>
      <c r="K1493" s="15"/>
    </row>
    <row r="1494" spans="1:11" ht="16.5" x14ac:dyDescent="0.2">
      <c r="A1494" s="4" t="s">
        <v>166</v>
      </c>
      <c r="B1494">
        <v>2011</v>
      </c>
      <c r="C1494" s="14">
        <v>2814</v>
      </c>
      <c r="D1494" s="14">
        <v>119.33333333333331</v>
      </c>
      <c r="E1494" s="14">
        <v>6038.6666666666661</v>
      </c>
      <c r="F1494" s="14">
        <v>61.333333333333321</v>
      </c>
      <c r="G1494" s="14">
        <v>1461.3333333333333</v>
      </c>
      <c r="H1494" s="14">
        <v>296.66666666666663</v>
      </c>
      <c r="I1494" s="14">
        <v>781.33333333333326</v>
      </c>
    </row>
    <row r="1495" spans="1:11" ht="16.5" x14ac:dyDescent="0.2">
      <c r="A1495" s="4" t="s">
        <v>166</v>
      </c>
      <c r="B1495">
        <v>2012</v>
      </c>
      <c r="C1495" s="14">
        <v>2802.6666666666661</v>
      </c>
      <c r="D1495" s="14">
        <v>117.99999999999999</v>
      </c>
      <c r="E1495" s="14">
        <v>6026.6666666666661</v>
      </c>
      <c r="F1495" s="14">
        <v>61.333333333333321</v>
      </c>
      <c r="G1495" s="14">
        <v>1488.6666666666665</v>
      </c>
      <c r="H1495" s="14">
        <v>300</v>
      </c>
      <c r="I1495" s="14">
        <v>778</v>
      </c>
    </row>
    <row r="1496" spans="1:11" ht="16.5" x14ac:dyDescent="0.2">
      <c r="A1496" s="4" t="s">
        <v>166</v>
      </c>
      <c r="B1496">
        <v>2013</v>
      </c>
      <c r="C1496" s="14">
        <v>2787.9999999999995</v>
      </c>
      <c r="D1496" s="14">
        <v>115.99999999999999</v>
      </c>
      <c r="E1496" s="14">
        <v>6004</v>
      </c>
      <c r="F1496" s="14">
        <v>60.666666666666657</v>
      </c>
      <c r="G1496" s="14">
        <v>1532</v>
      </c>
      <c r="H1496" s="14">
        <v>302.66666666666663</v>
      </c>
      <c r="I1496" s="14">
        <v>773.33333333333326</v>
      </c>
      <c r="K1496" s="15"/>
    </row>
    <row r="1497" spans="1:11" ht="16.5" x14ac:dyDescent="0.2">
      <c r="A1497" s="4" t="s">
        <v>166</v>
      </c>
      <c r="B1497">
        <v>2014</v>
      </c>
      <c r="C1497" s="14">
        <v>2776.6666666666665</v>
      </c>
      <c r="D1497" s="14">
        <v>115.33333333333333</v>
      </c>
      <c r="E1497" s="14">
        <v>5984</v>
      </c>
      <c r="F1497" s="14">
        <v>59.999999999999993</v>
      </c>
      <c r="G1497" s="14">
        <v>1563.9999999999995</v>
      </c>
      <c r="H1497" s="14">
        <v>308.66666666666663</v>
      </c>
      <c r="I1497" s="14">
        <v>769.99999999999989</v>
      </c>
    </row>
    <row r="1498" spans="1:11" ht="16.5" x14ac:dyDescent="0.2">
      <c r="A1498" s="4" t="s">
        <v>166</v>
      </c>
      <c r="B1498">
        <v>2015</v>
      </c>
      <c r="C1498" s="14">
        <v>2764.6666666666665</v>
      </c>
      <c r="D1498" s="14">
        <v>115.33333333333333</v>
      </c>
      <c r="E1498" s="14">
        <v>5969.333333333333</v>
      </c>
      <c r="F1498" s="14">
        <v>59.333333333333329</v>
      </c>
      <c r="G1498" s="14">
        <v>1589.3333333333335</v>
      </c>
      <c r="H1498" s="14">
        <v>314.66666666666669</v>
      </c>
      <c r="I1498" s="14">
        <v>766.66666666666663</v>
      </c>
      <c r="K1498" s="15"/>
    </row>
    <row r="1499" spans="1:11" ht="16.5" x14ac:dyDescent="0.2">
      <c r="A1499" s="4" t="s">
        <v>166</v>
      </c>
      <c r="B1499">
        <v>2016</v>
      </c>
      <c r="C1499" s="14">
        <v>2751.333333333333</v>
      </c>
      <c r="D1499" s="14">
        <v>114</v>
      </c>
      <c r="E1499" s="14">
        <v>5957.333333333333</v>
      </c>
      <c r="F1499" s="14">
        <v>58.666666666666664</v>
      </c>
      <c r="G1499" s="14">
        <v>1612</v>
      </c>
      <c r="H1499" s="14">
        <v>320.66666666666663</v>
      </c>
      <c r="I1499" s="14">
        <v>763.99999999999989</v>
      </c>
    </row>
    <row r="1500" spans="1:11" ht="16.5" x14ac:dyDescent="0.2">
      <c r="A1500" s="4" t="s">
        <v>165</v>
      </c>
      <c r="B1500">
        <v>2009</v>
      </c>
      <c r="C1500" s="14">
        <v>2079.333333333333</v>
      </c>
      <c r="D1500" s="14">
        <v>81.333333333333314</v>
      </c>
      <c r="E1500" s="14">
        <v>6934.6666666666661</v>
      </c>
      <c r="F1500" s="14">
        <v>284</v>
      </c>
      <c r="G1500" s="14">
        <v>836.66666666666663</v>
      </c>
      <c r="H1500" s="14">
        <v>184.66666666666666</v>
      </c>
      <c r="I1500" s="14">
        <v>601.33333333333326</v>
      </c>
    </row>
    <row r="1501" spans="1:11" ht="16.5" x14ac:dyDescent="0.2">
      <c r="A1501" s="4" t="s">
        <v>165</v>
      </c>
      <c r="B1501">
        <v>2010</v>
      </c>
      <c r="C1501" s="14">
        <v>2080.6666666666665</v>
      </c>
      <c r="D1501" s="14">
        <v>80.666666666666657</v>
      </c>
      <c r="E1501" s="14">
        <v>6911.333333333333</v>
      </c>
      <c r="F1501" s="14">
        <v>281.33333333333331</v>
      </c>
      <c r="G1501" s="14">
        <v>855.33333333333337</v>
      </c>
      <c r="H1501" s="14">
        <v>196.66666666666666</v>
      </c>
      <c r="I1501" s="14">
        <v>599.33333333333337</v>
      </c>
      <c r="K1501" s="15"/>
    </row>
    <row r="1502" spans="1:11" ht="16.5" x14ac:dyDescent="0.2">
      <c r="A1502" s="4" t="s">
        <v>165</v>
      </c>
      <c r="B1502">
        <v>2011</v>
      </c>
      <c r="C1502" s="14">
        <v>2077.9999999999995</v>
      </c>
      <c r="D1502" s="14">
        <v>78.666666666666671</v>
      </c>
      <c r="E1502" s="14">
        <v>6899.333333333333</v>
      </c>
      <c r="F1502" s="14">
        <v>280</v>
      </c>
      <c r="G1502" s="14">
        <v>871.33333333333337</v>
      </c>
      <c r="H1502" s="14">
        <v>198.66666666666666</v>
      </c>
      <c r="I1502" s="14">
        <v>598</v>
      </c>
    </row>
    <row r="1503" spans="1:11" ht="16.5" x14ac:dyDescent="0.2">
      <c r="A1503" s="4" t="s">
        <v>165</v>
      </c>
      <c r="B1503">
        <v>2012</v>
      </c>
      <c r="C1503" s="14">
        <v>2085.9999999999995</v>
      </c>
      <c r="D1503" s="14">
        <v>77.333333333333329</v>
      </c>
      <c r="E1503" s="14">
        <v>6883.9999999999991</v>
      </c>
      <c r="F1503" s="14">
        <v>277.33333333333331</v>
      </c>
      <c r="G1503" s="14">
        <v>886</v>
      </c>
      <c r="H1503" s="14">
        <v>201.33333333333331</v>
      </c>
      <c r="I1503" s="14">
        <v>596</v>
      </c>
      <c r="K1503" s="15"/>
    </row>
    <row r="1504" spans="1:11" ht="16.5" x14ac:dyDescent="0.2">
      <c r="A1504" s="4" t="s">
        <v>165</v>
      </c>
      <c r="B1504">
        <v>2013</v>
      </c>
      <c r="C1504" s="14">
        <v>2089.333333333333</v>
      </c>
      <c r="D1504" s="14">
        <v>76</v>
      </c>
      <c r="E1504" s="14">
        <v>6869.333333333333</v>
      </c>
      <c r="F1504" s="14">
        <v>275.33333333333331</v>
      </c>
      <c r="G1504" s="14">
        <v>898.66666666666663</v>
      </c>
      <c r="H1504" s="14">
        <v>203.33333333333331</v>
      </c>
      <c r="I1504" s="14">
        <v>594.66666666666663</v>
      </c>
    </row>
    <row r="1505" spans="1:11" ht="16.5" x14ac:dyDescent="0.2">
      <c r="A1505" s="4" t="s">
        <v>165</v>
      </c>
      <c r="B1505">
        <v>2014</v>
      </c>
      <c r="C1505" s="14">
        <v>2087.9999999999995</v>
      </c>
      <c r="D1505" s="14">
        <v>76</v>
      </c>
      <c r="E1505" s="14">
        <v>6860.6666666666652</v>
      </c>
      <c r="F1505" s="14">
        <v>274</v>
      </c>
      <c r="G1505" s="14">
        <v>910.66666666666674</v>
      </c>
      <c r="H1505" s="14">
        <v>205.33333333333331</v>
      </c>
      <c r="I1505" s="14">
        <v>593.99999999999989</v>
      </c>
    </row>
    <row r="1506" spans="1:11" ht="16.5" x14ac:dyDescent="0.2">
      <c r="A1506" s="4" t="s">
        <v>165</v>
      </c>
      <c r="B1506">
        <v>2015</v>
      </c>
      <c r="C1506" s="14">
        <v>2087.9999999999995</v>
      </c>
      <c r="D1506" s="14">
        <v>75.333333333333329</v>
      </c>
      <c r="E1506" s="14">
        <v>6854.6666666666661</v>
      </c>
      <c r="F1506" s="14">
        <v>272.66666666666663</v>
      </c>
      <c r="G1506" s="14">
        <v>917.99999999999989</v>
      </c>
      <c r="H1506" s="14">
        <v>206.66666666666666</v>
      </c>
      <c r="I1506" s="14">
        <v>593.33333333333326</v>
      </c>
      <c r="K1506" s="15"/>
    </row>
    <row r="1507" spans="1:11" ht="16.5" x14ac:dyDescent="0.2">
      <c r="A1507" s="4" t="s">
        <v>165</v>
      </c>
      <c r="B1507">
        <v>2016</v>
      </c>
      <c r="C1507" s="14">
        <v>2087.3333333333335</v>
      </c>
      <c r="D1507" s="14">
        <v>73.333333333333329</v>
      </c>
      <c r="E1507" s="14">
        <v>6846.6666666666661</v>
      </c>
      <c r="F1507" s="14">
        <v>271.99999999999994</v>
      </c>
      <c r="G1507" s="14">
        <v>928.66666666666652</v>
      </c>
      <c r="H1507" s="14">
        <v>209.99999999999997</v>
      </c>
      <c r="I1507" s="14">
        <v>591.99999999999989</v>
      </c>
    </row>
    <row r="1508" spans="1:11" ht="16.5" x14ac:dyDescent="0.2">
      <c r="A1508" s="4" t="s">
        <v>164</v>
      </c>
      <c r="B1508">
        <v>2009</v>
      </c>
      <c r="C1508" s="14">
        <v>1533.9999999999998</v>
      </c>
      <c r="D1508" s="14">
        <v>41.999999999999993</v>
      </c>
      <c r="E1508" s="14">
        <v>2030.6666666666667</v>
      </c>
      <c r="F1508" s="14">
        <v>61.333333333333321</v>
      </c>
      <c r="G1508" s="14">
        <v>610.66666666666663</v>
      </c>
      <c r="H1508" s="14">
        <v>121.33333333333331</v>
      </c>
      <c r="I1508" s="14">
        <v>468.66666666666663</v>
      </c>
      <c r="K1508" s="15"/>
    </row>
    <row r="1509" spans="1:11" ht="16.5" x14ac:dyDescent="0.2">
      <c r="A1509" s="4" t="s">
        <v>164</v>
      </c>
      <c r="B1509">
        <v>2010</v>
      </c>
      <c r="C1509" s="14">
        <v>1532</v>
      </c>
      <c r="D1509" s="14">
        <v>41.333333333333329</v>
      </c>
      <c r="E1509" s="14">
        <v>2026.6666666666665</v>
      </c>
      <c r="F1509" s="14">
        <v>60.666666666666657</v>
      </c>
      <c r="G1509" s="14">
        <v>618</v>
      </c>
      <c r="H1509" s="14">
        <v>123.33333333333333</v>
      </c>
      <c r="I1509" s="14">
        <v>467.33333333333326</v>
      </c>
    </row>
    <row r="1510" spans="1:11" ht="16.5" x14ac:dyDescent="0.2">
      <c r="A1510" s="4" t="s">
        <v>164</v>
      </c>
      <c r="B1510">
        <v>2011</v>
      </c>
      <c r="C1510" s="14">
        <v>1528.6666666666665</v>
      </c>
      <c r="D1510" s="14">
        <v>40.666666666666657</v>
      </c>
      <c r="E1510" s="14">
        <v>2019.9999999999998</v>
      </c>
      <c r="F1510" s="14">
        <v>59.999999999999993</v>
      </c>
      <c r="G1510" s="14">
        <v>626</v>
      </c>
      <c r="H1510" s="14">
        <v>128.66666666666666</v>
      </c>
      <c r="I1510" s="14">
        <v>465.33333333333326</v>
      </c>
    </row>
    <row r="1511" spans="1:11" ht="16.5" x14ac:dyDescent="0.2">
      <c r="A1511" s="4" t="s">
        <v>164</v>
      </c>
      <c r="B1511">
        <v>2012</v>
      </c>
      <c r="C1511" s="14">
        <v>1526</v>
      </c>
      <c r="D1511" s="14">
        <v>40.666666666666657</v>
      </c>
      <c r="E1511" s="14">
        <v>2015.3333333333333</v>
      </c>
      <c r="F1511" s="14">
        <v>59.333333333333329</v>
      </c>
      <c r="G1511" s="14">
        <v>635.33333333333326</v>
      </c>
      <c r="H1511" s="14">
        <v>130</v>
      </c>
      <c r="I1511" s="14">
        <v>463.99999999999994</v>
      </c>
      <c r="K1511" s="15"/>
    </row>
    <row r="1512" spans="1:11" ht="16.5" x14ac:dyDescent="0.2">
      <c r="A1512" s="4" t="s">
        <v>164</v>
      </c>
      <c r="B1512">
        <v>2013</v>
      </c>
      <c r="C1512" s="14">
        <v>1522</v>
      </c>
      <c r="D1512" s="14">
        <v>40</v>
      </c>
      <c r="E1512" s="14">
        <v>2009.9999999999998</v>
      </c>
      <c r="F1512" s="14">
        <v>59.333333333333329</v>
      </c>
      <c r="G1512" s="14">
        <v>642.66666666666663</v>
      </c>
      <c r="H1512" s="14">
        <v>133.33333333333331</v>
      </c>
      <c r="I1512" s="14">
        <v>462.66666666666669</v>
      </c>
    </row>
    <row r="1513" spans="1:11" ht="16.5" x14ac:dyDescent="0.2">
      <c r="A1513" s="4" t="s">
        <v>164</v>
      </c>
      <c r="B1513">
        <v>2014</v>
      </c>
      <c r="C1513" s="14">
        <v>1516.6666666666665</v>
      </c>
      <c r="D1513" s="14">
        <v>40</v>
      </c>
      <c r="E1513" s="14">
        <v>2004.6666666666665</v>
      </c>
      <c r="F1513" s="14">
        <v>58.666666666666664</v>
      </c>
      <c r="G1513" s="14">
        <v>650</v>
      </c>
      <c r="H1513" s="14">
        <v>137.99999999999997</v>
      </c>
      <c r="I1513" s="14">
        <v>461.99999999999994</v>
      </c>
      <c r="K1513" s="15"/>
    </row>
    <row r="1514" spans="1:11" ht="16.5" x14ac:dyDescent="0.2">
      <c r="A1514" s="4" t="s">
        <v>164</v>
      </c>
      <c r="B1514">
        <v>2015</v>
      </c>
      <c r="C1514" s="14">
        <v>1515.3333333333333</v>
      </c>
      <c r="D1514" s="14">
        <v>40</v>
      </c>
      <c r="E1514" s="14">
        <v>2002</v>
      </c>
      <c r="F1514" s="14">
        <v>58.666666666666664</v>
      </c>
      <c r="G1514" s="14">
        <v>653.33333333333326</v>
      </c>
      <c r="H1514" s="14">
        <v>140</v>
      </c>
      <c r="I1514" s="14">
        <v>461.33333333333331</v>
      </c>
    </row>
    <row r="1515" spans="1:11" ht="16.5" x14ac:dyDescent="0.2">
      <c r="A1515" s="4" t="s">
        <v>164</v>
      </c>
      <c r="B1515">
        <v>2016</v>
      </c>
      <c r="C1515" s="14">
        <v>1512</v>
      </c>
      <c r="D1515" s="14">
        <v>39.333333333333336</v>
      </c>
      <c r="E1515" s="14">
        <v>1999.9999999999998</v>
      </c>
      <c r="F1515" s="14">
        <v>57.999999999999993</v>
      </c>
      <c r="G1515" s="14">
        <v>658.66666666666663</v>
      </c>
      <c r="H1515" s="14">
        <v>142</v>
      </c>
      <c r="I1515" s="14">
        <v>459.99999999999994</v>
      </c>
    </row>
    <row r="1516" spans="1:11" ht="16.5" x14ac:dyDescent="0.2">
      <c r="A1516" s="4" t="s">
        <v>163</v>
      </c>
      <c r="B1516">
        <v>2009</v>
      </c>
      <c r="C1516" s="14">
        <v>3915.3333333333326</v>
      </c>
      <c r="D1516" s="14">
        <v>348</v>
      </c>
      <c r="E1516" s="14">
        <v>7148</v>
      </c>
      <c r="F1516" s="14">
        <v>745.33333333333326</v>
      </c>
      <c r="G1516" s="14">
        <v>1232</v>
      </c>
      <c r="H1516" s="14">
        <v>258.66666666666663</v>
      </c>
      <c r="I1516" s="14">
        <v>1140</v>
      </c>
      <c r="K1516" s="15"/>
    </row>
    <row r="1517" spans="1:11" ht="16.5" x14ac:dyDescent="0.2">
      <c r="A1517" s="4" t="s">
        <v>163</v>
      </c>
      <c r="B1517">
        <v>2010</v>
      </c>
      <c r="C1517" s="14">
        <v>3922.6666666666661</v>
      </c>
      <c r="D1517" s="14">
        <v>347.33333333333331</v>
      </c>
      <c r="E1517" s="14">
        <v>7128</v>
      </c>
      <c r="F1517" s="14">
        <v>741.33333333333326</v>
      </c>
      <c r="G1517" s="14">
        <v>1248.6666666666665</v>
      </c>
      <c r="H1517" s="14">
        <v>264</v>
      </c>
      <c r="I1517" s="14">
        <v>1137.9999999999998</v>
      </c>
    </row>
    <row r="1518" spans="1:11" ht="16.5" x14ac:dyDescent="0.2">
      <c r="A1518" s="4" t="s">
        <v>163</v>
      </c>
      <c r="B1518">
        <v>2011</v>
      </c>
      <c r="C1518" s="14">
        <v>3924</v>
      </c>
      <c r="D1518" s="14">
        <v>345.33333333333326</v>
      </c>
      <c r="E1518" s="14">
        <v>7115.3333333333321</v>
      </c>
      <c r="F1518" s="14">
        <v>739.33333333333326</v>
      </c>
      <c r="G1518" s="14">
        <v>1262.6666666666665</v>
      </c>
      <c r="H1518" s="14">
        <v>266.66666666666663</v>
      </c>
      <c r="I1518" s="14">
        <v>1136.6666666666665</v>
      </c>
      <c r="K1518" s="15"/>
    </row>
    <row r="1519" spans="1:11" ht="16.5" x14ac:dyDescent="0.2">
      <c r="A1519" s="4" t="s">
        <v>163</v>
      </c>
      <c r="B1519">
        <v>2012</v>
      </c>
      <c r="C1519" s="14">
        <v>3924.6666666666665</v>
      </c>
      <c r="D1519" s="14">
        <v>343.33333333333331</v>
      </c>
      <c r="E1519" s="14">
        <v>7103.9999999999991</v>
      </c>
      <c r="F1519" s="14">
        <v>738</v>
      </c>
      <c r="G1519" s="14">
        <v>1277.3333333333333</v>
      </c>
      <c r="H1519" s="14">
        <v>268</v>
      </c>
      <c r="I1519" s="14">
        <v>1134.6666666666665</v>
      </c>
    </row>
    <row r="1520" spans="1:11" ht="16.5" x14ac:dyDescent="0.2">
      <c r="A1520" s="4" t="s">
        <v>163</v>
      </c>
      <c r="B1520">
        <v>2013</v>
      </c>
      <c r="C1520" s="14">
        <v>3926.6666666666665</v>
      </c>
      <c r="D1520" s="14">
        <v>340.66666666666663</v>
      </c>
      <c r="E1520" s="14">
        <v>7089.9999999999991</v>
      </c>
      <c r="F1520" s="14">
        <v>736</v>
      </c>
      <c r="G1520" s="14">
        <v>1293.9999999999998</v>
      </c>
      <c r="H1520" s="14">
        <v>270</v>
      </c>
      <c r="I1520" s="14">
        <v>1132</v>
      </c>
    </row>
    <row r="1521" spans="1:11" ht="16.5" x14ac:dyDescent="0.2">
      <c r="A1521" s="4" t="s">
        <v>163</v>
      </c>
      <c r="B1521">
        <v>2014</v>
      </c>
      <c r="C1521" s="14">
        <v>3922.6666666666661</v>
      </c>
      <c r="D1521" s="14">
        <v>339.33333333333331</v>
      </c>
      <c r="E1521" s="14">
        <v>7077.3333333333321</v>
      </c>
      <c r="F1521" s="14">
        <v>733.99999999999989</v>
      </c>
      <c r="G1521" s="14">
        <v>1308.6666666666665</v>
      </c>
      <c r="H1521" s="14">
        <v>278.66666666666663</v>
      </c>
      <c r="I1521" s="14">
        <v>1129.3333333333333</v>
      </c>
      <c r="K1521" s="15"/>
    </row>
    <row r="1522" spans="1:11" ht="16.5" x14ac:dyDescent="0.2">
      <c r="A1522" s="4" t="s">
        <v>163</v>
      </c>
      <c r="B1522">
        <v>2015</v>
      </c>
      <c r="C1522" s="14">
        <v>3921.9999999999995</v>
      </c>
      <c r="D1522" s="14">
        <v>337.33333333333331</v>
      </c>
      <c r="E1522" s="14">
        <v>7069.9999999999991</v>
      </c>
      <c r="F1522" s="14">
        <v>732.66666666666663</v>
      </c>
      <c r="G1522" s="14">
        <v>1320.6666666666665</v>
      </c>
      <c r="H1522" s="14">
        <v>279.33333333333331</v>
      </c>
      <c r="I1522" s="14">
        <v>1127.9999999999998</v>
      </c>
    </row>
    <row r="1523" spans="1:11" ht="16.5" x14ac:dyDescent="0.2">
      <c r="A1523" s="4" t="s">
        <v>163</v>
      </c>
      <c r="B1523">
        <v>2016</v>
      </c>
      <c r="C1523" s="14">
        <v>3919.333333333333</v>
      </c>
      <c r="D1523" s="14">
        <v>331.99999999999994</v>
      </c>
      <c r="E1523" s="14">
        <v>7068</v>
      </c>
      <c r="F1523" s="14">
        <v>731.33333333333326</v>
      </c>
      <c r="G1523" s="14">
        <v>1329.9999999999998</v>
      </c>
      <c r="H1523" s="14">
        <v>282.66666666666663</v>
      </c>
      <c r="I1523" s="14">
        <v>1126</v>
      </c>
      <c r="K1523" s="15"/>
    </row>
    <row r="1524" spans="1:11" ht="16.5" x14ac:dyDescent="0.2">
      <c r="A1524" s="4" t="s">
        <v>162</v>
      </c>
      <c r="B1524">
        <v>2009</v>
      </c>
      <c r="C1524" s="14">
        <v>4445.333333333333</v>
      </c>
      <c r="D1524" s="14">
        <v>741.99999999999989</v>
      </c>
      <c r="E1524" s="14">
        <v>12421.999999999998</v>
      </c>
      <c r="F1524" s="14">
        <v>438</v>
      </c>
      <c r="G1524" s="14">
        <v>1059.3333333333333</v>
      </c>
      <c r="H1524" s="14">
        <v>229.99999999999997</v>
      </c>
      <c r="I1524" s="14">
        <v>682.66666666666663</v>
      </c>
    </row>
    <row r="1525" spans="1:11" ht="16.5" x14ac:dyDescent="0.2">
      <c r="A1525" s="4" t="s">
        <v>162</v>
      </c>
      <c r="B1525">
        <v>2010</v>
      </c>
      <c r="C1525" s="14">
        <v>4444.666666666667</v>
      </c>
      <c r="D1525" s="14">
        <v>738</v>
      </c>
      <c r="E1525" s="14">
        <v>12408.666666666666</v>
      </c>
      <c r="F1525" s="14">
        <v>436.66666666666663</v>
      </c>
      <c r="G1525" s="14">
        <v>1068</v>
      </c>
      <c r="H1525" s="14">
        <v>241.99999999999997</v>
      </c>
      <c r="I1525" s="14">
        <v>681.99999999999989</v>
      </c>
    </row>
    <row r="1526" spans="1:11" ht="16.5" x14ac:dyDescent="0.2">
      <c r="A1526" s="4" t="s">
        <v>162</v>
      </c>
      <c r="B1526">
        <v>2011</v>
      </c>
      <c r="C1526" s="14">
        <v>4445.9999999999991</v>
      </c>
      <c r="D1526" s="14">
        <v>734.66666666666663</v>
      </c>
      <c r="E1526" s="14">
        <v>12400.666666666664</v>
      </c>
      <c r="F1526" s="14">
        <v>437.33333333333326</v>
      </c>
      <c r="G1526" s="14">
        <v>1074.6666666666667</v>
      </c>
      <c r="H1526" s="14">
        <v>245.33333333333329</v>
      </c>
      <c r="I1526" s="14">
        <v>681.99999999999989</v>
      </c>
      <c r="K1526" s="15"/>
    </row>
    <row r="1527" spans="1:11" ht="16.5" x14ac:dyDescent="0.2">
      <c r="A1527" s="4" t="s">
        <v>162</v>
      </c>
      <c r="B1527">
        <v>2012</v>
      </c>
      <c r="C1527" s="14">
        <v>4451.9999999999991</v>
      </c>
      <c r="D1527" s="14">
        <v>729.33333333333326</v>
      </c>
      <c r="E1527" s="14">
        <v>12396</v>
      </c>
      <c r="F1527" s="14">
        <v>432.66666666666669</v>
      </c>
      <c r="G1527" s="14">
        <v>1082.6666666666665</v>
      </c>
      <c r="H1527" s="14">
        <v>245.99999999999997</v>
      </c>
      <c r="I1527" s="14">
        <v>681.33333333333326</v>
      </c>
    </row>
    <row r="1528" spans="1:11" ht="16.5" x14ac:dyDescent="0.2">
      <c r="A1528" s="4" t="s">
        <v>162</v>
      </c>
      <c r="B1528">
        <v>2013</v>
      </c>
      <c r="C1528" s="14">
        <v>4451.333333333333</v>
      </c>
      <c r="D1528" s="14">
        <v>720.66666666666652</v>
      </c>
      <c r="E1528" s="14">
        <v>12392.666666666666</v>
      </c>
      <c r="F1528" s="14">
        <v>430.66666666666657</v>
      </c>
      <c r="G1528" s="14">
        <v>1093.333333333333</v>
      </c>
      <c r="H1528" s="14">
        <v>251.33333333333334</v>
      </c>
      <c r="I1528" s="14">
        <v>680.66666666666652</v>
      </c>
      <c r="K1528" s="15"/>
    </row>
    <row r="1529" spans="1:11" ht="16.5" x14ac:dyDescent="0.2">
      <c r="A1529" s="4" t="s">
        <v>162</v>
      </c>
      <c r="B1529">
        <v>2014</v>
      </c>
      <c r="C1529" s="14">
        <v>4456.6666666666661</v>
      </c>
      <c r="D1529" s="14">
        <v>712.66666666666663</v>
      </c>
      <c r="E1529" s="14">
        <v>12381.999999999998</v>
      </c>
      <c r="F1529" s="14">
        <v>428.66666666666663</v>
      </c>
      <c r="G1529" s="14">
        <v>1105.333333333333</v>
      </c>
      <c r="H1529" s="14">
        <v>254.66666666666666</v>
      </c>
      <c r="I1529" s="14">
        <v>679.99999999999989</v>
      </c>
    </row>
    <row r="1530" spans="1:11" ht="16.5" x14ac:dyDescent="0.2">
      <c r="A1530" s="4" t="s">
        <v>162</v>
      </c>
      <c r="B1530">
        <v>2015</v>
      </c>
      <c r="C1530" s="14">
        <v>4456.6666666666661</v>
      </c>
      <c r="D1530" s="14">
        <v>709.33333333333326</v>
      </c>
      <c r="E1530" s="14">
        <v>12371.333333333332</v>
      </c>
      <c r="F1530" s="14">
        <v>428</v>
      </c>
      <c r="G1530" s="14">
        <v>1113.3333333333333</v>
      </c>
      <c r="H1530" s="14">
        <v>261.99999999999994</v>
      </c>
      <c r="I1530" s="14">
        <v>679.33333333333326</v>
      </c>
    </row>
    <row r="1531" spans="1:11" ht="16.5" x14ac:dyDescent="0.2">
      <c r="A1531" s="4" t="s">
        <v>162</v>
      </c>
      <c r="B1531">
        <v>2016</v>
      </c>
      <c r="C1531" s="14">
        <v>4473.333333333333</v>
      </c>
      <c r="D1531" s="14">
        <v>700.66666666666652</v>
      </c>
      <c r="E1531" s="14">
        <v>12349.333333333332</v>
      </c>
      <c r="F1531" s="14">
        <v>425.99999999999994</v>
      </c>
      <c r="G1531" s="14">
        <v>1126.6666666666665</v>
      </c>
      <c r="H1531" s="14">
        <v>265.33333333333331</v>
      </c>
      <c r="I1531" s="14">
        <v>678.66666666666663</v>
      </c>
      <c r="K1531" s="15"/>
    </row>
    <row r="1532" spans="1:11" ht="16.5" x14ac:dyDescent="0.2">
      <c r="A1532" s="4" t="s">
        <v>161</v>
      </c>
      <c r="B1532">
        <v>2009</v>
      </c>
      <c r="C1532" s="14">
        <v>3514</v>
      </c>
      <c r="D1532" s="14">
        <v>653.99999999999989</v>
      </c>
      <c r="E1532" s="14">
        <v>5888</v>
      </c>
      <c r="F1532" s="14">
        <v>103.33333333333333</v>
      </c>
      <c r="G1532" s="14">
        <v>958.66666666666663</v>
      </c>
      <c r="H1532" s="14">
        <v>260.66666666666663</v>
      </c>
      <c r="I1532" s="14">
        <v>3194.6666666666665</v>
      </c>
    </row>
    <row r="1533" spans="1:11" ht="16.5" x14ac:dyDescent="0.2">
      <c r="A1533" s="4" t="s">
        <v>161</v>
      </c>
      <c r="B1533">
        <v>2010</v>
      </c>
      <c r="C1533" s="14">
        <v>3514</v>
      </c>
      <c r="D1533" s="14">
        <v>651.99999999999989</v>
      </c>
      <c r="E1533" s="14">
        <v>5879.9999999999991</v>
      </c>
      <c r="F1533" s="14">
        <v>102</v>
      </c>
      <c r="G1533" s="14">
        <v>971.33333333333314</v>
      </c>
      <c r="H1533" s="14">
        <v>261.99999999999994</v>
      </c>
      <c r="I1533" s="14">
        <v>3192.6666666666661</v>
      </c>
      <c r="K1533" s="15"/>
    </row>
    <row r="1534" spans="1:11" ht="16.5" x14ac:dyDescent="0.2">
      <c r="A1534" s="4" t="s">
        <v>161</v>
      </c>
      <c r="B1534">
        <v>2011</v>
      </c>
      <c r="C1534" s="14">
        <v>3518.6666666666661</v>
      </c>
      <c r="D1534" s="14">
        <v>646</v>
      </c>
      <c r="E1534" s="14">
        <v>5872.6666666666661</v>
      </c>
      <c r="F1534" s="14">
        <v>105.33333333333333</v>
      </c>
      <c r="G1534" s="14">
        <v>979.99999999999989</v>
      </c>
      <c r="H1534" s="14">
        <v>265.33333333333331</v>
      </c>
      <c r="I1534" s="14">
        <v>3186.6666666666665</v>
      </c>
    </row>
    <row r="1535" spans="1:11" ht="16.5" x14ac:dyDescent="0.2">
      <c r="A1535" s="4" t="s">
        <v>161</v>
      </c>
      <c r="B1535">
        <v>2012</v>
      </c>
      <c r="C1535" s="14">
        <v>3527.333333333333</v>
      </c>
      <c r="D1535" s="14">
        <v>640</v>
      </c>
      <c r="E1535" s="14">
        <v>5864</v>
      </c>
      <c r="F1535" s="14">
        <v>103.99999999999999</v>
      </c>
      <c r="G1535" s="14">
        <v>991.33333333333314</v>
      </c>
      <c r="H1535" s="14">
        <v>268</v>
      </c>
      <c r="I1535" s="14">
        <v>3180.6666666666665</v>
      </c>
    </row>
    <row r="1536" spans="1:11" ht="16.5" x14ac:dyDescent="0.2">
      <c r="A1536" s="4" t="s">
        <v>161</v>
      </c>
      <c r="B1536">
        <v>2013</v>
      </c>
      <c r="C1536" s="14">
        <v>3535.3333333333326</v>
      </c>
      <c r="D1536" s="14">
        <v>628.66666666666663</v>
      </c>
      <c r="E1536" s="14">
        <v>5864</v>
      </c>
      <c r="F1536" s="14">
        <v>102.66666666666666</v>
      </c>
      <c r="G1536" s="14">
        <v>1004.6666666666665</v>
      </c>
      <c r="H1536" s="14">
        <v>270.66666666666663</v>
      </c>
      <c r="I1536" s="14">
        <v>3170.6666666666665</v>
      </c>
      <c r="K1536" s="15"/>
    </row>
    <row r="1537" spans="1:11" ht="16.5" x14ac:dyDescent="0.2">
      <c r="A1537" s="4" t="s">
        <v>161</v>
      </c>
      <c r="B1537">
        <v>2014</v>
      </c>
      <c r="C1537" s="14">
        <v>3535.3333333333326</v>
      </c>
      <c r="D1537" s="14">
        <v>626</v>
      </c>
      <c r="E1537" s="14">
        <v>5854</v>
      </c>
      <c r="F1537" s="14">
        <v>102.66666666666666</v>
      </c>
      <c r="G1537" s="14">
        <v>1016</v>
      </c>
      <c r="H1537" s="14">
        <v>275.99999999999994</v>
      </c>
      <c r="I1537" s="14">
        <v>3165.9999999999995</v>
      </c>
    </row>
    <row r="1538" spans="1:11" ht="16.5" x14ac:dyDescent="0.2">
      <c r="A1538" s="4" t="s">
        <v>161</v>
      </c>
      <c r="B1538">
        <v>2015</v>
      </c>
      <c r="C1538" s="14">
        <v>3534</v>
      </c>
      <c r="D1538" s="14">
        <v>621.99999999999989</v>
      </c>
      <c r="E1538" s="14">
        <v>5853.333333333333</v>
      </c>
      <c r="F1538" s="14">
        <v>102</v>
      </c>
      <c r="G1538" s="14">
        <v>1023.3333333333333</v>
      </c>
      <c r="H1538" s="14">
        <v>276.66666666666663</v>
      </c>
      <c r="I1538" s="14">
        <v>3164</v>
      </c>
      <c r="K1538" s="15"/>
    </row>
    <row r="1539" spans="1:11" ht="16.5" x14ac:dyDescent="0.2">
      <c r="A1539" s="4" t="s">
        <v>161</v>
      </c>
      <c r="B1539">
        <v>2016</v>
      </c>
      <c r="C1539" s="14">
        <v>3531.3333333333335</v>
      </c>
      <c r="D1539" s="14">
        <v>612.66666666666663</v>
      </c>
      <c r="E1539" s="14">
        <v>5850.6666666666661</v>
      </c>
      <c r="F1539" s="14">
        <v>100.66666666666666</v>
      </c>
      <c r="G1539" s="14">
        <v>1034</v>
      </c>
      <c r="H1539" s="14">
        <v>285.33333333333331</v>
      </c>
      <c r="I1539" s="14">
        <v>3160.6666666666665</v>
      </c>
    </row>
    <row r="1540" spans="1:11" ht="16.5" x14ac:dyDescent="0.2">
      <c r="A1540" s="4" t="s">
        <v>160</v>
      </c>
      <c r="B1540">
        <v>2009</v>
      </c>
      <c r="C1540" s="14">
        <v>5009.333333333333</v>
      </c>
      <c r="D1540" s="14">
        <v>603.99999999999989</v>
      </c>
      <c r="E1540" s="14">
        <v>7260.6666666666652</v>
      </c>
      <c r="F1540" s="14">
        <v>308.66666666666663</v>
      </c>
      <c r="G1540" s="14">
        <v>1379.9999999999998</v>
      </c>
      <c r="H1540" s="14">
        <v>295.33333333333331</v>
      </c>
      <c r="I1540" s="14">
        <v>2809.333333333333</v>
      </c>
    </row>
    <row r="1541" spans="1:11" ht="16.5" x14ac:dyDescent="0.2">
      <c r="A1541" s="4" t="s">
        <v>160</v>
      </c>
      <c r="B1541">
        <v>2010</v>
      </c>
      <c r="C1541" s="14">
        <v>5018.6666666666661</v>
      </c>
      <c r="D1541" s="14">
        <v>599.33333333333337</v>
      </c>
      <c r="E1541" s="14">
        <v>7251.333333333333</v>
      </c>
      <c r="F1541" s="14">
        <v>305.99999999999994</v>
      </c>
      <c r="G1541" s="14">
        <v>1388.6666666666665</v>
      </c>
      <c r="H1541" s="14">
        <v>300</v>
      </c>
      <c r="I1541" s="14">
        <v>2804</v>
      </c>
      <c r="K1541" s="15"/>
    </row>
    <row r="1542" spans="1:11" ht="16.5" x14ac:dyDescent="0.2">
      <c r="A1542" s="4" t="s">
        <v>160</v>
      </c>
      <c r="B1542">
        <v>2011</v>
      </c>
      <c r="C1542" s="14">
        <v>5023.333333333333</v>
      </c>
      <c r="D1542" s="14">
        <v>596.66666666666663</v>
      </c>
      <c r="E1542" s="14">
        <v>7245.3333333333321</v>
      </c>
      <c r="F1542" s="14">
        <v>304.66666666666669</v>
      </c>
      <c r="G1542" s="14">
        <v>1399.333333333333</v>
      </c>
      <c r="H1542" s="14">
        <v>301.33333333333331</v>
      </c>
      <c r="I1542" s="14">
        <v>2797.333333333333</v>
      </c>
    </row>
    <row r="1543" spans="1:11" ht="16.5" x14ac:dyDescent="0.2">
      <c r="A1543" s="4" t="s">
        <v>160</v>
      </c>
      <c r="B1543">
        <v>2012</v>
      </c>
      <c r="C1543" s="14">
        <v>5041.9999999999991</v>
      </c>
      <c r="D1543" s="14">
        <v>593.99999999999989</v>
      </c>
      <c r="E1543" s="14">
        <v>7231.9999999999991</v>
      </c>
      <c r="F1543" s="14">
        <v>301.33333333333331</v>
      </c>
      <c r="G1543" s="14">
        <v>1408.6666666666665</v>
      </c>
      <c r="H1543" s="14">
        <v>302.66666666666663</v>
      </c>
      <c r="I1543" s="14">
        <v>2788.6666666666665</v>
      </c>
      <c r="K1543" s="15"/>
    </row>
    <row r="1544" spans="1:11" ht="16.5" x14ac:dyDescent="0.2">
      <c r="A1544" s="4" t="s">
        <v>160</v>
      </c>
      <c r="B1544">
        <v>2013</v>
      </c>
      <c r="C1544" s="14">
        <v>5040.6666666666661</v>
      </c>
      <c r="D1544" s="14">
        <v>590.66666666666663</v>
      </c>
      <c r="E1544" s="14">
        <v>7230.6666666666652</v>
      </c>
      <c r="F1544" s="14">
        <v>299.33333333333331</v>
      </c>
      <c r="G1544" s="14">
        <v>1420.6666666666665</v>
      </c>
      <c r="H1544" s="14">
        <v>304.66666666666669</v>
      </c>
      <c r="I1544" s="14">
        <v>2783.333333333333</v>
      </c>
    </row>
    <row r="1545" spans="1:11" ht="16.5" x14ac:dyDescent="0.2">
      <c r="A1545" s="4" t="s">
        <v>160</v>
      </c>
      <c r="B1545">
        <v>2014</v>
      </c>
      <c r="C1545" s="14">
        <v>5044</v>
      </c>
      <c r="D1545" s="14">
        <v>588.66666666666663</v>
      </c>
      <c r="E1545" s="14">
        <v>7224.6666666666661</v>
      </c>
      <c r="F1545" s="14">
        <v>297.33333333333331</v>
      </c>
      <c r="G1545" s="14">
        <v>1431.9999999999998</v>
      </c>
      <c r="H1545" s="14">
        <v>307.33333333333331</v>
      </c>
      <c r="I1545" s="14">
        <v>2776.6666666666665</v>
      </c>
    </row>
    <row r="1546" spans="1:11" ht="16.5" x14ac:dyDescent="0.2">
      <c r="A1546" s="4" t="s">
        <v>160</v>
      </c>
      <c r="B1546">
        <v>2015</v>
      </c>
      <c r="C1546" s="14">
        <v>5056.6666666666661</v>
      </c>
      <c r="D1546" s="14">
        <v>580</v>
      </c>
      <c r="E1546" s="14">
        <v>7221.333333333333</v>
      </c>
      <c r="F1546" s="14">
        <v>292.66666666666663</v>
      </c>
      <c r="G1546" s="14">
        <v>1439.333333333333</v>
      </c>
      <c r="H1546" s="14">
        <v>310</v>
      </c>
      <c r="I1546" s="14">
        <v>2770.6666666666665</v>
      </c>
      <c r="K1546" s="15"/>
    </row>
    <row r="1547" spans="1:11" ht="16.5" x14ac:dyDescent="0.2">
      <c r="A1547" s="4" t="s">
        <v>160</v>
      </c>
      <c r="B1547">
        <v>2016</v>
      </c>
      <c r="C1547" s="14">
        <v>5055.333333333333</v>
      </c>
      <c r="D1547" s="14">
        <v>568.66666666666663</v>
      </c>
      <c r="E1547" s="14">
        <v>7224.6666666666661</v>
      </c>
      <c r="F1547" s="14">
        <v>291.33333333333331</v>
      </c>
      <c r="G1547" s="14">
        <v>1449.3333333333333</v>
      </c>
      <c r="H1547" s="14">
        <v>314</v>
      </c>
      <c r="I1547" s="14">
        <v>2765.333333333333</v>
      </c>
    </row>
    <row r="1548" spans="1:11" ht="16.5" x14ac:dyDescent="0.2">
      <c r="A1548" s="4" t="s">
        <v>159</v>
      </c>
      <c r="B1548">
        <v>2009</v>
      </c>
      <c r="C1548" s="14">
        <v>1184.6666666666665</v>
      </c>
      <c r="D1548" s="14">
        <v>382.66666666666663</v>
      </c>
      <c r="E1548" s="14">
        <v>7068</v>
      </c>
      <c r="F1548" s="14">
        <v>122.66666666666664</v>
      </c>
      <c r="G1548" s="14">
        <v>258</v>
      </c>
      <c r="H1548" s="14">
        <v>80.666666666666657</v>
      </c>
      <c r="I1548" s="14">
        <v>249.33333333333331</v>
      </c>
      <c r="K1548" s="15"/>
    </row>
    <row r="1549" spans="1:11" ht="16.5" x14ac:dyDescent="0.2">
      <c r="A1549" s="4" t="s">
        <v>159</v>
      </c>
      <c r="B1549">
        <v>2010</v>
      </c>
      <c r="C1549" s="14">
        <v>1186.6666666666665</v>
      </c>
      <c r="D1549" s="14">
        <v>381.99999999999994</v>
      </c>
      <c r="E1549" s="14">
        <v>7064.6666666666661</v>
      </c>
      <c r="F1549" s="14">
        <v>120.66666666666667</v>
      </c>
      <c r="G1549" s="14">
        <v>262.66666666666663</v>
      </c>
      <c r="H1549" s="14">
        <v>81.333333333333314</v>
      </c>
      <c r="I1549" s="14">
        <v>249.33333333333331</v>
      </c>
    </row>
    <row r="1550" spans="1:11" ht="16.5" x14ac:dyDescent="0.2">
      <c r="A1550" s="4" t="s">
        <v>159</v>
      </c>
      <c r="B1550">
        <v>2011</v>
      </c>
      <c r="C1550" s="14">
        <v>1187.3333333333333</v>
      </c>
      <c r="D1550" s="14">
        <v>380.66666666666663</v>
      </c>
      <c r="E1550" s="14">
        <v>7062.666666666667</v>
      </c>
      <c r="F1550" s="14">
        <v>119.99999999999999</v>
      </c>
      <c r="G1550" s="14">
        <v>264.66666666666669</v>
      </c>
      <c r="H1550" s="14">
        <v>81.333333333333314</v>
      </c>
      <c r="I1550" s="14">
        <v>249.33333333333331</v>
      </c>
    </row>
    <row r="1551" spans="1:11" ht="16.5" x14ac:dyDescent="0.2">
      <c r="A1551" s="4" t="s">
        <v>159</v>
      </c>
      <c r="B1551">
        <v>2012</v>
      </c>
      <c r="C1551" s="14">
        <v>1193.3333333333333</v>
      </c>
      <c r="D1551" s="14">
        <v>379.33333333333331</v>
      </c>
      <c r="E1551" s="14">
        <v>7056.6666666666661</v>
      </c>
      <c r="F1551" s="14">
        <v>119.33333333333331</v>
      </c>
      <c r="G1551" s="14">
        <v>267.33333333333326</v>
      </c>
      <c r="H1551" s="14">
        <v>81.333333333333314</v>
      </c>
      <c r="I1551" s="14">
        <v>249.33333333333331</v>
      </c>
      <c r="K1551" s="15"/>
    </row>
    <row r="1552" spans="1:11" ht="16.5" x14ac:dyDescent="0.2">
      <c r="A1552" s="4" t="s">
        <v>159</v>
      </c>
      <c r="B1552">
        <v>2013</v>
      </c>
      <c r="C1552" s="14">
        <v>1198.6666666666667</v>
      </c>
      <c r="D1552" s="14">
        <v>377.33333333333331</v>
      </c>
      <c r="E1552" s="14">
        <v>7053.333333333333</v>
      </c>
      <c r="F1552" s="14">
        <v>115.33333333333333</v>
      </c>
      <c r="G1552" s="14">
        <v>269.99999999999994</v>
      </c>
      <c r="H1552" s="14">
        <v>82</v>
      </c>
      <c r="I1552" s="14">
        <v>249.33333333333331</v>
      </c>
    </row>
    <row r="1553" spans="1:11" ht="16.5" x14ac:dyDescent="0.2">
      <c r="A1553" s="4" t="s">
        <v>159</v>
      </c>
      <c r="B1553">
        <v>2014</v>
      </c>
      <c r="C1553" s="14">
        <v>1197.3333333333333</v>
      </c>
      <c r="D1553" s="14">
        <v>375.33333333333326</v>
      </c>
      <c r="E1553" s="14">
        <v>7053.333333333333</v>
      </c>
      <c r="F1553" s="14">
        <v>115.33333333333333</v>
      </c>
      <c r="G1553" s="14">
        <v>273.99999999999994</v>
      </c>
      <c r="H1553" s="14">
        <v>82.666666666666657</v>
      </c>
      <c r="I1553" s="14">
        <v>249.33333333333331</v>
      </c>
      <c r="K1553" s="15"/>
    </row>
    <row r="1554" spans="1:11" ht="16.5" x14ac:dyDescent="0.2">
      <c r="A1554" s="4" t="s">
        <v>159</v>
      </c>
      <c r="B1554">
        <v>2015</v>
      </c>
      <c r="C1554" s="14">
        <v>1198.6666666666667</v>
      </c>
      <c r="D1554" s="14">
        <v>373.33333333333331</v>
      </c>
      <c r="E1554" s="14">
        <v>7049.9999999999991</v>
      </c>
      <c r="F1554" s="14">
        <v>114.66666666666666</v>
      </c>
      <c r="G1554" s="14">
        <v>276.66666666666663</v>
      </c>
      <c r="H1554" s="14">
        <v>83.999999999999986</v>
      </c>
      <c r="I1554" s="14">
        <v>249.33333333333331</v>
      </c>
    </row>
    <row r="1555" spans="1:11" ht="16.5" x14ac:dyDescent="0.2">
      <c r="A1555" s="4" t="s">
        <v>159</v>
      </c>
      <c r="B1555">
        <v>2016</v>
      </c>
      <c r="C1555" s="14">
        <v>1194.6666666666665</v>
      </c>
      <c r="D1555" s="14">
        <v>371.33333333333331</v>
      </c>
      <c r="E1555" s="14">
        <v>7053.333333333333</v>
      </c>
      <c r="F1555" s="14">
        <v>114.66666666666666</v>
      </c>
      <c r="G1555" s="14">
        <v>279.33333333333331</v>
      </c>
      <c r="H1555" s="14">
        <v>84.666666666666657</v>
      </c>
      <c r="I1555" s="14">
        <v>249.33333333333331</v>
      </c>
    </row>
    <row r="1556" spans="1:11" ht="16.5" x14ac:dyDescent="0.2">
      <c r="A1556" s="4" t="s">
        <v>158</v>
      </c>
      <c r="B1556">
        <v>2009</v>
      </c>
      <c r="C1556" s="14">
        <v>2989.333333333333</v>
      </c>
      <c r="D1556" s="14">
        <v>338.66666666666663</v>
      </c>
      <c r="E1556" s="14">
        <v>5802.6666666666661</v>
      </c>
      <c r="F1556" s="14">
        <v>55.333333333333336</v>
      </c>
      <c r="G1556" s="14">
        <v>669.99999999999989</v>
      </c>
      <c r="H1556" s="14">
        <v>170.66666666666666</v>
      </c>
      <c r="I1556" s="14">
        <v>2139.333333333333</v>
      </c>
      <c r="K1556" s="15"/>
    </row>
    <row r="1557" spans="1:11" ht="16.5" x14ac:dyDescent="0.2">
      <c r="A1557" s="4" t="s">
        <v>158</v>
      </c>
      <c r="B1557">
        <v>2010</v>
      </c>
      <c r="C1557" s="14">
        <v>2987.333333333333</v>
      </c>
      <c r="D1557" s="14">
        <v>338.66666666666663</v>
      </c>
      <c r="E1557" s="14">
        <v>5798.6666666666661</v>
      </c>
      <c r="F1557" s="14">
        <v>54.666666666666657</v>
      </c>
      <c r="G1557" s="14">
        <v>679.99999999999989</v>
      </c>
      <c r="H1557" s="14">
        <v>170.66666666666666</v>
      </c>
      <c r="I1557" s="14">
        <v>2137.3333333333335</v>
      </c>
    </row>
    <row r="1558" spans="1:11" ht="16.5" x14ac:dyDescent="0.2">
      <c r="A1558" s="4" t="s">
        <v>158</v>
      </c>
      <c r="B1558">
        <v>2011</v>
      </c>
      <c r="C1558" s="14">
        <v>2985.333333333333</v>
      </c>
      <c r="D1558" s="14">
        <v>337.33333333333331</v>
      </c>
      <c r="E1558" s="14">
        <v>5794.6666666666661</v>
      </c>
      <c r="F1558" s="14">
        <v>54.666666666666657</v>
      </c>
      <c r="G1558" s="14">
        <v>685.33333333333326</v>
      </c>
      <c r="H1558" s="14">
        <v>174</v>
      </c>
      <c r="I1558" s="14">
        <v>2135.9999999999995</v>
      </c>
      <c r="K1558" s="15"/>
    </row>
    <row r="1559" spans="1:11" ht="16.5" x14ac:dyDescent="0.2">
      <c r="A1559" s="4" t="s">
        <v>158</v>
      </c>
      <c r="B1559">
        <v>2012</v>
      </c>
      <c r="C1559" s="14">
        <v>2987.333333333333</v>
      </c>
      <c r="D1559" s="14">
        <v>335.33333333333326</v>
      </c>
      <c r="E1559" s="14">
        <v>5790.6666666666661</v>
      </c>
      <c r="F1559" s="14">
        <v>53.999999999999993</v>
      </c>
      <c r="G1559" s="14">
        <v>691.33333333333314</v>
      </c>
      <c r="H1559" s="14">
        <v>175.33333333333331</v>
      </c>
      <c r="I1559" s="14">
        <v>2133.333333333333</v>
      </c>
    </row>
    <row r="1560" spans="1:11" ht="16.5" x14ac:dyDescent="0.2">
      <c r="A1560" s="4" t="s">
        <v>158</v>
      </c>
      <c r="B1560">
        <v>2013</v>
      </c>
      <c r="C1560" s="14">
        <v>2986.6666666666665</v>
      </c>
      <c r="D1560" s="14">
        <v>334</v>
      </c>
      <c r="E1560" s="14">
        <v>5785.9999999999991</v>
      </c>
      <c r="F1560" s="14">
        <v>53.999999999999993</v>
      </c>
      <c r="G1560" s="14">
        <v>699.33333333333326</v>
      </c>
      <c r="H1560" s="14">
        <v>176.66666666666666</v>
      </c>
      <c r="I1560" s="14">
        <v>2130.6666666666665</v>
      </c>
    </row>
    <row r="1561" spans="1:11" ht="16.5" x14ac:dyDescent="0.2">
      <c r="A1561" s="4" t="s">
        <v>158</v>
      </c>
      <c r="B1561">
        <v>2014</v>
      </c>
      <c r="C1561" s="14">
        <v>2988.6666666666665</v>
      </c>
      <c r="D1561" s="14">
        <v>333.33333333333331</v>
      </c>
      <c r="E1561" s="14">
        <v>5777.333333333333</v>
      </c>
      <c r="F1561" s="14">
        <v>53.333333333333329</v>
      </c>
      <c r="G1561" s="14">
        <v>708</v>
      </c>
      <c r="H1561" s="14">
        <v>178.66666666666666</v>
      </c>
      <c r="I1561" s="14">
        <v>2127.9999999999995</v>
      </c>
      <c r="K1561" s="15"/>
    </row>
    <row r="1562" spans="1:11" ht="16.5" x14ac:dyDescent="0.2">
      <c r="A1562" s="4" t="s">
        <v>158</v>
      </c>
      <c r="B1562">
        <v>2015</v>
      </c>
      <c r="C1562" s="14">
        <v>2991.333333333333</v>
      </c>
      <c r="D1562" s="14">
        <v>329.33333333333331</v>
      </c>
      <c r="E1562" s="14">
        <v>5769.9999999999991</v>
      </c>
      <c r="F1562" s="14">
        <v>53.333333333333329</v>
      </c>
      <c r="G1562" s="14">
        <v>714.66666666666652</v>
      </c>
      <c r="H1562" s="14">
        <v>184</v>
      </c>
      <c r="I1562" s="14">
        <v>2124.6666666666665</v>
      </c>
    </row>
    <row r="1563" spans="1:11" ht="16.5" x14ac:dyDescent="0.2">
      <c r="A1563" s="4" t="s">
        <v>158</v>
      </c>
      <c r="B1563">
        <v>2016</v>
      </c>
      <c r="C1563" s="14">
        <v>2994.6666666666665</v>
      </c>
      <c r="D1563" s="14">
        <v>324</v>
      </c>
      <c r="E1563" s="14">
        <v>5763.333333333333</v>
      </c>
      <c r="F1563" s="14">
        <v>52.666666666666664</v>
      </c>
      <c r="G1563" s="14">
        <v>719.99999999999989</v>
      </c>
      <c r="H1563" s="14">
        <v>189.99999999999997</v>
      </c>
      <c r="I1563" s="14">
        <v>2122</v>
      </c>
      <c r="K1563" s="15"/>
    </row>
    <row r="1564" spans="1:11" ht="16.5" x14ac:dyDescent="0.2">
      <c r="A1564" s="4" t="s">
        <v>157</v>
      </c>
      <c r="B1564">
        <v>2009</v>
      </c>
      <c r="C1564" s="14">
        <v>2976.6666666666665</v>
      </c>
      <c r="D1564" s="14">
        <v>434.66666666666663</v>
      </c>
      <c r="E1564" s="14">
        <v>13158.666666666666</v>
      </c>
      <c r="F1564" s="14">
        <v>621.33333333333326</v>
      </c>
      <c r="G1564" s="14">
        <v>756.66666666666663</v>
      </c>
      <c r="H1564" s="14">
        <v>215.33333333333329</v>
      </c>
      <c r="I1564" s="14">
        <v>657.33333333333326</v>
      </c>
    </row>
    <row r="1565" spans="1:11" ht="16.5" x14ac:dyDescent="0.2">
      <c r="A1565" s="4" t="s">
        <v>157</v>
      </c>
      <c r="B1565">
        <v>2010</v>
      </c>
      <c r="C1565" s="14">
        <v>2983.333333333333</v>
      </c>
      <c r="D1565" s="14">
        <v>434.66666666666663</v>
      </c>
      <c r="E1565" s="14">
        <v>13143.333333333332</v>
      </c>
      <c r="F1565" s="14">
        <v>616</v>
      </c>
      <c r="G1565" s="14">
        <v>767.33333333333326</v>
      </c>
      <c r="H1565" s="14">
        <v>219.33333333333331</v>
      </c>
      <c r="I1565" s="14">
        <v>656.66666666666663</v>
      </c>
    </row>
    <row r="1566" spans="1:11" ht="16.5" x14ac:dyDescent="0.2">
      <c r="A1566" s="4" t="s">
        <v>157</v>
      </c>
      <c r="B1566">
        <v>2011</v>
      </c>
      <c r="C1566" s="14">
        <v>2982.6666666666661</v>
      </c>
      <c r="D1566" s="14">
        <v>432.66666666666669</v>
      </c>
      <c r="E1566" s="14">
        <v>13130.666666666664</v>
      </c>
      <c r="F1566" s="14">
        <v>613.99999999999989</v>
      </c>
      <c r="G1566" s="14">
        <v>779.99999999999989</v>
      </c>
      <c r="H1566" s="14">
        <v>224</v>
      </c>
      <c r="I1566" s="14">
        <v>656</v>
      </c>
      <c r="K1566" s="15"/>
    </row>
    <row r="1567" spans="1:11" ht="16.5" x14ac:dyDescent="0.2">
      <c r="A1567" s="4" t="s">
        <v>157</v>
      </c>
      <c r="B1567">
        <v>2012</v>
      </c>
      <c r="C1567" s="14">
        <v>2991.333333333333</v>
      </c>
      <c r="D1567" s="14">
        <v>429.99999999999994</v>
      </c>
      <c r="E1567" s="14">
        <v>13116</v>
      </c>
      <c r="F1567" s="14">
        <v>609.33333333333337</v>
      </c>
      <c r="G1567" s="14">
        <v>789.33333333333326</v>
      </c>
      <c r="H1567" s="14">
        <v>228</v>
      </c>
      <c r="I1567" s="14">
        <v>655.33333333333326</v>
      </c>
    </row>
    <row r="1568" spans="1:11" ht="16.5" x14ac:dyDescent="0.2">
      <c r="A1568" s="4" t="s">
        <v>157</v>
      </c>
      <c r="B1568">
        <v>2013</v>
      </c>
      <c r="C1568" s="14">
        <v>2992.6666666666661</v>
      </c>
      <c r="D1568" s="14">
        <v>421.99999999999994</v>
      </c>
      <c r="E1568" s="14">
        <v>13108.666666666666</v>
      </c>
      <c r="F1568" s="14">
        <v>607.33333333333326</v>
      </c>
      <c r="G1568" s="14">
        <v>799.99999999999989</v>
      </c>
      <c r="H1568" s="14">
        <v>233.33333333333331</v>
      </c>
      <c r="I1568" s="14">
        <v>653.99999999999989</v>
      </c>
      <c r="K1568" s="15"/>
    </row>
    <row r="1569" spans="1:11" ht="16.5" x14ac:dyDescent="0.2">
      <c r="A1569" s="4" t="s">
        <v>157</v>
      </c>
      <c r="B1569">
        <v>2014</v>
      </c>
      <c r="C1569" s="14">
        <v>2989.9999999999995</v>
      </c>
      <c r="D1569" s="14">
        <v>419.99999999999994</v>
      </c>
      <c r="E1569" s="14">
        <v>13095.333333333332</v>
      </c>
      <c r="F1569" s="14">
        <v>605.33333333333326</v>
      </c>
      <c r="G1569" s="14">
        <v>815.33333333333314</v>
      </c>
      <c r="H1569" s="14">
        <v>238</v>
      </c>
      <c r="I1569" s="14">
        <v>653.99999999999989</v>
      </c>
    </row>
    <row r="1570" spans="1:11" ht="16.5" x14ac:dyDescent="0.2">
      <c r="A1570" s="4" t="s">
        <v>157</v>
      </c>
      <c r="B1570">
        <v>2015</v>
      </c>
      <c r="C1570" s="14">
        <v>2992.6666666666661</v>
      </c>
      <c r="D1570" s="14">
        <v>417.33333333333331</v>
      </c>
      <c r="E1570" s="14">
        <v>13084.666666666666</v>
      </c>
      <c r="F1570" s="14">
        <v>603.33333333333326</v>
      </c>
      <c r="G1570" s="14">
        <v>826.66666666666663</v>
      </c>
      <c r="H1570" s="14">
        <v>239.33333333333331</v>
      </c>
      <c r="I1570" s="14">
        <v>653.33333333333326</v>
      </c>
    </row>
    <row r="1571" spans="1:11" ht="16.5" x14ac:dyDescent="0.2">
      <c r="A1571" s="4" t="s">
        <v>157</v>
      </c>
      <c r="B1571">
        <v>2016</v>
      </c>
      <c r="C1571" s="14">
        <v>2989.9999999999995</v>
      </c>
      <c r="D1571" s="14">
        <v>414</v>
      </c>
      <c r="E1571" s="14">
        <v>13080.666666666664</v>
      </c>
      <c r="F1571" s="14">
        <v>601.99999999999989</v>
      </c>
      <c r="G1571" s="14">
        <v>835.33333333333326</v>
      </c>
      <c r="H1571" s="14">
        <v>241.99999999999997</v>
      </c>
      <c r="I1571" s="14">
        <v>652.66666666666663</v>
      </c>
      <c r="K1571" s="15"/>
    </row>
    <row r="1572" spans="1:11" ht="16.5" x14ac:dyDescent="0.2">
      <c r="A1572" s="4" t="s">
        <v>156</v>
      </c>
      <c r="B1572">
        <v>2009</v>
      </c>
      <c r="C1572" s="14">
        <v>3588.6666666666661</v>
      </c>
      <c r="D1572" s="14">
        <v>724.66666666666663</v>
      </c>
      <c r="E1572" s="14">
        <v>14236</v>
      </c>
      <c r="F1572" s="14">
        <v>819.99999999999989</v>
      </c>
      <c r="G1572" s="14">
        <v>1020.6666666666665</v>
      </c>
      <c r="H1572" s="14">
        <v>253.33333333333331</v>
      </c>
      <c r="I1572" s="14">
        <v>961.33333333333314</v>
      </c>
    </row>
    <row r="1573" spans="1:11" ht="16.5" x14ac:dyDescent="0.2">
      <c r="A1573" s="4" t="s">
        <v>156</v>
      </c>
      <c r="B1573">
        <v>2010</v>
      </c>
      <c r="C1573" s="14">
        <v>3598</v>
      </c>
      <c r="D1573" s="14">
        <v>718.66666666666663</v>
      </c>
      <c r="E1573" s="14">
        <v>14223.333333333332</v>
      </c>
      <c r="F1573" s="14">
        <v>816</v>
      </c>
      <c r="G1573" s="14">
        <v>1032.6666666666665</v>
      </c>
      <c r="H1573" s="14">
        <v>253.33333333333331</v>
      </c>
      <c r="I1573" s="14">
        <v>960.66666666666652</v>
      </c>
      <c r="K1573" s="15"/>
    </row>
    <row r="1574" spans="1:11" ht="16.5" x14ac:dyDescent="0.2">
      <c r="A1574" s="4" t="s">
        <v>156</v>
      </c>
      <c r="B1574">
        <v>2011</v>
      </c>
      <c r="C1574" s="14">
        <v>3602.6666666666661</v>
      </c>
      <c r="D1574" s="14">
        <v>716.66666666666663</v>
      </c>
      <c r="E1574" s="14">
        <v>14213.333333333332</v>
      </c>
      <c r="F1574" s="14">
        <v>812.66666666666663</v>
      </c>
      <c r="G1574" s="14">
        <v>1040.6666666666667</v>
      </c>
      <c r="H1574" s="14">
        <v>256.66666666666663</v>
      </c>
      <c r="I1574" s="14">
        <v>959.99999999999989</v>
      </c>
    </row>
    <row r="1575" spans="1:11" ht="16.5" x14ac:dyDescent="0.2">
      <c r="A1575" s="4" t="s">
        <v>156</v>
      </c>
      <c r="B1575">
        <v>2012</v>
      </c>
      <c r="C1575" s="14">
        <v>3617.333333333333</v>
      </c>
      <c r="D1575" s="14">
        <v>714.66666666666663</v>
      </c>
      <c r="E1575" s="14">
        <v>14196</v>
      </c>
      <c r="F1575" s="14">
        <v>809.99999999999989</v>
      </c>
      <c r="G1575" s="14">
        <v>1047.3333333333333</v>
      </c>
      <c r="H1575" s="14">
        <v>258</v>
      </c>
      <c r="I1575" s="14">
        <v>959.33333333333326</v>
      </c>
    </row>
    <row r="1576" spans="1:11" ht="16.5" x14ac:dyDescent="0.2">
      <c r="A1576" s="4" t="s">
        <v>156</v>
      </c>
      <c r="B1576">
        <v>2013</v>
      </c>
      <c r="C1576" s="14">
        <v>3625.9999999999995</v>
      </c>
      <c r="D1576" s="14">
        <v>711.99999999999989</v>
      </c>
      <c r="E1576" s="14">
        <v>14179.333333333332</v>
      </c>
      <c r="F1576" s="14">
        <v>805.33333333333326</v>
      </c>
      <c r="G1576" s="14">
        <v>1060</v>
      </c>
      <c r="H1576" s="14">
        <v>260</v>
      </c>
      <c r="I1576" s="14">
        <v>958.66666666666663</v>
      </c>
      <c r="K1576" s="15"/>
    </row>
    <row r="1577" spans="1:11" ht="16.5" x14ac:dyDescent="0.2">
      <c r="A1577" s="4" t="s">
        <v>156</v>
      </c>
      <c r="B1577">
        <v>2014</v>
      </c>
      <c r="C1577" s="14">
        <v>3631.3333333333335</v>
      </c>
      <c r="D1577" s="14">
        <v>708.66666666666663</v>
      </c>
      <c r="E1577" s="14">
        <v>14167.333333333332</v>
      </c>
      <c r="F1577" s="14">
        <v>799.33333333333326</v>
      </c>
      <c r="G1577" s="14">
        <v>1072.6666666666665</v>
      </c>
      <c r="H1577" s="14">
        <v>261.99999999999994</v>
      </c>
      <c r="I1577" s="14">
        <v>957.33333333333326</v>
      </c>
    </row>
    <row r="1578" spans="1:11" ht="16.5" x14ac:dyDescent="0.2">
      <c r="A1578" s="4" t="s">
        <v>156</v>
      </c>
      <c r="B1578">
        <v>2015</v>
      </c>
      <c r="C1578" s="14">
        <v>3628.6666666666661</v>
      </c>
      <c r="D1578" s="14">
        <v>705.33333333333326</v>
      </c>
      <c r="E1578" s="14">
        <v>14163.333333333332</v>
      </c>
      <c r="F1578" s="14">
        <v>797.33333333333326</v>
      </c>
      <c r="G1578" s="14">
        <v>1085.3333333333333</v>
      </c>
      <c r="H1578" s="14">
        <v>262.66666666666663</v>
      </c>
      <c r="I1578" s="14">
        <v>956.66666666666663</v>
      </c>
      <c r="K1578" s="15"/>
    </row>
    <row r="1579" spans="1:11" ht="16.5" x14ac:dyDescent="0.2">
      <c r="A1579" s="4" t="s">
        <v>156</v>
      </c>
      <c r="B1579">
        <v>2016</v>
      </c>
      <c r="C1579" s="14">
        <v>3625.9999999999995</v>
      </c>
      <c r="D1579" s="14">
        <v>690.66666666666652</v>
      </c>
      <c r="E1579" s="14">
        <v>14168.666666666666</v>
      </c>
      <c r="F1579" s="14">
        <v>795.33333333333326</v>
      </c>
      <c r="G1579" s="14">
        <v>1097.3333333333335</v>
      </c>
      <c r="H1579" s="14">
        <v>265.33333333333331</v>
      </c>
      <c r="I1579" s="14">
        <v>954.66666666666652</v>
      </c>
    </row>
    <row r="1580" spans="1:11" ht="16.5" x14ac:dyDescent="0.2">
      <c r="A1580" s="4" t="s">
        <v>155</v>
      </c>
      <c r="B1580">
        <v>2009</v>
      </c>
      <c r="C1580" s="14">
        <v>3408.6666666666665</v>
      </c>
      <c r="D1580" s="14">
        <v>1340.6666666666665</v>
      </c>
      <c r="E1580" s="14">
        <v>20008.666666666668</v>
      </c>
      <c r="F1580" s="14">
        <v>372.66666666666663</v>
      </c>
      <c r="G1580" s="14">
        <v>729.99999999999989</v>
      </c>
      <c r="H1580" s="14">
        <v>233.33333333333331</v>
      </c>
      <c r="I1580" s="14">
        <v>906</v>
      </c>
    </row>
    <row r="1581" spans="1:11" ht="16.5" x14ac:dyDescent="0.2">
      <c r="A1581" s="4" t="s">
        <v>155</v>
      </c>
      <c r="B1581">
        <v>2010</v>
      </c>
      <c r="C1581" s="14">
        <v>3404</v>
      </c>
      <c r="D1581" s="14">
        <v>1335.3333333333333</v>
      </c>
      <c r="E1581" s="14">
        <v>19989.333333333332</v>
      </c>
      <c r="F1581" s="14">
        <v>369.99999999999994</v>
      </c>
      <c r="G1581" s="14">
        <v>738.66666666666663</v>
      </c>
      <c r="H1581" s="14">
        <v>254.66666666666666</v>
      </c>
      <c r="I1581" s="14">
        <v>909.99999999999989</v>
      </c>
      <c r="K1581" s="15"/>
    </row>
    <row r="1582" spans="1:11" ht="16.5" x14ac:dyDescent="0.2">
      <c r="A1582" s="4" t="s">
        <v>155</v>
      </c>
      <c r="B1582">
        <v>2011</v>
      </c>
      <c r="C1582" s="14">
        <v>3406.6666666666665</v>
      </c>
      <c r="D1582" s="14">
        <v>1332.6666666666665</v>
      </c>
      <c r="E1582" s="14">
        <v>19978.666666666668</v>
      </c>
      <c r="F1582" s="14">
        <v>369.33333333333331</v>
      </c>
      <c r="G1582" s="14">
        <v>747.99999999999989</v>
      </c>
      <c r="H1582" s="14">
        <v>258.66666666666663</v>
      </c>
      <c r="I1582" s="14">
        <v>909.33333333333326</v>
      </c>
    </row>
    <row r="1583" spans="1:11" ht="16.5" x14ac:dyDescent="0.2">
      <c r="A1583" s="4" t="s">
        <v>155</v>
      </c>
      <c r="B1583">
        <v>2012</v>
      </c>
      <c r="C1583" s="14">
        <v>3418</v>
      </c>
      <c r="D1583" s="14">
        <v>1329.9999999999998</v>
      </c>
      <c r="E1583" s="14">
        <v>19962.666666666664</v>
      </c>
      <c r="F1583" s="14">
        <v>367.33333333333331</v>
      </c>
      <c r="G1583" s="14">
        <v>758</v>
      </c>
      <c r="H1583" s="14">
        <v>259.33333333333331</v>
      </c>
      <c r="I1583" s="14">
        <v>908.66666666666663</v>
      </c>
      <c r="K1583" s="15"/>
    </row>
    <row r="1584" spans="1:11" ht="16.5" x14ac:dyDescent="0.2">
      <c r="A1584" s="4" t="s">
        <v>155</v>
      </c>
      <c r="B1584">
        <v>2013</v>
      </c>
      <c r="C1584" s="14">
        <v>3422.6666666666661</v>
      </c>
      <c r="D1584" s="14">
        <v>1325.3333333333333</v>
      </c>
      <c r="E1584" s="14">
        <v>19949.333333333332</v>
      </c>
      <c r="F1584" s="14">
        <v>366.66666666666663</v>
      </c>
      <c r="G1584" s="14">
        <v>768.66666666666663</v>
      </c>
      <c r="H1584" s="14">
        <v>262.66666666666663</v>
      </c>
      <c r="I1584" s="14">
        <v>909.33333333333326</v>
      </c>
    </row>
    <row r="1585" spans="1:11" ht="16.5" x14ac:dyDescent="0.2">
      <c r="A1585" s="4" t="s">
        <v>155</v>
      </c>
      <c r="B1585">
        <v>2014</v>
      </c>
      <c r="C1585" s="14">
        <v>3425.9999999999995</v>
      </c>
      <c r="D1585" s="14">
        <v>1320.6666666666665</v>
      </c>
      <c r="E1585" s="14">
        <v>19937.999999999996</v>
      </c>
      <c r="F1585" s="14">
        <v>365.99999999999994</v>
      </c>
      <c r="G1585" s="14">
        <v>778</v>
      </c>
      <c r="H1585" s="14">
        <v>264.66666666666669</v>
      </c>
      <c r="I1585" s="14">
        <v>908.66666666666663</v>
      </c>
    </row>
    <row r="1586" spans="1:11" ht="16.5" x14ac:dyDescent="0.2">
      <c r="A1586" s="4" t="s">
        <v>155</v>
      </c>
      <c r="B1586">
        <v>2015</v>
      </c>
      <c r="C1586" s="14">
        <v>3430.6666666666665</v>
      </c>
      <c r="D1586" s="14">
        <v>1319.3333333333333</v>
      </c>
      <c r="E1586" s="14">
        <v>19924.666666666664</v>
      </c>
      <c r="F1586" s="14">
        <v>365.33333333333326</v>
      </c>
      <c r="G1586" s="14">
        <v>788</v>
      </c>
      <c r="H1586" s="14">
        <v>265.99999999999994</v>
      </c>
      <c r="I1586" s="14">
        <v>908.66666666666663</v>
      </c>
      <c r="K1586" s="15"/>
    </row>
    <row r="1587" spans="1:11" ht="16.5" x14ac:dyDescent="0.2">
      <c r="A1587" s="4" t="s">
        <v>155</v>
      </c>
      <c r="B1587">
        <v>2016</v>
      </c>
      <c r="C1587" s="14">
        <v>3428.6666666666661</v>
      </c>
      <c r="D1587" s="14">
        <v>1317.9999999999998</v>
      </c>
      <c r="E1587" s="14">
        <v>19921.333333333332</v>
      </c>
      <c r="F1587" s="14">
        <v>364.66666666666663</v>
      </c>
      <c r="G1587" s="14">
        <v>795.33333333333337</v>
      </c>
      <c r="H1587" s="14">
        <v>267.33333333333331</v>
      </c>
      <c r="I1587" s="14">
        <v>907.99999999999989</v>
      </c>
    </row>
    <row r="1588" spans="1:11" ht="16.5" x14ac:dyDescent="0.2">
      <c r="A1588" s="4" t="s">
        <v>154</v>
      </c>
      <c r="B1588">
        <v>2009</v>
      </c>
      <c r="C1588" s="14">
        <v>1918.6666666666665</v>
      </c>
      <c r="D1588" s="14">
        <v>348</v>
      </c>
      <c r="E1588" s="14">
        <v>3836.6666666666665</v>
      </c>
      <c r="F1588" s="14">
        <v>325.33333333333326</v>
      </c>
      <c r="G1588" s="14">
        <v>753.33333333333326</v>
      </c>
      <c r="H1588" s="14">
        <v>127.99999999999999</v>
      </c>
      <c r="I1588" s="14">
        <v>402.66666666666663</v>
      </c>
      <c r="K1588" s="15"/>
    </row>
    <row r="1589" spans="1:11" ht="16.5" x14ac:dyDescent="0.2">
      <c r="A1589" s="4" t="s">
        <v>154</v>
      </c>
      <c r="B1589">
        <v>2010</v>
      </c>
      <c r="C1589" s="14">
        <v>1919.9999999999998</v>
      </c>
      <c r="D1589" s="14">
        <v>345.99999999999994</v>
      </c>
      <c r="E1589" s="14">
        <v>3829.333333333333</v>
      </c>
      <c r="F1589" s="14">
        <v>324.66666666666663</v>
      </c>
      <c r="G1589" s="14">
        <v>758.66666666666663</v>
      </c>
      <c r="H1589" s="14">
        <v>132</v>
      </c>
      <c r="I1589" s="14">
        <v>401.99999999999994</v>
      </c>
    </row>
    <row r="1590" spans="1:11" ht="16.5" x14ac:dyDescent="0.2">
      <c r="A1590" s="4" t="s">
        <v>154</v>
      </c>
      <c r="B1590">
        <v>2011</v>
      </c>
      <c r="C1590" s="14">
        <v>1921.333333333333</v>
      </c>
      <c r="D1590" s="14">
        <v>345.33333333333326</v>
      </c>
      <c r="E1590" s="14">
        <v>3824</v>
      </c>
      <c r="F1590" s="14">
        <v>319.33333333333331</v>
      </c>
      <c r="G1590" s="14">
        <v>765.33333333333326</v>
      </c>
      <c r="H1590" s="14">
        <v>137.33333333333334</v>
      </c>
      <c r="I1590" s="14">
        <v>401.33333333333331</v>
      </c>
    </row>
    <row r="1591" spans="1:11" ht="16.5" x14ac:dyDescent="0.2">
      <c r="A1591" s="4" t="s">
        <v>154</v>
      </c>
      <c r="B1591">
        <v>2012</v>
      </c>
      <c r="C1591" s="14">
        <v>1925.3333333333333</v>
      </c>
      <c r="D1591" s="14">
        <v>345.33333333333326</v>
      </c>
      <c r="E1591" s="14">
        <v>3816.6666666666665</v>
      </c>
      <c r="F1591" s="14">
        <v>316.66666666666663</v>
      </c>
      <c r="G1591" s="14">
        <v>773.33333333333314</v>
      </c>
      <c r="H1591" s="14">
        <v>137.99999999999997</v>
      </c>
      <c r="I1591" s="14">
        <v>400.66666666666663</v>
      </c>
      <c r="K1591" s="15"/>
    </row>
    <row r="1592" spans="1:11" ht="16.5" x14ac:dyDescent="0.2">
      <c r="A1592" s="4" t="s">
        <v>154</v>
      </c>
      <c r="B1592">
        <v>2013</v>
      </c>
      <c r="C1592" s="14">
        <v>1927.3333333333333</v>
      </c>
      <c r="D1592" s="14">
        <v>342.66666666666663</v>
      </c>
      <c r="E1592" s="14">
        <v>3809.9999999999995</v>
      </c>
      <c r="F1592" s="14">
        <v>314.66666666666669</v>
      </c>
      <c r="G1592" s="14">
        <v>781.99999999999989</v>
      </c>
      <c r="H1592" s="14">
        <v>140</v>
      </c>
      <c r="I1592" s="14">
        <v>399.99999999999994</v>
      </c>
    </row>
    <row r="1593" spans="1:11" ht="16.5" x14ac:dyDescent="0.2">
      <c r="A1593" s="4" t="s">
        <v>154</v>
      </c>
      <c r="B1593">
        <v>2014</v>
      </c>
      <c r="C1593" s="14">
        <v>1925.9999999999998</v>
      </c>
      <c r="D1593" s="14">
        <v>341.99999999999994</v>
      </c>
      <c r="E1593" s="14">
        <v>3805.3333333333326</v>
      </c>
      <c r="F1593" s="14">
        <v>313.33333333333331</v>
      </c>
      <c r="G1593" s="14">
        <v>788</v>
      </c>
      <c r="H1593" s="14">
        <v>142.66666666666666</v>
      </c>
      <c r="I1593" s="14">
        <v>399.33333333333331</v>
      </c>
      <c r="K1593" s="15"/>
    </row>
    <row r="1594" spans="1:11" ht="16.5" x14ac:dyDescent="0.2">
      <c r="A1594" s="4" t="s">
        <v>154</v>
      </c>
      <c r="B1594">
        <v>2015</v>
      </c>
      <c r="C1594" s="14">
        <v>1925.3333333333333</v>
      </c>
      <c r="D1594" s="14">
        <v>341.33333333333331</v>
      </c>
      <c r="E1594" s="14">
        <v>3802.6666666666661</v>
      </c>
      <c r="F1594" s="14">
        <v>311.99999999999994</v>
      </c>
      <c r="G1594" s="14">
        <v>792.66666666666652</v>
      </c>
      <c r="H1594" s="14">
        <v>144</v>
      </c>
      <c r="I1594" s="14">
        <v>398.66666666666663</v>
      </c>
    </row>
    <row r="1595" spans="1:11" ht="16.5" x14ac:dyDescent="0.2">
      <c r="A1595" s="4" t="s">
        <v>154</v>
      </c>
      <c r="B1595">
        <v>2016</v>
      </c>
      <c r="C1595" s="14">
        <v>1925.3333333333333</v>
      </c>
      <c r="D1595" s="14">
        <v>336.66666666666663</v>
      </c>
      <c r="E1595" s="14">
        <v>3803.333333333333</v>
      </c>
      <c r="F1595" s="14">
        <v>311.33333333333331</v>
      </c>
      <c r="G1595" s="14">
        <v>795.99999999999989</v>
      </c>
      <c r="H1595" s="14">
        <v>145.33333333333331</v>
      </c>
      <c r="I1595" s="14">
        <v>398.66666666666663</v>
      </c>
    </row>
    <row r="1596" spans="1:11" ht="16.5" x14ac:dyDescent="0.2">
      <c r="A1596" s="4" t="s">
        <v>153</v>
      </c>
      <c r="B1596">
        <v>2009</v>
      </c>
      <c r="C1596" s="14">
        <v>1944</v>
      </c>
      <c r="D1596" s="14">
        <v>706.66666666666663</v>
      </c>
      <c r="E1596" s="14">
        <v>11073.999999999998</v>
      </c>
      <c r="F1596" s="14">
        <v>582.66666666666663</v>
      </c>
      <c r="G1596" s="14">
        <v>432.66666666666657</v>
      </c>
      <c r="H1596" s="14">
        <v>106</v>
      </c>
      <c r="I1596" s="14">
        <v>295.99999999999994</v>
      </c>
      <c r="K1596" s="15"/>
    </row>
    <row r="1597" spans="1:11" ht="16.5" x14ac:dyDescent="0.2">
      <c r="A1597" s="4" t="s">
        <v>153</v>
      </c>
      <c r="B1597">
        <v>2010</v>
      </c>
      <c r="C1597" s="14">
        <v>1954.6666666666665</v>
      </c>
      <c r="D1597" s="14">
        <v>703.99999999999989</v>
      </c>
      <c r="E1597" s="14">
        <v>11064.666666666666</v>
      </c>
      <c r="F1597" s="14">
        <v>578.66666666666663</v>
      </c>
      <c r="G1597" s="14">
        <v>435.33333333333326</v>
      </c>
      <c r="H1597" s="14">
        <v>108.66666666666666</v>
      </c>
      <c r="I1597" s="14">
        <v>295.99999999999994</v>
      </c>
    </row>
    <row r="1598" spans="1:11" ht="16.5" x14ac:dyDescent="0.2">
      <c r="A1598" s="4" t="s">
        <v>153</v>
      </c>
      <c r="B1598">
        <v>2011</v>
      </c>
      <c r="C1598" s="14">
        <v>1960.6666666666667</v>
      </c>
      <c r="D1598" s="14">
        <v>699.99999999999989</v>
      </c>
      <c r="E1598" s="14">
        <v>11054.666666666666</v>
      </c>
      <c r="F1598" s="14">
        <v>576.66666666666663</v>
      </c>
      <c r="G1598" s="14">
        <v>439.99999999999994</v>
      </c>
      <c r="H1598" s="14">
        <v>114</v>
      </c>
      <c r="I1598" s="14">
        <v>295.99999999999994</v>
      </c>
      <c r="K1598" s="15"/>
    </row>
    <row r="1599" spans="1:11" ht="16.5" x14ac:dyDescent="0.2">
      <c r="A1599" s="4" t="s">
        <v>153</v>
      </c>
      <c r="B1599">
        <v>2012</v>
      </c>
      <c r="C1599" s="14">
        <v>1969.333333333333</v>
      </c>
      <c r="D1599" s="14">
        <v>694.66666666666663</v>
      </c>
      <c r="E1599" s="14">
        <v>11046.666666666666</v>
      </c>
      <c r="F1599" s="14">
        <v>576</v>
      </c>
      <c r="G1599" s="14">
        <v>442.66666666666657</v>
      </c>
      <c r="H1599" s="14">
        <v>115.99999999999999</v>
      </c>
      <c r="I1599" s="14">
        <v>295.99999999999994</v>
      </c>
    </row>
    <row r="1600" spans="1:11" ht="16.5" x14ac:dyDescent="0.2">
      <c r="A1600" s="4" t="s">
        <v>153</v>
      </c>
      <c r="B1600">
        <v>2013</v>
      </c>
      <c r="C1600" s="14">
        <v>1989.9999999999998</v>
      </c>
      <c r="D1600" s="14">
        <v>689.33333333333326</v>
      </c>
      <c r="E1600" s="14">
        <v>11024.666666666666</v>
      </c>
      <c r="F1600" s="14">
        <v>572.66666666666663</v>
      </c>
      <c r="G1600" s="14">
        <v>448</v>
      </c>
      <c r="H1600" s="14">
        <v>121.33333333333331</v>
      </c>
      <c r="I1600" s="14">
        <v>295.33333333333331</v>
      </c>
    </row>
    <row r="1601" spans="1:11" ht="16.5" x14ac:dyDescent="0.2">
      <c r="A1601" s="4" t="s">
        <v>153</v>
      </c>
      <c r="B1601">
        <v>2014</v>
      </c>
      <c r="C1601" s="14">
        <v>1991.333333333333</v>
      </c>
      <c r="D1601" s="14">
        <v>686.66666666666663</v>
      </c>
      <c r="E1601" s="14">
        <v>11017.333333333332</v>
      </c>
      <c r="F1601" s="14">
        <v>571.33333333333326</v>
      </c>
      <c r="G1601" s="14">
        <v>454</v>
      </c>
      <c r="H1601" s="14">
        <v>124.66666666666666</v>
      </c>
      <c r="I1601" s="14">
        <v>295.33333333333331</v>
      </c>
      <c r="K1601" s="15"/>
    </row>
    <row r="1602" spans="1:11" ht="16.5" x14ac:dyDescent="0.2">
      <c r="A1602" s="4" t="s">
        <v>153</v>
      </c>
      <c r="B1602">
        <v>2015</v>
      </c>
      <c r="C1602" s="14">
        <v>1997.3333333333333</v>
      </c>
      <c r="D1602" s="14">
        <v>678.66666666666663</v>
      </c>
      <c r="E1602" s="14">
        <v>11013.999999999998</v>
      </c>
      <c r="F1602" s="14">
        <v>570</v>
      </c>
      <c r="G1602" s="14">
        <v>458.66666666666663</v>
      </c>
      <c r="H1602" s="14">
        <v>125.33333333333333</v>
      </c>
      <c r="I1602" s="14">
        <v>295.33333333333331</v>
      </c>
    </row>
    <row r="1603" spans="1:11" ht="16.5" x14ac:dyDescent="0.2">
      <c r="A1603" s="4" t="s">
        <v>153</v>
      </c>
      <c r="B1603">
        <v>2016</v>
      </c>
      <c r="C1603" s="14">
        <v>1997.9999999999998</v>
      </c>
      <c r="D1603" s="14">
        <v>669.33333333333326</v>
      </c>
      <c r="E1603" s="14">
        <v>11016.666666666666</v>
      </c>
      <c r="F1603" s="14">
        <v>569.33333333333337</v>
      </c>
      <c r="G1603" s="14">
        <v>465.33333333333326</v>
      </c>
      <c r="H1603" s="14">
        <v>125.33333333333333</v>
      </c>
      <c r="I1603" s="14">
        <v>295.33333333333331</v>
      </c>
      <c r="K1603" s="15"/>
    </row>
    <row r="1604" spans="1:11" ht="16.5" x14ac:dyDescent="0.2">
      <c r="A1604" s="4" t="s">
        <v>152</v>
      </c>
      <c r="B1604">
        <v>2009</v>
      </c>
      <c r="C1604" s="14">
        <v>867.99999999999989</v>
      </c>
      <c r="D1604" s="14">
        <v>1110</v>
      </c>
      <c r="E1604" s="14">
        <v>2568.6666666666665</v>
      </c>
      <c r="F1604" s="14">
        <v>49.333333333333329</v>
      </c>
      <c r="G1604" s="14">
        <v>1279.3333333333333</v>
      </c>
      <c r="H1604" s="14">
        <v>284</v>
      </c>
      <c r="I1604" s="14">
        <v>986.66666666666663</v>
      </c>
    </row>
    <row r="1605" spans="1:11" ht="16.5" x14ac:dyDescent="0.2">
      <c r="A1605" s="4" t="s">
        <v>152</v>
      </c>
      <c r="B1605">
        <v>2010</v>
      </c>
      <c r="C1605" s="14">
        <v>859.33333333333326</v>
      </c>
      <c r="D1605" s="14">
        <v>1098.6666666666667</v>
      </c>
      <c r="E1605" s="14">
        <v>2561.333333333333</v>
      </c>
      <c r="F1605" s="14">
        <v>43.333333333333329</v>
      </c>
      <c r="G1605" s="14">
        <v>1321.333333333333</v>
      </c>
      <c r="H1605" s="14">
        <v>287.33333333333331</v>
      </c>
      <c r="I1605" s="14">
        <v>980.66666666666652</v>
      </c>
    </row>
    <row r="1606" spans="1:11" ht="16.5" x14ac:dyDescent="0.2">
      <c r="A1606" s="4" t="s">
        <v>152</v>
      </c>
      <c r="B1606">
        <v>2011</v>
      </c>
      <c r="C1606" s="14">
        <v>854.66666666666652</v>
      </c>
      <c r="D1606" s="14">
        <v>1087.9999999999998</v>
      </c>
      <c r="E1606" s="14">
        <v>2553.333333333333</v>
      </c>
      <c r="F1606" s="14">
        <v>38.666666666666664</v>
      </c>
      <c r="G1606" s="14">
        <v>1349.3333333333333</v>
      </c>
      <c r="H1606" s="14">
        <v>291.99999999999994</v>
      </c>
      <c r="I1606" s="14">
        <v>977.33333333333326</v>
      </c>
      <c r="K1606" s="15"/>
    </row>
    <row r="1607" spans="1:11" ht="16.5" x14ac:dyDescent="0.2">
      <c r="A1607" s="4" t="s">
        <v>152</v>
      </c>
      <c r="B1607">
        <v>2012</v>
      </c>
      <c r="C1607" s="14">
        <v>846</v>
      </c>
      <c r="D1607" s="14">
        <v>1081.3333333333333</v>
      </c>
      <c r="E1607" s="14">
        <v>2549.333333333333</v>
      </c>
      <c r="F1607" s="14">
        <v>36.666666666666664</v>
      </c>
      <c r="G1607" s="14">
        <v>1368.6666666666665</v>
      </c>
      <c r="H1607" s="14">
        <v>297.33333333333331</v>
      </c>
      <c r="I1607" s="14">
        <v>973.99999999999989</v>
      </c>
    </row>
    <row r="1608" spans="1:11" ht="16.5" x14ac:dyDescent="0.2">
      <c r="A1608" s="4" t="s">
        <v>152</v>
      </c>
      <c r="B1608">
        <v>2013</v>
      </c>
      <c r="C1608" s="14">
        <v>838.66666666666663</v>
      </c>
      <c r="D1608" s="14">
        <v>1073.3333333333333</v>
      </c>
      <c r="E1608" s="14">
        <v>2543.333333333333</v>
      </c>
      <c r="F1608" s="14">
        <v>34.666666666666664</v>
      </c>
      <c r="G1608" s="14">
        <v>1391.9999999999998</v>
      </c>
      <c r="H1608" s="14">
        <v>304</v>
      </c>
      <c r="I1608" s="14">
        <v>967.33333333333326</v>
      </c>
      <c r="K1608" s="15"/>
    </row>
    <row r="1609" spans="1:11" ht="16.5" x14ac:dyDescent="0.2">
      <c r="A1609" s="4" t="s">
        <v>152</v>
      </c>
      <c r="B1609">
        <v>2014</v>
      </c>
      <c r="C1609" s="14">
        <v>828.66666666666663</v>
      </c>
      <c r="D1609" s="14">
        <v>1064.6666666666665</v>
      </c>
      <c r="E1609" s="14">
        <v>2537.3333333333335</v>
      </c>
      <c r="F1609" s="14">
        <v>31.999999999999996</v>
      </c>
      <c r="G1609" s="14">
        <v>1419.3333333333333</v>
      </c>
      <c r="H1609" s="14">
        <v>308.66666666666663</v>
      </c>
      <c r="I1609" s="14">
        <v>963.99999999999989</v>
      </c>
    </row>
    <row r="1610" spans="1:11" ht="16.5" x14ac:dyDescent="0.2">
      <c r="A1610" s="4" t="s">
        <v>152</v>
      </c>
      <c r="B1610">
        <v>2015</v>
      </c>
      <c r="C1610" s="14">
        <v>819.33333333333326</v>
      </c>
      <c r="D1610" s="14">
        <v>1058.6666666666667</v>
      </c>
      <c r="E1610" s="14">
        <v>2533.333333333333</v>
      </c>
      <c r="F1610" s="14">
        <v>29.999999999999996</v>
      </c>
      <c r="G1610" s="14">
        <v>1444.6666666666667</v>
      </c>
      <c r="H1610" s="14">
        <v>310.66666666666663</v>
      </c>
      <c r="I1610" s="14">
        <v>959.99999999999989</v>
      </c>
    </row>
    <row r="1611" spans="1:11" ht="16.5" x14ac:dyDescent="0.2">
      <c r="A1611" s="4" t="s">
        <v>152</v>
      </c>
      <c r="B1611">
        <v>2016</v>
      </c>
      <c r="C1611" s="14">
        <v>809.33333333333326</v>
      </c>
      <c r="D1611" s="14">
        <v>1048.6666666666667</v>
      </c>
      <c r="E1611" s="14">
        <v>2527.3333333333335</v>
      </c>
      <c r="F1611" s="14">
        <v>28</v>
      </c>
      <c r="G1611" s="14">
        <v>1476.6666666666665</v>
      </c>
      <c r="H1611" s="14">
        <v>313.33333333333331</v>
      </c>
      <c r="I1611" s="14">
        <v>953.33333333333326</v>
      </c>
      <c r="K1611" s="15"/>
    </row>
    <row r="1612" spans="1:11" ht="16.5" x14ac:dyDescent="0.2">
      <c r="A1612" s="4" t="s">
        <v>151</v>
      </c>
      <c r="B1612">
        <v>2009</v>
      </c>
      <c r="C1612" s="14">
        <v>2157.3333333333335</v>
      </c>
      <c r="D1612" s="14">
        <v>281.99999999999994</v>
      </c>
      <c r="E1612" s="14">
        <v>14126</v>
      </c>
      <c r="F1612" s="14">
        <v>266.66666666666663</v>
      </c>
      <c r="G1612" s="14">
        <v>554.66666666666663</v>
      </c>
      <c r="H1612" s="14">
        <v>175.33333333333331</v>
      </c>
      <c r="I1612" s="14">
        <v>553.99999999999989</v>
      </c>
    </row>
    <row r="1613" spans="1:11" ht="16.5" x14ac:dyDescent="0.2">
      <c r="A1613" s="4" t="s">
        <v>151</v>
      </c>
      <c r="B1613">
        <v>2010</v>
      </c>
      <c r="C1613" s="14">
        <v>2164.6666666666665</v>
      </c>
      <c r="D1613" s="14">
        <v>274</v>
      </c>
      <c r="E1613" s="14">
        <v>14108.666666666666</v>
      </c>
      <c r="F1613" s="14">
        <v>261.33333333333331</v>
      </c>
      <c r="G1613" s="14">
        <v>564</v>
      </c>
      <c r="H1613" s="14">
        <v>191.33333333333331</v>
      </c>
      <c r="I1613" s="14">
        <v>552.66666666666663</v>
      </c>
      <c r="K1613" s="15"/>
    </row>
    <row r="1614" spans="1:11" ht="16.5" x14ac:dyDescent="0.2">
      <c r="A1614" s="4" t="s">
        <v>151</v>
      </c>
      <c r="B1614">
        <v>2011</v>
      </c>
      <c r="C1614" s="14">
        <v>2196.6666666666665</v>
      </c>
      <c r="D1614" s="14">
        <v>271.33333333333331</v>
      </c>
      <c r="E1614" s="14">
        <v>14071.33333333333</v>
      </c>
      <c r="F1614" s="14">
        <v>255.33333333333329</v>
      </c>
      <c r="G1614" s="14">
        <v>570</v>
      </c>
      <c r="H1614" s="14">
        <v>191.33333333333331</v>
      </c>
      <c r="I1614" s="14">
        <v>558</v>
      </c>
    </row>
    <row r="1615" spans="1:11" ht="16.5" x14ac:dyDescent="0.2">
      <c r="A1615" s="4" t="s">
        <v>151</v>
      </c>
      <c r="B1615">
        <v>2012</v>
      </c>
      <c r="C1615" s="14">
        <v>2192</v>
      </c>
      <c r="D1615" s="14">
        <v>271.99999999999994</v>
      </c>
      <c r="E1615" s="14">
        <v>14070.666666666664</v>
      </c>
      <c r="F1615" s="14">
        <v>254</v>
      </c>
      <c r="G1615" s="14">
        <v>577.33333333333326</v>
      </c>
      <c r="H1615" s="14">
        <v>191.33333333333331</v>
      </c>
      <c r="I1615" s="14">
        <v>557.33333333333326</v>
      </c>
    </row>
    <row r="1616" spans="1:11" ht="16.5" x14ac:dyDescent="0.2">
      <c r="A1616" s="4" t="s">
        <v>151</v>
      </c>
      <c r="B1616">
        <v>2013</v>
      </c>
      <c r="C1616" s="14">
        <v>2202</v>
      </c>
      <c r="D1616" s="14">
        <v>271.99999999999994</v>
      </c>
      <c r="E1616" s="14">
        <v>14052</v>
      </c>
      <c r="F1616" s="14">
        <v>250.66666666666666</v>
      </c>
      <c r="G1616" s="14">
        <v>585.33333333333326</v>
      </c>
      <c r="H1616" s="14">
        <v>194</v>
      </c>
      <c r="I1616" s="14">
        <v>556.66666666666663</v>
      </c>
      <c r="K1616" s="15"/>
    </row>
    <row r="1617" spans="1:11" ht="16.5" x14ac:dyDescent="0.2">
      <c r="A1617" s="4" t="s">
        <v>151</v>
      </c>
      <c r="B1617">
        <v>2014</v>
      </c>
      <c r="C1617" s="14">
        <v>2210.6666666666665</v>
      </c>
      <c r="D1617" s="14">
        <v>270</v>
      </c>
      <c r="E1617" s="14">
        <v>14041.33333333333</v>
      </c>
      <c r="F1617" s="14">
        <v>245.99999999999997</v>
      </c>
      <c r="G1617" s="14">
        <v>594.66666666666663</v>
      </c>
      <c r="H1617" s="14">
        <v>194.66666666666666</v>
      </c>
      <c r="I1617" s="14">
        <v>555.33333333333326</v>
      </c>
    </row>
    <row r="1618" spans="1:11" ht="16.5" x14ac:dyDescent="0.2">
      <c r="A1618" s="4" t="s">
        <v>151</v>
      </c>
      <c r="B1618">
        <v>2015</v>
      </c>
      <c r="C1618" s="14">
        <v>2206.6666666666665</v>
      </c>
      <c r="D1618" s="14">
        <v>268</v>
      </c>
      <c r="E1618" s="14">
        <v>14036</v>
      </c>
      <c r="F1618" s="14">
        <v>245.33333333333329</v>
      </c>
      <c r="G1618" s="14">
        <v>604.66666666666663</v>
      </c>
      <c r="H1618" s="14">
        <v>199.33333333333331</v>
      </c>
      <c r="I1618" s="14">
        <v>554.66666666666663</v>
      </c>
      <c r="K1618" s="15"/>
    </row>
    <row r="1619" spans="1:11" ht="16.5" x14ac:dyDescent="0.2">
      <c r="A1619" s="4" t="s">
        <v>151</v>
      </c>
      <c r="B1619">
        <v>2016</v>
      </c>
      <c r="C1619" s="14">
        <v>2203.333333333333</v>
      </c>
      <c r="D1619" s="14">
        <v>267.33333333333331</v>
      </c>
      <c r="E1619" s="14">
        <v>14028.666666666666</v>
      </c>
      <c r="F1619" s="14">
        <v>243.33333333333331</v>
      </c>
      <c r="G1619" s="14">
        <v>611.99999999999989</v>
      </c>
      <c r="H1619" s="14">
        <v>207.99999999999997</v>
      </c>
      <c r="I1619" s="14">
        <v>553.33333333333326</v>
      </c>
    </row>
    <row r="1620" spans="1:11" ht="16.5" x14ac:dyDescent="0.2">
      <c r="A1620" s="4" t="s">
        <v>150</v>
      </c>
      <c r="B1620">
        <v>2009</v>
      </c>
      <c r="C1620" s="14">
        <v>31.333333333333332</v>
      </c>
      <c r="D1620" s="14">
        <v>236.66666666666666</v>
      </c>
      <c r="E1620" s="14">
        <v>586</v>
      </c>
      <c r="F1620" s="14">
        <v>32.666666666666664</v>
      </c>
      <c r="G1620" s="14">
        <v>750.66666666666663</v>
      </c>
      <c r="H1620" s="14">
        <v>87.999999999999986</v>
      </c>
      <c r="I1620" s="14">
        <v>167.33333333333331</v>
      </c>
    </row>
    <row r="1621" spans="1:11" ht="16.5" x14ac:dyDescent="0.2">
      <c r="A1621" s="4" t="s">
        <v>150</v>
      </c>
      <c r="B1621">
        <v>2010</v>
      </c>
      <c r="C1621" s="14">
        <v>30.666666666666661</v>
      </c>
      <c r="D1621" s="14">
        <v>231.99999999999997</v>
      </c>
      <c r="E1621" s="14">
        <v>580</v>
      </c>
      <c r="F1621" s="14">
        <v>31.333333333333332</v>
      </c>
      <c r="G1621" s="14">
        <v>769.99999999999989</v>
      </c>
      <c r="H1621" s="14">
        <v>93.333333333333329</v>
      </c>
      <c r="I1621" s="14">
        <v>164</v>
      </c>
      <c r="K1621" s="15"/>
    </row>
    <row r="1622" spans="1:11" ht="16.5" x14ac:dyDescent="0.2">
      <c r="A1622" s="4" t="s">
        <v>150</v>
      </c>
      <c r="B1622">
        <v>2011</v>
      </c>
      <c r="C1622" s="14">
        <v>29.999999999999996</v>
      </c>
      <c r="D1622" s="14">
        <v>227.33333333333331</v>
      </c>
      <c r="E1622" s="14">
        <v>580</v>
      </c>
      <c r="F1622" s="14">
        <v>29.999999999999996</v>
      </c>
      <c r="G1622" s="14">
        <v>781.99999999999989</v>
      </c>
      <c r="H1622" s="14">
        <v>96</v>
      </c>
      <c r="I1622" s="14">
        <v>165.99999999999997</v>
      </c>
    </row>
    <row r="1623" spans="1:11" ht="16.5" x14ac:dyDescent="0.2">
      <c r="A1623" s="4" t="s">
        <v>150</v>
      </c>
      <c r="B1623">
        <v>2012</v>
      </c>
      <c r="C1623" s="14">
        <v>29.999999999999996</v>
      </c>
      <c r="D1623" s="14">
        <v>224.66666666666666</v>
      </c>
      <c r="E1623" s="14">
        <v>581.99999999999989</v>
      </c>
      <c r="F1623" s="14">
        <v>28.666666666666664</v>
      </c>
      <c r="G1623" s="14">
        <v>790.66666666666652</v>
      </c>
      <c r="H1623" s="14">
        <v>99.999999999999986</v>
      </c>
      <c r="I1623" s="14">
        <v>161.33333333333331</v>
      </c>
      <c r="K1623" s="15"/>
    </row>
    <row r="1624" spans="1:11" ht="16.5" x14ac:dyDescent="0.2">
      <c r="A1624" s="4" t="s">
        <v>150</v>
      </c>
      <c r="B1624">
        <v>2013</v>
      </c>
      <c r="C1624" s="14">
        <v>40.666666666666657</v>
      </c>
      <c r="D1624" s="14">
        <v>210.66666666666666</v>
      </c>
      <c r="E1624" s="14">
        <v>581.99999999999989</v>
      </c>
      <c r="F1624" s="14">
        <v>26.666666666666664</v>
      </c>
      <c r="G1624" s="14">
        <v>806.66666666666663</v>
      </c>
      <c r="H1624" s="14">
        <v>99.333333333333329</v>
      </c>
      <c r="I1624" s="14">
        <v>157.99999999999997</v>
      </c>
    </row>
    <row r="1625" spans="1:11" ht="16.5" x14ac:dyDescent="0.2">
      <c r="A1625" s="4" t="s">
        <v>150</v>
      </c>
      <c r="B1625">
        <v>2014</v>
      </c>
      <c r="C1625" s="14">
        <v>40.666666666666657</v>
      </c>
      <c r="D1625" s="14">
        <v>208.66666666666666</v>
      </c>
      <c r="E1625" s="14">
        <v>578.66666666666663</v>
      </c>
      <c r="F1625" s="14">
        <v>25.333333333333329</v>
      </c>
      <c r="G1625" s="14">
        <v>816.66666666666663</v>
      </c>
      <c r="H1625" s="14">
        <v>99.999999999999986</v>
      </c>
      <c r="I1625" s="14">
        <v>157.99999999999997</v>
      </c>
    </row>
    <row r="1626" spans="1:11" ht="16.5" x14ac:dyDescent="0.2">
      <c r="A1626" s="4" t="s">
        <v>150</v>
      </c>
      <c r="B1626">
        <v>2015</v>
      </c>
      <c r="C1626" s="14">
        <v>40</v>
      </c>
      <c r="D1626" s="14">
        <v>207.33333333333331</v>
      </c>
      <c r="E1626" s="14">
        <v>578</v>
      </c>
      <c r="F1626" s="14">
        <v>24.666666666666664</v>
      </c>
      <c r="G1626" s="14">
        <v>823.33333333333326</v>
      </c>
      <c r="H1626" s="14">
        <v>99.999999999999986</v>
      </c>
      <c r="I1626" s="14">
        <v>157.33333333333334</v>
      </c>
      <c r="K1626" s="15"/>
    </row>
    <row r="1627" spans="1:11" ht="16.5" x14ac:dyDescent="0.2">
      <c r="A1627" s="4" t="s">
        <v>150</v>
      </c>
      <c r="B1627">
        <v>2016</v>
      </c>
      <c r="C1627" s="14">
        <v>38.666666666666664</v>
      </c>
      <c r="D1627" s="14">
        <v>205.33333333333331</v>
      </c>
      <c r="E1627" s="14">
        <v>578.66666666666663</v>
      </c>
      <c r="F1627" s="14">
        <v>24</v>
      </c>
      <c r="G1627" s="14">
        <v>831.33333333333326</v>
      </c>
      <c r="H1627" s="14">
        <v>101.33333333333331</v>
      </c>
      <c r="I1627" s="14">
        <v>154.66666666666666</v>
      </c>
    </row>
    <row r="1628" spans="1:11" ht="16.5" x14ac:dyDescent="0.2">
      <c r="A1628" s="4" t="s">
        <v>149</v>
      </c>
      <c r="B1628">
        <v>2009</v>
      </c>
      <c r="C1628" s="14">
        <v>181.33333333333331</v>
      </c>
      <c r="D1628" s="14">
        <v>62</v>
      </c>
      <c r="E1628" s="14">
        <v>387.33333333333331</v>
      </c>
      <c r="F1628" s="14">
        <v>20</v>
      </c>
      <c r="G1628" s="14">
        <v>334</v>
      </c>
      <c r="H1628" s="14">
        <v>43.999999999999993</v>
      </c>
      <c r="I1628" s="14">
        <v>569.33333333333337</v>
      </c>
      <c r="K1628" s="15"/>
    </row>
    <row r="1629" spans="1:11" ht="16.5" x14ac:dyDescent="0.2">
      <c r="A1629" s="4" t="s">
        <v>149</v>
      </c>
      <c r="B1629">
        <v>2010</v>
      </c>
      <c r="C1629" s="14">
        <v>182.66666666666663</v>
      </c>
      <c r="D1629" s="14">
        <v>61.333333333333321</v>
      </c>
      <c r="E1629" s="14">
        <v>385.33333333333326</v>
      </c>
      <c r="F1629" s="14">
        <v>19.333333333333332</v>
      </c>
      <c r="G1629" s="14">
        <v>344</v>
      </c>
      <c r="H1629" s="14">
        <v>47.333333333333329</v>
      </c>
      <c r="I1629" s="14">
        <v>560.66666666666663</v>
      </c>
    </row>
    <row r="1630" spans="1:11" ht="16.5" x14ac:dyDescent="0.2">
      <c r="A1630" s="4" t="s">
        <v>149</v>
      </c>
      <c r="B1630">
        <v>2011</v>
      </c>
      <c r="C1630" s="14">
        <v>182</v>
      </c>
      <c r="D1630" s="14">
        <v>59.333333333333329</v>
      </c>
      <c r="E1630" s="14">
        <v>381.33333333333331</v>
      </c>
      <c r="F1630" s="14">
        <v>17.333333333333332</v>
      </c>
      <c r="G1630" s="14">
        <v>362.66666666666657</v>
      </c>
      <c r="H1630" s="14">
        <v>49.999999999999993</v>
      </c>
      <c r="I1630" s="14">
        <v>555.33333333333326</v>
      </c>
    </row>
    <row r="1631" spans="1:11" ht="16.5" x14ac:dyDescent="0.2">
      <c r="A1631" s="4" t="s">
        <v>149</v>
      </c>
      <c r="B1631">
        <v>2012</v>
      </c>
      <c r="C1631" s="14">
        <v>181.33333333333331</v>
      </c>
      <c r="D1631" s="14">
        <v>59.333333333333329</v>
      </c>
      <c r="E1631" s="14">
        <v>380.66666666666663</v>
      </c>
      <c r="F1631" s="14">
        <v>17.333333333333332</v>
      </c>
      <c r="G1631" s="14">
        <v>367.33333333333326</v>
      </c>
      <c r="H1631" s="14">
        <v>51.333333333333329</v>
      </c>
      <c r="I1631" s="14">
        <v>553.33333333333326</v>
      </c>
      <c r="K1631" s="15"/>
    </row>
    <row r="1632" spans="1:11" ht="16.5" x14ac:dyDescent="0.2">
      <c r="A1632" s="4" t="s">
        <v>149</v>
      </c>
      <c r="B1632">
        <v>2013</v>
      </c>
      <c r="C1632" s="14">
        <v>180.66666666666666</v>
      </c>
      <c r="D1632" s="14">
        <v>58.666666666666664</v>
      </c>
      <c r="E1632" s="14">
        <v>379.99999999999994</v>
      </c>
      <c r="F1632" s="14">
        <v>16.666666666666664</v>
      </c>
      <c r="G1632" s="14">
        <v>374.66666666666663</v>
      </c>
      <c r="H1632" s="14">
        <v>51.333333333333329</v>
      </c>
      <c r="I1632" s="14">
        <v>550</v>
      </c>
    </row>
    <row r="1633" spans="1:11" ht="16.5" x14ac:dyDescent="0.2">
      <c r="A1633" s="4" t="s">
        <v>149</v>
      </c>
      <c r="B1633">
        <v>2014</v>
      </c>
      <c r="C1633" s="14">
        <v>179.99999999999997</v>
      </c>
      <c r="D1633" s="14">
        <v>57.333333333333329</v>
      </c>
      <c r="E1633" s="14">
        <v>379.99999999999994</v>
      </c>
      <c r="F1633" s="14">
        <v>16.666666666666664</v>
      </c>
      <c r="G1633" s="14">
        <v>383.33333333333331</v>
      </c>
      <c r="H1633" s="14">
        <v>51.999999999999993</v>
      </c>
      <c r="I1633" s="14">
        <v>543.99999999999989</v>
      </c>
      <c r="K1633" s="15"/>
    </row>
    <row r="1634" spans="1:11" ht="16.5" x14ac:dyDescent="0.2">
      <c r="A1634" s="4" t="s">
        <v>149</v>
      </c>
      <c r="B1634">
        <v>2015</v>
      </c>
      <c r="C1634" s="14">
        <v>177.99999999999997</v>
      </c>
      <c r="D1634" s="14">
        <v>57.333333333333329</v>
      </c>
      <c r="E1634" s="14">
        <v>378.66666666666663</v>
      </c>
      <c r="F1634" s="14">
        <v>15.999999999999998</v>
      </c>
      <c r="G1634" s="14">
        <v>397.99999999999994</v>
      </c>
      <c r="H1634" s="14">
        <v>52.666666666666664</v>
      </c>
      <c r="I1634" s="14">
        <v>537.33333333333326</v>
      </c>
    </row>
    <row r="1635" spans="1:11" ht="16.5" x14ac:dyDescent="0.2">
      <c r="A1635" s="4" t="s">
        <v>149</v>
      </c>
      <c r="B1635">
        <v>2016</v>
      </c>
      <c r="C1635" s="14">
        <v>177.99999999999997</v>
      </c>
      <c r="D1635" s="14">
        <v>56.666666666666664</v>
      </c>
      <c r="E1635" s="14">
        <v>378</v>
      </c>
      <c r="F1635" s="14">
        <v>15.33333333333333</v>
      </c>
      <c r="G1635" s="14">
        <v>404</v>
      </c>
      <c r="H1635" s="14">
        <v>53.333333333333329</v>
      </c>
      <c r="I1635" s="14">
        <v>533.33333333333326</v>
      </c>
    </row>
    <row r="1636" spans="1:11" ht="16.5" x14ac:dyDescent="0.2">
      <c r="A1636" s="4" t="s">
        <v>148</v>
      </c>
      <c r="B1636">
        <v>2009</v>
      </c>
      <c r="C1636" s="14">
        <v>379.99999999999994</v>
      </c>
      <c r="D1636" s="14">
        <v>182.66666666666663</v>
      </c>
      <c r="E1636" s="14">
        <v>527.33333333333326</v>
      </c>
      <c r="F1636" s="14">
        <v>57.999999999999993</v>
      </c>
      <c r="G1636" s="14">
        <v>489.33333333333331</v>
      </c>
      <c r="H1636" s="14">
        <v>57.333333333333329</v>
      </c>
      <c r="I1636" s="14">
        <v>436</v>
      </c>
      <c r="K1636" s="15"/>
    </row>
    <row r="1637" spans="1:11" ht="16.5" x14ac:dyDescent="0.2">
      <c r="A1637" s="4" t="s">
        <v>148</v>
      </c>
      <c r="B1637">
        <v>2010</v>
      </c>
      <c r="C1637" s="14">
        <v>379.33333333333331</v>
      </c>
      <c r="D1637" s="14">
        <v>180.66666666666666</v>
      </c>
      <c r="E1637" s="14">
        <v>527.33333333333326</v>
      </c>
      <c r="F1637" s="14">
        <v>56.666666666666664</v>
      </c>
      <c r="G1637" s="14">
        <v>493.99999999999994</v>
      </c>
      <c r="H1637" s="14">
        <v>57.999999999999993</v>
      </c>
      <c r="I1637" s="14">
        <v>435.33333333333326</v>
      </c>
    </row>
    <row r="1638" spans="1:11" ht="16.5" x14ac:dyDescent="0.2">
      <c r="A1638" s="4" t="s">
        <v>148</v>
      </c>
      <c r="B1638">
        <v>2011</v>
      </c>
      <c r="C1638" s="14">
        <v>378.66666666666663</v>
      </c>
      <c r="D1638" s="14">
        <v>179.33333333333331</v>
      </c>
      <c r="E1638" s="14">
        <v>526.66666666666663</v>
      </c>
      <c r="F1638" s="14">
        <v>55.333333333333336</v>
      </c>
      <c r="G1638" s="14">
        <v>506</v>
      </c>
      <c r="H1638" s="14">
        <v>58.666666666666664</v>
      </c>
      <c r="I1638" s="14">
        <v>434.66666666666663</v>
      </c>
      <c r="K1638" s="15"/>
    </row>
    <row r="1639" spans="1:11" ht="16.5" x14ac:dyDescent="0.2">
      <c r="A1639" s="4" t="s">
        <v>148</v>
      </c>
      <c r="B1639">
        <v>2012</v>
      </c>
      <c r="C1639" s="14">
        <v>379.99999999999994</v>
      </c>
      <c r="D1639" s="14">
        <v>177.99999999999997</v>
      </c>
      <c r="E1639" s="14">
        <v>526</v>
      </c>
      <c r="F1639" s="14">
        <v>53.333333333333329</v>
      </c>
      <c r="G1639" s="14">
        <v>510.66666666666657</v>
      </c>
      <c r="H1639" s="14">
        <v>58.666666666666664</v>
      </c>
      <c r="I1639" s="14">
        <v>433.33333333333331</v>
      </c>
    </row>
    <row r="1640" spans="1:11" ht="16.5" x14ac:dyDescent="0.2">
      <c r="A1640" s="4" t="s">
        <v>148</v>
      </c>
      <c r="B1640">
        <v>2013</v>
      </c>
      <c r="C1640" s="14">
        <v>381.99999999999994</v>
      </c>
      <c r="D1640" s="14">
        <v>177.33333333333331</v>
      </c>
      <c r="E1640" s="14">
        <v>525.33333333333326</v>
      </c>
      <c r="F1640" s="14">
        <v>51.999999999999993</v>
      </c>
      <c r="G1640" s="14">
        <v>514.66666666666652</v>
      </c>
      <c r="H1640" s="14">
        <v>58.666666666666664</v>
      </c>
      <c r="I1640" s="14">
        <v>429.33333333333331</v>
      </c>
    </row>
    <row r="1641" spans="1:11" ht="16.5" x14ac:dyDescent="0.2">
      <c r="A1641" s="4" t="s">
        <v>148</v>
      </c>
      <c r="B1641">
        <v>2014</v>
      </c>
      <c r="C1641" s="14">
        <v>378</v>
      </c>
      <c r="D1641" s="14">
        <v>175.33333333333331</v>
      </c>
      <c r="E1641" s="14">
        <v>524.66666666666663</v>
      </c>
      <c r="F1641" s="14">
        <v>50.666666666666657</v>
      </c>
      <c r="G1641" s="14">
        <v>523.99999999999989</v>
      </c>
      <c r="H1641" s="14">
        <v>62</v>
      </c>
      <c r="I1641" s="14">
        <v>425.33333333333326</v>
      </c>
      <c r="K1641" s="15"/>
    </row>
    <row r="1642" spans="1:11" ht="16.5" x14ac:dyDescent="0.2">
      <c r="A1642" s="4" t="s">
        <v>148</v>
      </c>
      <c r="B1642">
        <v>2015</v>
      </c>
      <c r="C1642" s="14">
        <v>374.66666666666663</v>
      </c>
      <c r="D1642" s="14">
        <v>174.66666666666666</v>
      </c>
      <c r="E1642" s="14">
        <v>523.99999999999989</v>
      </c>
      <c r="F1642" s="14">
        <v>49.999999999999993</v>
      </c>
      <c r="G1642" s="14">
        <v>529.33333333333337</v>
      </c>
      <c r="H1642" s="14">
        <v>63.333333333333329</v>
      </c>
      <c r="I1642" s="14">
        <v>424</v>
      </c>
    </row>
    <row r="1643" spans="1:11" ht="16.5" x14ac:dyDescent="0.2">
      <c r="A1643" s="4" t="s">
        <v>148</v>
      </c>
      <c r="B1643">
        <v>2016</v>
      </c>
      <c r="C1643" s="14">
        <v>371.99999999999994</v>
      </c>
      <c r="D1643" s="14">
        <v>174.66666666666666</v>
      </c>
      <c r="E1643" s="14">
        <v>523.33333333333326</v>
      </c>
      <c r="F1643" s="14">
        <v>49.333333333333329</v>
      </c>
      <c r="G1643" s="14">
        <v>536</v>
      </c>
      <c r="H1643" s="14">
        <v>63.333333333333329</v>
      </c>
      <c r="I1643" s="14">
        <v>423.33333333333331</v>
      </c>
      <c r="K1643" s="15"/>
    </row>
    <row r="1644" spans="1:11" ht="16.5" x14ac:dyDescent="0.2">
      <c r="A1644" s="4" t="s">
        <v>147</v>
      </c>
      <c r="B1644">
        <v>2009</v>
      </c>
      <c r="C1644" s="14">
        <v>378.66666666666663</v>
      </c>
      <c r="D1644" s="14">
        <v>117.33333333333333</v>
      </c>
      <c r="E1644" s="14">
        <v>740.66666666666652</v>
      </c>
      <c r="F1644" s="14">
        <v>73.333333333333329</v>
      </c>
      <c r="G1644" s="14">
        <v>1111.9999999999998</v>
      </c>
      <c r="H1644" s="14">
        <v>127.99999999999999</v>
      </c>
      <c r="I1644" s="14">
        <v>1147.3333333333333</v>
      </c>
    </row>
    <row r="1645" spans="1:11" ht="16.5" x14ac:dyDescent="0.2">
      <c r="A1645" s="4" t="s">
        <v>147</v>
      </c>
      <c r="B1645">
        <v>2010</v>
      </c>
      <c r="C1645" s="14">
        <v>376.66666666666663</v>
      </c>
      <c r="D1645" s="14">
        <v>115.33333333333333</v>
      </c>
      <c r="E1645" s="14">
        <v>736</v>
      </c>
      <c r="F1645" s="14">
        <v>68.666666666666671</v>
      </c>
      <c r="G1645" s="14">
        <v>1141.9999999999998</v>
      </c>
      <c r="H1645" s="14">
        <v>134</v>
      </c>
      <c r="I1645" s="14">
        <v>1132</v>
      </c>
    </row>
    <row r="1646" spans="1:11" ht="16.5" x14ac:dyDescent="0.2">
      <c r="A1646" s="4" t="s">
        <v>147</v>
      </c>
      <c r="B1646">
        <v>2011</v>
      </c>
      <c r="C1646" s="14">
        <v>377.33333333333331</v>
      </c>
      <c r="D1646" s="14">
        <v>114.66666666666666</v>
      </c>
      <c r="E1646" s="14">
        <v>731.33333333333326</v>
      </c>
      <c r="F1646" s="14">
        <v>65.333333333333329</v>
      </c>
      <c r="G1646" s="14">
        <v>1157.3333333333333</v>
      </c>
      <c r="H1646" s="14">
        <v>140.66666666666666</v>
      </c>
      <c r="I1646" s="14">
        <v>1121.3333333333333</v>
      </c>
      <c r="K1646" s="15"/>
    </row>
    <row r="1647" spans="1:11" ht="16.5" x14ac:dyDescent="0.2">
      <c r="A1647" s="4" t="s">
        <v>147</v>
      </c>
      <c r="B1647">
        <v>2012</v>
      </c>
      <c r="C1647" s="14">
        <v>378</v>
      </c>
      <c r="D1647" s="14">
        <v>114.66666666666666</v>
      </c>
      <c r="E1647" s="14">
        <v>726</v>
      </c>
      <c r="F1647" s="14">
        <v>62.666666666666664</v>
      </c>
      <c r="G1647" s="14">
        <v>1167.3333333333333</v>
      </c>
      <c r="H1647" s="14">
        <v>145.33333333333331</v>
      </c>
      <c r="I1647" s="14">
        <v>1115.3333333333333</v>
      </c>
    </row>
    <row r="1648" spans="1:11" ht="16.5" x14ac:dyDescent="0.2">
      <c r="A1648" s="4" t="s">
        <v>147</v>
      </c>
      <c r="B1648">
        <v>2013</v>
      </c>
      <c r="C1648" s="14">
        <v>375.33333333333326</v>
      </c>
      <c r="D1648" s="14">
        <v>113.33333333333333</v>
      </c>
      <c r="E1648" s="14">
        <v>723.99999999999989</v>
      </c>
      <c r="F1648" s="14">
        <v>60.666666666666657</v>
      </c>
      <c r="G1648" s="14">
        <v>1179.9999999999998</v>
      </c>
      <c r="H1648" s="14">
        <v>147.33333333333334</v>
      </c>
      <c r="I1648" s="14">
        <v>1109.3333333333333</v>
      </c>
      <c r="K1648" s="15"/>
    </row>
    <row r="1649" spans="1:11" ht="16.5" x14ac:dyDescent="0.2">
      <c r="A1649" s="4" t="s">
        <v>147</v>
      </c>
      <c r="B1649">
        <v>2014</v>
      </c>
      <c r="C1649" s="14">
        <v>374.66666666666663</v>
      </c>
      <c r="D1649" s="14">
        <v>113.33333333333333</v>
      </c>
      <c r="E1649" s="14">
        <v>721.99999999999989</v>
      </c>
      <c r="F1649" s="14">
        <v>57.333333333333329</v>
      </c>
      <c r="G1649" s="14">
        <v>1194.6666666666665</v>
      </c>
      <c r="H1649" s="14">
        <v>150.66666666666666</v>
      </c>
      <c r="I1649" s="14">
        <v>1097.9999999999998</v>
      </c>
    </row>
    <row r="1650" spans="1:11" ht="16.5" x14ac:dyDescent="0.2">
      <c r="A1650" s="4" t="s">
        <v>147</v>
      </c>
      <c r="B1650">
        <v>2015</v>
      </c>
      <c r="C1650" s="14">
        <v>370.66666666666663</v>
      </c>
      <c r="D1650" s="14">
        <v>111.33333333333331</v>
      </c>
      <c r="E1650" s="14">
        <v>721.33333333333326</v>
      </c>
      <c r="F1650" s="14">
        <v>54.666666666666657</v>
      </c>
      <c r="G1650" s="14">
        <v>1216.6666666666665</v>
      </c>
      <c r="H1650" s="14">
        <v>152.66666666666666</v>
      </c>
      <c r="I1650" s="14">
        <v>1085.3333333333333</v>
      </c>
    </row>
    <row r="1651" spans="1:11" ht="16.5" x14ac:dyDescent="0.2">
      <c r="A1651" s="4" t="s">
        <v>147</v>
      </c>
      <c r="B1651">
        <v>2016</v>
      </c>
      <c r="C1651" s="14">
        <v>366.66666666666663</v>
      </c>
      <c r="D1651" s="14">
        <v>109.99999999999999</v>
      </c>
      <c r="E1651" s="14">
        <v>719.99999999999989</v>
      </c>
      <c r="F1651" s="14">
        <v>51.999999999999993</v>
      </c>
      <c r="G1651" s="14">
        <v>1238.6666666666667</v>
      </c>
      <c r="H1651" s="14">
        <v>153.33333333333331</v>
      </c>
      <c r="I1651" s="14">
        <v>1073.9999999999998</v>
      </c>
      <c r="K1651" s="15"/>
    </row>
    <row r="1652" spans="1:11" ht="16.5" x14ac:dyDescent="0.2">
      <c r="A1652" s="4" t="s">
        <v>146</v>
      </c>
      <c r="B1652">
        <v>2009</v>
      </c>
      <c r="C1652" s="14">
        <v>1529.9999999999998</v>
      </c>
      <c r="D1652" s="14">
        <v>405.99999999999994</v>
      </c>
      <c r="E1652" s="14">
        <v>4656.6666666666661</v>
      </c>
      <c r="F1652" s="14">
        <v>103.33333333333333</v>
      </c>
      <c r="G1652" s="14">
        <v>740.66666666666652</v>
      </c>
      <c r="H1652" s="14">
        <v>155.99999999999997</v>
      </c>
      <c r="I1652" s="14">
        <v>1726.6666666666665</v>
      </c>
    </row>
    <row r="1653" spans="1:11" ht="16.5" x14ac:dyDescent="0.2">
      <c r="A1653" s="4" t="s">
        <v>146</v>
      </c>
      <c r="B1653">
        <v>2010</v>
      </c>
      <c r="C1653" s="14">
        <v>1543.3333333333333</v>
      </c>
      <c r="D1653" s="14">
        <v>399.99999999999994</v>
      </c>
      <c r="E1653" s="14">
        <v>4636.6666666666661</v>
      </c>
      <c r="F1653" s="14">
        <v>97.999999999999986</v>
      </c>
      <c r="G1653" s="14">
        <v>768</v>
      </c>
      <c r="H1653" s="14">
        <v>160.66666666666666</v>
      </c>
      <c r="I1653" s="14">
        <v>1717.9999999999998</v>
      </c>
      <c r="K1653" s="15"/>
    </row>
    <row r="1654" spans="1:11" ht="16.5" x14ac:dyDescent="0.2">
      <c r="A1654" s="4" t="s">
        <v>146</v>
      </c>
      <c r="B1654">
        <v>2011</v>
      </c>
      <c r="C1654" s="14">
        <v>1553.3333333333333</v>
      </c>
      <c r="D1654" s="14">
        <v>394</v>
      </c>
      <c r="E1654" s="14">
        <v>4623.333333333333</v>
      </c>
      <c r="F1654" s="14">
        <v>96</v>
      </c>
      <c r="G1654" s="14">
        <v>783.99999999999989</v>
      </c>
      <c r="H1654" s="14">
        <v>162</v>
      </c>
      <c r="I1654" s="14">
        <v>1713.3333333333333</v>
      </c>
    </row>
    <row r="1655" spans="1:11" ht="16.5" x14ac:dyDescent="0.2">
      <c r="A1655" s="4" t="s">
        <v>146</v>
      </c>
      <c r="B1655">
        <v>2012</v>
      </c>
      <c r="C1655" s="14">
        <v>1569.3333333333333</v>
      </c>
      <c r="D1655" s="14">
        <v>388.66666666666663</v>
      </c>
      <c r="E1655" s="14">
        <v>4605.333333333333</v>
      </c>
      <c r="F1655" s="14">
        <v>93.333333333333329</v>
      </c>
      <c r="G1655" s="14">
        <v>796</v>
      </c>
      <c r="H1655" s="14">
        <v>164</v>
      </c>
      <c r="I1655" s="14">
        <v>1709.333333333333</v>
      </c>
    </row>
    <row r="1656" spans="1:11" ht="16.5" x14ac:dyDescent="0.2">
      <c r="A1656" s="4" t="s">
        <v>146</v>
      </c>
      <c r="B1656">
        <v>2013</v>
      </c>
      <c r="C1656" s="14">
        <v>1571.333333333333</v>
      </c>
      <c r="D1656" s="14">
        <v>387.33333333333331</v>
      </c>
      <c r="E1656" s="14">
        <v>4597.333333333333</v>
      </c>
      <c r="F1656" s="14">
        <v>92</v>
      </c>
      <c r="G1656" s="14">
        <v>807.33333333333326</v>
      </c>
      <c r="H1656" s="14">
        <v>164.66666666666666</v>
      </c>
      <c r="I1656" s="14">
        <v>1706.6666666666665</v>
      </c>
      <c r="K1656" s="15"/>
    </row>
    <row r="1657" spans="1:11" ht="16.5" x14ac:dyDescent="0.2">
      <c r="A1657" s="4" t="s">
        <v>146</v>
      </c>
      <c r="B1657">
        <v>2014</v>
      </c>
      <c r="C1657" s="14">
        <v>1570.6666666666665</v>
      </c>
      <c r="D1657" s="14">
        <v>385.33333333333326</v>
      </c>
      <c r="E1657" s="14">
        <v>4588.6666666666661</v>
      </c>
      <c r="F1657" s="14">
        <v>89.999999999999986</v>
      </c>
      <c r="G1657" s="14">
        <v>822</v>
      </c>
      <c r="H1657" s="14">
        <v>169.33333333333331</v>
      </c>
      <c r="I1657" s="14">
        <v>1702.6666666666665</v>
      </c>
    </row>
    <row r="1658" spans="1:11" ht="16.5" x14ac:dyDescent="0.2">
      <c r="A1658" s="4" t="s">
        <v>146</v>
      </c>
      <c r="B1658">
        <v>2015</v>
      </c>
      <c r="C1658" s="14">
        <v>1566</v>
      </c>
      <c r="D1658" s="14">
        <v>383.33333333333331</v>
      </c>
      <c r="E1658" s="14">
        <v>4584</v>
      </c>
      <c r="F1658" s="14">
        <v>89.333333333333329</v>
      </c>
      <c r="G1658" s="14">
        <v>838.66666666666663</v>
      </c>
      <c r="H1658" s="14">
        <v>174</v>
      </c>
      <c r="I1658" s="14">
        <v>1696.6666666666665</v>
      </c>
      <c r="K1658" s="15"/>
    </row>
    <row r="1659" spans="1:11" ht="16.5" x14ac:dyDescent="0.2">
      <c r="A1659" s="4" t="s">
        <v>146</v>
      </c>
      <c r="B1659">
        <v>2016</v>
      </c>
      <c r="C1659" s="14">
        <v>1562.6666666666665</v>
      </c>
      <c r="D1659" s="14">
        <v>381.33333333333331</v>
      </c>
      <c r="E1659" s="14">
        <v>4581.333333333333</v>
      </c>
      <c r="F1659" s="14">
        <v>87.333333333333329</v>
      </c>
      <c r="G1659" s="14">
        <v>852.66666666666663</v>
      </c>
      <c r="H1659" s="14">
        <v>176.66666666666666</v>
      </c>
      <c r="I1659" s="14">
        <v>1692</v>
      </c>
    </row>
    <row r="1660" spans="1:11" ht="16.5" x14ac:dyDescent="0.2">
      <c r="A1660" s="4" t="s">
        <v>145</v>
      </c>
      <c r="B1660">
        <v>2009</v>
      </c>
      <c r="C1660" s="14">
        <v>4416.6666666666661</v>
      </c>
      <c r="D1660" s="14">
        <v>1774</v>
      </c>
      <c r="E1660" s="14">
        <v>3047.9999999999995</v>
      </c>
      <c r="F1660" s="14">
        <v>118.66666666666666</v>
      </c>
      <c r="G1660" s="14">
        <v>1303.9999999999998</v>
      </c>
      <c r="H1660" s="14">
        <v>274</v>
      </c>
      <c r="I1660" s="14">
        <v>2106.6666666666665</v>
      </c>
    </row>
    <row r="1661" spans="1:11" ht="16.5" x14ac:dyDescent="0.2">
      <c r="A1661" s="4" t="s">
        <v>145</v>
      </c>
      <c r="B1661">
        <v>2010</v>
      </c>
      <c r="C1661" s="14">
        <v>4452.6666666666661</v>
      </c>
      <c r="D1661" s="14">
        <v>1738.6666666666665</v>
      </c>
      <c r="E1661" s="14">
        <v>3035.9999999999995</v>
      </c>
      <c r="F1661" s="14">
        <v>117.33333333333333</v>
      </c>
      <c r="G1661" s="14">
        <v>1310.6666666666667</v>
      </c>
      <c r="H1661" s="14">
        <v>280.66666666666663</v>
      </c>
      <c r="I1661" s="14">
        <v>2105.333333333333</v>
      </c>
      <c r="K1661" s="15"/>
    </row>
    <row r="1662" spans="1:11" ht="16.5" x14ac:dyDescent="0.2">
      <c r="A1662" s="4" t="s">
        <v>145</v>
      </c>
      <c r="B1662">
        <v>2011</v>
      </c>
      <c r="C1662" s="14">
        <v>4561.333333333333</v>
      </c>
      <c r="D1662" s="14">
        <v>1623.3333333333333</v>
      </c>
      <c r="E1662" s="14">
        <v>3027.333333333333</v>
      </c>
      <c r="F1662" s="14">
        <v>116.66666666666666</v>
      </c>
      <c r="G1662" s="14">
        <v>1316.6666666666665</v>
      </c>
      <c r="H1662" s="14">
        <v>285.99999999999994</v>
      </c>
      <c r="I1662" s="14">
        <v>2104.6666666666665</v>
      </c>
    </row>
    <row r="1663" spans="1:11" ht="16.5" x14ac:dyDescent="0.2">
      <c r="A1663" s="4" t="s">
        <v>145</v>
      </c>
      <c r="B1663">
        <v>2012</v>
      </c>
      <c r="C1663" s="14">
        <v>4603.333333333333</v>
      </c>
      <c r="D1663" s="14">
        <v>1574.6666666666665</v>
      </c>
      <c r="E1663" s="14">
        <v>3023.333333333333</v>
      </c>
      <c r="F1663" s="14">
        <v>116.66666666666666</v>
      </c>
      <c r="G1663" s="14">
        <v>1325.9999999999998</v>
      </c>
      <c r="H1663" s="14">
        <v>288</v>
      </c>
      <c r="I1663" s="14">
        <v>2102</v>
      </c>
      <c r="K1663" s="15"/>
    </row>
    <row r="1664" spans="1:11" ht="16.5" x14ac:dyDescent="0.2">
      <c r="A1664" s="4" t="s">
        <v>145</v>
      </c>
      <c r="B1664">
        <v>2013</v>
      </c>
      <c r="C1664" s="14">
        <v>4643.333333333333</v>
      </c>
      <c r="D1664" s="14">
        <v>1533.3333333333333</v>
      </c>
      <c r="E1664" s="14">
        <v>3008.6666666666665</v>
      </c>
      <c r="F1664" s="14">
        <v>115.99999999999999</v>
      </c>
      <c r="G1664" s="14">
        <v>1339.3333333333333</v>
      </c>
      <c r="H1664" s="14">
        <v>293.33333333333331</v>
      </c>
      <c r="I1664" s="14">
        <v>2095.9999999999995</v>
      </c>
    </row>
    <row r="1665" spans="1:11" ht="16.5" x14ac:dyDescent="0.2">
      <c r="A1665" s="4" t="s">
        <v>145</v>
      </c>
      <c r="B1665">
        <v>2014</v>
      </c>
      <c r="C1665" s="14">
        <v>4675.9999999999991</v>
      </c>
      <c r="D1665" s="14">
        <v>1493.9999999999998</v>
      </c>
      <c r="E1665" s="14">
        <v>2995.333333333333</v>
      </c>
      <c r="F1665" s="14">
        <v>115.33333333333333</v>
      </c>
      <c r="G1665" s="14">
        <v>1365.3333333333333</v>
      </c>
      <c r="H1665" s="14">
        <v>295.99999999999994</v>
      </c>
      <c r="I1665" s="14">
        <v>2091.333333333333</v>
      </c>
    </row>
    <row r="1666" spans="1:11" ht="16.5" x14ac:dyDescent="0.2">
      <c r="A1666" s="4" t="s">
        <v>145</v>
      </c>
      <c r="B1666">
        <v>2015</v>
      </c>
      <c r="C1666" s="14">
        <v>4674</v>
      </c>
      <c r="D1666" s="14">
        <v>1486.6666666666665</v>
      </c>
      <c r="E1666" s="14">
        <v>2989.9999999999995</v>
      </c>
      <c r="F1666" s="14">
        <v>114.66666666666666</v>
      </c>
      <c r="G1666" s="14">
        <v>1377.3333333333333</v>
      </c>
      <c r="H1666" s="14">
        <v>302.66666666666663</v>
      </c>
      <c r="I1666" s="14">
        <v>2089.333333333333</v>
      </c>
      <c r="K1666" s="15"/>
    </row>
    <row r="1667" spans="1:11" ht="16.5" x14ac:dyDescent="0.2">
      <c r="A1667" s="4" t="s">
        <v>145</v>
      </c>
      <c r="B1667">
        <v>2016</v>
      </c>
      <c r="C1667" s="14">
        <v>4669.333333333333</v>
      </c>
      <c r="D1667" s="14">
        <v>1483.3333333333333</v>
      </c>
      <c r="E1667" s="14">
        <v>2984</v>
      </c>
      <c r="F1667" s="14">
        <v>114.66666666666666</v>
      </c>
      <c r="G1667" s="14">
        <v>1391.9999999999998</v>
      </c>
      <c r="H1667" s="14">
        <v>304.66666666666669</v>
      </c>
      <c r="I1667" s="14">
        <v>2086.6666666666665</v>
      </c>
    </row>
    <row r="1668" spans="1:11" ht="16.5" x14ac:dyDescent="0.2">
      <c r="A1668" s="4" t="s">
        <v>144</v>
      </c>
      <c r="B1668">
        <v>2009</v>
      </c>
      <c r="C1668" s="14">
        <v>2248.6666666666665</v>
      </c>
      <c r="D1668" s="14">
        <v>2204.6666666666665</v>
      </c>
      <c r="E1668" s="14">
        <v>4791.9999999999991</v>
      </c>
      <c r="F1668" s="14">
        <v>86</v>
      </c>
      <c r="G1668" s="14">
        <v>1032.6666666666665</v>
      </c>
      <c r="H1668" s="14">
        <v>172</v>
      </c>
      <c r="I1668" s="14">
        <v>703.99999999999989</v>
      </c>
      <c r="K1668" s="15"/>
    </row>
    <row r="1669" spans="1:11" ht="16.5" x14ac:dyDescent="0.2">
      <c r="A1669" s="4" t="s">
        <v>144</v>
      </c>
      <c r="B1669">
        <v>2010</v>
      </c>
      <c r="C1669" s="14">
        <v>2255.9999999999995</v>
      </c>
      <c r="D1669" s="14">
        <v>2197.3333333333335</v>
      </c>
      <c r="E1669" s="14">
        <v>4788.6666666666661</v>
      </c>
      <c r="F1669" s="14">
        <v>84.666666666666657</v>
      </c>
      <c r="G1669" s="14">
        <v>1042.6666666666665</v>
      </c>
      <c r="H1669" s="14">
        <v>172.66666666666663</v>
      </c>
      <c r="I1669" s="14">
        <v>698.66666666666663</v>
      </c>
    </row>
    <row r="1670" spans="1:11" ht="16.5" x14ac:dyDescent="0.2">
      <c r="A1670" s="4" t="s">
        <v>144</v>
      </c>
      <c r="B1670">
        <v>2011</v>
      </c>
      <c r="C1670" s="14">
        <v>2264.6666666666665</v>
      </c>
      <c r="D1670" s="14">
        <v>2189.333333333333</v>
      </c>
      <c r="E1670" s="14">
        <v>4781.333333333333</v>
      </c>
      <c r="F1670" s="14">
        <v>83.999999999999986</v>
      </c>
      <c r="G1670" s="14">
        <v>1049.333333333333</v>
      </c>
      <c r="H1670" s="14">
        <v>172.66666666666663</v>
      </c>
      <c r="I1670" s="14">
        <v>699.33333333333326</v>
      </c>
    </row>
    <row r="1671" spans="1:11" ht="16.5" x14ac:dyDescent="0.2">
      <c r="A1671" s="4" t="s">
        <v>144</v>
      </c>
      <c r="B1671">
        <v>2012</v>
      </c>
      <c r="C1671" s="14">
        <v>2267.3333333333335</v>
      </c>
      <c r="D1671" s="14">
        <v>2182.6666666666665</v>
      </c>
      <c r="E1671" s="14">
        <v>4775.333333333333</v>
      </c>
      <c r="F1671" s="14">
        <v>83.333333333333329</v>
      </c>
      <c r="G1671" s="14">
        <v>1060</v>
      </c>
      <c r="H1671" s="14">
        <v>172.66666666666663</v>
      </c>
      <c r="I1671" s="14">
        <v>698</v>
      </c>
      <c r="K1671" s="15"/>
    </row>
    <row r="1672" spans="1:11" ht="16.5" x14ac:dyDescent="0.2">
      <c r="A1672" s="4" t="s">
        <v>144</v>
      </c>
      <c r="B1672">
        <v>2013</v>
      </c>
      <c r="C1672" s="14">
        <v>2273.333333333333</v>
      </c>
      <c r="D1672" s="14">
        <v>2170</v>
      </c>
      <c r="E1672" s="14">
        <v>4768</v>
      </c>
      <c r="F1672" s="14">
        <v>82.666666666666657</v>
      </c>
      <c r="G1672" s="14">
        <v>1066</v>
      </c>
      <c r="H1672" s="14">
        <v>181.33333333333331</v>
      </c>
      <c r="I1672" s="14">
        <v>697.33333333333326</v>
      </c>
    </row>
    <row r="1673" spans="1:11" ht="16.5" x14ac:dyDescent="0.2">
      <c r="A1673" s="4" t="s">
        <v>144</v>
      </c>
      <c r="B1673">
        <v>2014</v>
      </c>
      <c r="C1673" s="14">
        <v>2278.6666666666665</v>
      </c>
      <c r="D1673" s="14">
        <v>2161.333333333333</v>
      </c>
      <c r="E1673" s="14">
        <v>4761.9999999999991</v>
      </c>
      <c r="F1673" s="14">
        <v>81.333333333333314</v>
      </c>
      <c r="G1673" s="14">
        <v>1075.333333333333</v>
      </c>
      <c r="H1673" s="14">
        <v>185.33333333333331</v>
      </c>
      <c r="I1673" s="14">
        <v>696</v>
      </c>
      <c r="K1673" s="15"/>
    </row>
    <row r="1674" spans="1:11" ht="16.5" x14ac:dyDescent="0.2">
      <c r="A1674" s="4" t="s">
        <v>144</v>
      </c>
      <c r="B1674">
        <v>2015</v>
      </c>
      <c r="C1674" s="14">
        <v>2274</v>
      </c>
      <c r="D1674" s="14">
        <v>2152</v>
      </c>
      <c r="E1674" s="14">
        <v>4756.6666666666661</v>
      </c>
      <c r="F1674" s="14">
        <v>80.666666666666657</v>
      </c>
      <c r="G1674" s="14">
        <v>1086.6666666666665</v>
      </c>
      <c r="H1674" s="14">
        <v>197.33333333333331</v>
      </c>
      <c r="I1674" s="14">
        <v>693.99999999999989</v>
      </c>
    </row>
    <row r="1675" spans="1:11" ht="16.5" x14ac:dyDescent="0.2">
      <c r="A1675" s="4" t="s">
        <v>144</v>
      </c>
      <c r="B1675">
        <v>2016</v>
      </c>
      <c r="C1675" s="14">
        <v>2270.6666666666665</v>
      </c>
      <c r="D1675" s="14">
        <v>2147.9999999999995</v>
      </c>
      <c r="E1675" s="14">
        <v>4753.333333333333</v>
      </c>
      <c r="F1675" s="14">
        <v>80.666666666666657</v>
      </c>
      <c r="G1675" s="14">
        <v>1098</v>
      </c>
      <c r="H1675" s="14">
        <v>198.66666666666666</v>
      </c>
      <c r="I1675" s="14">
        <v>693.33333333333326</v>
      </c>
    </row>
    <row r="1676" spans="1:11" ht="16.5" x14ac:dyDescent="0.2">
      <c r="A1676" s="4" t="s">
        <v>143</v>
      </c>
      <c r="B1676">
        <v>2009</v>
      </c>
      <c r="C1676" s="14">
        <v>1421.333333333333</v>
      </c>
      <c r="D1676" s="14">
        <v>789.99999999999989</v>
      </c>
      <c r="E1676" s="14">
        <v>10505.333333333332</v>
      </c>
      <c r="F1676" s="14">
        <v>207.99999999999997</v>
      </c>
      <c r="G1676" s="14">
        <v>661.99999999999989</v>
      </c>
      <c r="H1676" s="14">
        <v>125.33333333333333</v>
      </c>
      <c r="I1676" s="14">
        <v>1003.9999999999999</v>
      </c>
      <c r="K1676" s="15"/>
    </row>
    <row r="1677" spans="1:11" ht="16.5" x14ac:dyDescent="0.2">
      <c r="A1677" s="4" t="s">
        <v>143</v>
      </c>
      <c r="B1677">
        <v>2010</v>
      </c>
      <c r="C1677" s="14">
        <v>1469.3333333333333</v>
      </c>
      <c r="D1677" s="14">
        <v>773.33333333333326</v>
      </c>
      <c r="E1677" s="14">
        <v>10476.666666666666</v>
      </c>
      <c r="F1677" s="14">
        <v>185.99999999999997</v>
      </c>
      <c r="G1677" s="14">
        <v>680.66666666666652</v>
      </c>
      <c r="H1677" s="14">
        <v>133.33333333333331</v>
      </c>
      <c r="I1677" s="14">
        <v>993.99999999999989</v>
      </c>
    </row>
    <row r="1678" spans="1:11" ht="16.5" x14ac:dyDescent="0.2">
      <c r="A1678" s="4" t="s">
        <v>143</v>
      </c>
      <c r="B1678">
        <v>2011</v>
      </c>
      <c r="C1678" s="14">
        <v>1489.3333333333333</v>
      </c>
      <c r="D1678" s="14">
        <v>762.66666666666663</v>
      </c>
      <c r="E1678" s="14">
        <v>10459.999999999998</v>
      </c>
      <c r="F1678" s="14">
        <v>177.33333333333331</v>
      </c>
      <c r="G1678" s="14">
        <v>691.33333333333314</v>
      </c>
      <c r="H1678" s="14">
        <v>141.33333333333331</v>
      </c>
      <c r="I1678" s="14">
        <v>989.33333333333326</v>
      </c>
      <c r="K1678" s="15"/>
    </row>
    <row r="1679" spans="1:11" ht="16.5" x14ac:dyDescent="0.2">
      <c r="A1679" s="4" t="s">
        <v>143</v>
      </c>
      <c r="B1679">
        <v>2012</v>
      </c>
      <c r="C1679" s="14">
        <v>1493.9999999999998</v>
      </c>
      <c r="D1679" s="14">
        <v>760.66666666666652</v>
      </c>
      <c r="E1679" s="14">
        <v>10451.333333333332</v>
      </c>
      <c r="F1679" s="14">
        <v>175.33333333333331</v>
      </c>
      <c r="G1679" s="14">
        <v>702</v>
      </c>
      <c r="H1679" s="14">
        <v>143.33333333333331</v>
      </c>
      <c r="I1679" s="14">
        <v>987.33333333333326</v>
      </c>
    </row>
    <row r="1680" spans="1:11" ht="16.5" x14ac:dyDescent="0.2">
      <c r="A1680" s="4" t="s">
        <v>143</v>
      </c>
      <c r="B1680">
        <v>2013</v>
      </c>
      <c r="C1680" s="14">
        <v>1492</v>
      </c>
      <c r="D1680" s="14">
        <v>758.66666666666663</v>
      </c>
      <c r="E1680" s="14">
        <v>10449.333333333332</v>
      </c>
      <c r="F1680" s="14">
        <v>174.66666666666666</v>
      </c>
      <c r="G1680" s="14">
        <v>712</v>
      </c>
      <c r="H1680" s="14">
        <v>144</v>
      </c>
      <c r="I1680" s="14">
        <v>982.66666666666663</v>
      </c>
    </row>
    <row r="1681" spans="1:11" ht="16.5" x14ac:dyDescent="0.2">
      <c r="A1681" s="4" t="s">
        <v>143</v>
      </c>
      <c r="B1681">
        <v>2014</v>
      </c>
      <c r="C1681" s="14">
        <v>1489.9999999999998</v>
      </c>
      <c r="D1681" s="14">
        <v>754.66666666666663</v>
      </c>
      <c r="E1681" s="14">
        <v>10439.333333333332</v>
      </c>
      <c r="F1681" s="14">
        <v>172</v>
      </c>
      <c r="G1681" s="14">
        <v>723.99999999999989</v>
      </c>
      <c r="H1681" s="14">
        <v>156.66666666666666</v>
      </c>
      <c r="I1681" s="14">
        <v>976</v>
      </c>
      <c r="K1681" s="15"/>
    </row>
    <row r="1682" spans="1:11" ht="16.5" x14ac:dyDescent="0.2">
      <c r="A1682" s="4" t="s">
        <v>143</v>
      </c>
      <c r="B1682">
        <v>2015</v>
      </c>
      <c r="C1682" s="14">
        <v>1489.3333333333333</v>
      </c>
      <c r="D1682" s="14">
        <v>752.66666666666663</v>
      </c>
      <c r="E1682" s="14">
        <v>10436</v>
      </c>
      <c r="F1682" s="14">
        <v>169.99999999999997</v>
      </c>
      <c r="G1682" s="14">
        <v>736.66666666666663</v>
      </c>
      <c r="H1682" s="14">
        <v>157.99999999999997</v>
      </c>
      <c r="I1682" s="14">
        <v>971.33333333333314</v>
      </c>
    </row>
    <row r="1683" spans="1:11" ht="16.5" x14ac:dyDescent="0.2">
      <c r="A1683" s="4" t="s">
        <v>143</v>
      </c>
      <c r="B1683">
        <v>2016</v>
      </c>
      <c r="C1683" s="14">
        <v>1485.3333333333333</v>
      </c>
      <c r="D1683" s="14">
        <v>749.99999999999989</v>
      </c>
      <c r="E1683" s="14">
        <v>10431.333333333332</v>
      </c>
      <c r="F1683" s="14">
        <v>168.66666666666666</v>
      </c>
      <c r="G1683" s="14">
        <v>753.99999999999989</v>
      </c>
      <c r="H1683" s="14">
        <v>160.66666666666666</v>
      </c>
      <c r="I1683" s="14">
        <v>965.33333333333337</v>
      </c>
      <c r="K1683" s="15"/>
    </row>
    <row r="1684" spans="1:11" ht="16.5" x14ac:dyDescent="0.2">
      <c r="A1684" s="4" t="s">
        <v>142</v>
      </c>
      <c r="B1684">
        <v>2009</v>
      </c>
      <c r="C1684" s="14">
        <v>1408.6666666666665</v>
      </c>
      <c r="D1684" s="14">
        <v>943.33333333333326</v>
      </c>
      <c r="E1684" s="14">
        <v>6791.9999999999991</v>
      </c>
      <c r="F1684" s="14">
        <v>174.66666666666666</v>
      </c>
      <c r="G1684" s="14">
        <v>649.33333333333326</v>
      </c>
      <c r="H1684" s="14">
        <v>177.33333333333331</v>
      </c>
      <c r="I1684" s="14">
        <v>890.66666666666652</v>
      </c>
    </row>
    <row r="1685" spans="1:11" ht="16.5" x14ac:dyDescent="0.2">
      <c r="A1685" s="4" t="s">
        <v>142</v>
      </c>
      <c r="B1685">
        <v>2010</v>
      </c>
      <c r="C1685" s="14">
        <v>1409.3333333333333</v>
      </c>
      <c r="D1685" s="14">
        <v>934.66666666666652</v>
      </c>
      <c r="E1685" s="14">
        <v>6781.9999999999991</v>
      </c>
      <c r="F1685" s="14">
        <v>168.66666666666666</v>
      </c>
      <c r="G1685" s="14">
        <v>685.33333333333326</v>
      </c>
      <c r="H1685" s="14">
        <v>183.33333333333331</v>
      </c>
      <c r="I1685" s="14">
        <v>886</v>
      </c>
    </row>
    <row r="1686" spans="1:11" ht="16.5" x14ac:dyDescent="0.2">
      <c r="A1686" s="4" t="s">
        <v>142</v>
      </c>
      <c r="B1686">
        <v>2011</v>
      </c>
      <c r="C1686" s="14">
        <v>1412.6666666666665</v>
      </c>
      <c r="D1686" s="14">
        <v>922</v>
      </c>
      <c r="E1686" s="14">
        <v>6769.9999999999991</v>
      </c>
      <c r="F1686" s="14">
        <v>160</v>
      </c>
      <c r="G1686" s="14">
        <v>723.33333333333326</v>
      </c>
      <c r="H1686" s="14">
        <v>194</v>
      </c>
      <c r="I1686" s="14">
        <v>878.66666666666663</v>
      </c>
      <c r="K1686" s="15"/>
    </row>
    <row r="1687" spans="1:11" ht="16.5" x14ac:dyDescent="0.2">
      <c r="A1687" s="4" t="s">
        <v>142</v>
      </c>
      <c r="B1687">
        <v>2012</v>
      </c>
      <c r="C1687" s="14">
        <v>1410.6666666666665</v>
      </c>
      <c r="D1687" s="14">
        <v>917.33333333333326</v>
      </c>
      <c r="E1687" s="14">
        <v>6765.3333333333321</v>
      </c>
      <c r="F1687" s="14">
        <v>156.66666666666666</v>
      </c>
      <c r="G1687" s="14">
        <v>741.33333333333314</v>
      </c>
      <c r="H1687" s="14">
        <v>199.33333333333331</v>
      </c>
      <c r="I1687" s="14">
        <v>874.66666666666652</v>
      </c>
    </row>
    <row r="1688" spans="1:11" ht="16.5" x14ac:dyDescent="0.2">
      <c r="A1688" s="4" t="s">
        <v>142</v>
      </c>
      <c r="B1688">
        <v>2013</v>
      </c>
      <c r="C1688" s="14">
        <v>1409.9999999999998</v>
      </c>
      <c r="D1688" s="14">
        <v>912.66666666666663</v>
      </c>
      <c r="E1688" s="14">
        <v>6759.333333333333</v>
      </c>
      <c r="F1688" s="14">
        <v>152.66666666666666</v>
      </c>
      <c r="G1688" s="14">
        <v>762.66666666666652</v>
      </c>
      <c r="H1688" s="14">
        <v>201.33333333333331</v>
      </c>
      <c r="I1688" s="14">
        <v>871.33333333333314</v>
      </c>
      <c r="K1688" s="15"/>
    </row>
    <row r="1689" spans="1:11" ht="16.5" x14ac:dyDescent="0.2">
      <c r="A1689" s="4" t="s">
        <v>142</v>
      </c>
      <c r="B1689">
        <v>2014</v>
      </c>
      <c r="C1689" s="14">
        <v>1407.9999999999998</v>
      </c>
      <c r="D1689" s="14">
        <v>906</v>
      </c>
      <c r="E1689" s="14">
        <v>6751.333333333333</v>
      </c>
      <c r="F1689" s="14">
        <v>147.99999999999997</v>
      </c>
      <c r="G1689" s="14">
        <v>789.33333333333326</v>
      </c>
      <c r="H1689" s="14">
        <v>206.66666666666666</v>
      </c>
      <c r="I1689" s="14">
        <v>866</v>
      </c>
    </row>
    <row r="1690" spans="1:11" ht="16.5" x14ac:dyDescent="0.2">
      <c r="A1690" s="4" t="s">
        <v>142</v>
      </c>
      <c r="B1690">
        <v>2015</v>
      </c>
      <c r="C1690" s="14">
        <v>1402.6666666666665</v>
      </c>
      <c r="D1690" s="14">
        <v>902</v>
      </c>
      <c r="E1690" s="14">
        <v>6745.3333333333321</v>
      </c>
      <c r="F1690" s="14">
        <v>144.66666666666666</v>
      </c>
      <c r="G1690" s="14">
        <v>815.33333333333326</v>
      </c>
      <c r="H1690" s="14">
        <v>207.99999999999997</v>
      </c>
      <c r="I1690" s="14">
        <v>862.66666666666663</v>
      </c>
    </row>
    <row r="1691" spans="1:11" ht="16.5" x14ac:dyDescent="0.2">
      <c r="A1691" s="4" t="s">
        <v>142</v>
      </c>
      <c r="B1691">
        <v>2016</v>
      </c>
      <c r="C1691" s="14">
        <v>1396</v>
      </c>
      <c r="D1691" s="14">
        <v>896.66666666666663</v>
      </c>
      <c r="E1691" s="14">
        <v>6736.6666666666661</v>
      </c>
      <c r="F1691" s="14">
        <v>141.33333333333331</v>
      </c>
      <c r="G1691" s="14">
        <v>837.33333333333326</v>
      </c>
      <c r="H1691" s="14">
        <v>217.33333333333331</v>
      </c>
      <c r="I1691" s="14">
        <v>859.33333333333326</v>
      </c>
      <c r="K1691" s="15"/>
    </row>
    <row r="1692" spans="1:11" ht="16.5" x14ac:dyDescent="0.2">
      <c r="A1692" s="4" t="s">
        <v>141</v>
      </c>
      <c r="B1692">
        <v>2009</v>
      </c>
      <c r="C1692" s="14">
        <v>1593.3333333333333</v>
      </c>
      <c r="D1692" s="14">
        <v>496.66666666666663</v>
      </c>
      <c r="E1692" s="14">
        <v>11868</v>
      </c>
      <c r="F1692" s="14">
        <v>353.33333333333331</v>
      </c>
      <c r="G1692" s="14">
        <v>736.66666666666674</v>
      </c>
      <c r="H1692" s="14">
        <v>161.33333333333331</v>
      </c>
      <c r="I1692" s="14">
        <v>460.66666666666657</v>
      </c>
    </row>
    <row r="1693" spans="1:11" ht="16.5" x14ac:dyDescent="0.2">
      <c r="A1693" s="4" t="s">
        <v>141</v>
      </c>
      <c r="B1693">
        <v>2010</v>
      </c>
      <c r="C1693" s="14">
        <v>1630.6666666666665</v>
      </c>
      <c r="D1693" s="14">
        <v>488.66666666666663</v>
      </c>
      <c r="E1693" s="14">
        <v>11829.999999999998</v>
      </c>
      <c r="F1693" s="14">
        <v>351.33333333333331</v>
      </c>
      <c r="G1693" s="14">
        <v>742</v>
      </c>
      <c r="H1693" s="14">
        <v>163.33333333333331</v>
      </c>
      <c r="I1693" s="14">
        <v>460.66666666666657</v>
      </c>
      <c r="K1693" s="15"/>
    </row>
    <row r="1694" spans="1:11" ht="16.5" x14ac:dyDescent="0.2">
      <c r="A1694" s="4" t="s">
        <v>141</v>
      </c>
      <c r="B1694">
        <v>2011</v>
      </c>
      <c r="C1694" s="14">
        <v>1640.6666666666665</v>
      </c>
      <c r="D1694" s="14">
        <v>484.66666666666663</v>
      </c>
      <c r="E1694" s="14">
        <v>11818.666666666666</v>
      </c>
      <c r="F1694" s="14">
        <v>347.33333333333331</v>
      </c>
      <c r="G1694" s="14">
        <v>746</v>
      </c>
      <c r="H1694" s="14">
        <v>166.66666666666666</v>
      </c>
      <c r="I1694" s="14">
        <v>459.99999999999994</v>
      </c>
    </row>
    <row r="1695" spans="1:11" ht="16.5" x14ac:dyDescent="0.2">
      <c r="A1695" s="4" t="s">
        <v>141</v>
      </c>
      <c r="B1695">
        <v>2012</v>
      </c>
      <c r="C1695" s="14">
        <v>1641.333333333333</v>
      </c>
      <c r="D1695" s="14">
        <v>484.66666666666663</v>
      </c>
      <c r="E1695" s="14">
        <v>11814.666666666666</v>
      </c>
      <c r="F1695" s="14">
        <v>346.66666666666663</v>
      </c>
      <c r="G1695" s="14">
        <v>750.66666666666652</v>
      </c>
      <c r="H1695" s="14">
        <v>166.66666666666666</v>
      </c>
      <c r="I1695" s="14">
        <v>459.33333333333331</v>
      </c>
    </row>
    <row r="1696" spans="1:11" ht="16.5" x14ac:dyDescent="0.2">
      <c r="A1696" s="4" t="s">
        <v>141</v>
      </c>
      <c r="B1696">
        <v>2013</v>
      </c>
      <c r="C1696" s="14">
        <v>1641.333333333333</v>
      </c>
      <c r="D1696" s="14">
        <v>483.33333333333331</v>
      </c>
      <c r="E1696" s="14">
        <v>11803.999999999998</v>
      </c>
      <c r="F1696" s="14">
        <v>345.33333333333326</v>
      </c>
      <c r="G1696" s="14">
        <v>756</v>
      </c>
      <c r="H1696" s="14">
        <v>175.33333333333331</v>
      </c>
      <c r="I1696" s="14">
        <v>458.66666666666663</v>
      </c>
      <c r="K1696" s="15"/>
    </row>
    <row r="1697" spans="1:11" ht="16.5" x14ac:dyDescent="0.2">
      <c r="A1697" s="4" t="s">
        <v>141</v>
      </c>
      <c r="B1697">
        <v>2014</v>
      </c>
      <c r="C1697" s="14">
        <v>1641.333333333333</v>
      </c>
      <c r="D1697" s="14">
        <v>479.99999999999994</v>
      </c>
      <c r="E1697" s="14">
        <v>11792.666666666666</v>
      </c>
      <c r="F1697" s="14">
        <v>341.99999999999994</v>
      </c>
      <c r="G1697" s="14">
        <v>770.66666666666652</v>
      </c>
      <c r="H1697" s="14">
        <v>179.99999999999997</v>
      </c>
      <c r="I1697" s="14">
        <v>458</v>
      </c>
    </row>
    <row r="1698" spans="1:11" ht="16.5" x14ac:dyDescent="0.2">
      <c r="A1698" s="4" t="s">
        <v>141</v>
      </c>
      <c r="B1698">
        <v>2015</v>
      </c>
      <c r="C1698" s="14">
        <v>1636</v>
      </c>
      <c r="D1698" s="14">
        <v>478</v>
      </c>
      <c r="E1698" s="14">
        <v>11784.666666666666</v>
      </c>
      <c r="F1698" s="14">
        <v>339.99999999999994</v>
      </c>
      <c r="G1698" s="14">
        <v>783.33333333333314</v>
      </c>
      <c r="H1698" s="14">
        <v>185.33333333333331</v>
      </c>
      <c r="I1698" s="14">
        <v>456.66666666666663</v>
      </c>
      <c r="K1698" s="15"/>
    </row>
    <row r="1699" spans="1:11" ht="16.5" x14ac:dyDescent="0.2">
      <c r="A1699" s="4" t="s">
        <v>141</v>
      </c>
      <c r="B1699">
        <v>2016</v>
      </c>
      <c r="C1699" s="14">
        <v>1629.9999999999998</v>
      </c>
      <c r="D1699" s="14">
        <v>476.66666666666663</v>
      </c>
      <c r="E1699" s="14">
        <v>11778</v>
      </c>
      <c r="F1699" s="14">
        <v>339.33333333333331</v>
      </c>
      <c r="G1699" s="14">
        <v>793.33333333333326</v>
      </c>
      <c r="H1699" s="14">
        <v>192</v>
      </c>
      <c r="I1699" s="14">
        <v>456</v>
      </c>
    </row>
    <row r="1700" spans="1:11" ht="16.5" x14ac:dyDescent="0.2">
      <c r="A1700" s="4" t="s">
        <v>140</v>
      </c>
      <c r="B1700">
        <v>2009</v>
      </c>
      <c r="C1700" s="14">
        <v>927.99999999999989</v>
      </c>
      <c r="D1700" s="14">
        <v>406.66666666666663</v>
      </c>
      <c r="E1700" s="14">
        <v>2481.333333333333</v>
      </c>
      <c r="F1700" s="14">
        <v>144.66666666666666</v>
      </c>
      <c r="G1700" s="14">
        <v>267.99999999999994</v>
      </c>
      <c r="H1700" s="14">
        <v>57.333333333333329</v>
      </c>
      <c r="I1700" s="14">
        <v>491.33333333333331</v>
      </c>
    </row>
    <row r="1701" spans="1:11" ht="16.5" x14ac:dyDescent="0.2">
      <c r="A1701" s="4" t="s">
        <v>140</v>
      </c>
      <c r="B1701">
        <v>2010</v>
      </c>
      <c r="C1701" s="14">
        <v>945.33333333333337</v>
      </c>
      <c r="D1701" s="14">
        <v>401.33333333333331</v>
      </c>
      <c r="E1701" s="14">
        <v>2472</v>
      </c>
      <c r="F1701" s="14">
        <v>140.66666666666666</v>
      </c>
      <c r="G1701" s="14">
        <v>270.66666666666663</v>
      </c>
      <c r="H1701" s="14">
        <v>57.333333333333329</v>
      </c>
      <c r="I1701" s="14">
        <v>489.99999999999994</v>
      </c>
      <c r="K1701" s="15"/>
    </row>
    <row r="1702" spans="1:11" ht="16.5" x14ac:dyDescent="0.2">
      <c r="A1702" s="4" t="s">
        <v>140</v>
      </c>
      <c r="B1702">
        <v>2011</v>
      </c>
      <c r="C1702" s="14">
        <v>954.66666666666652</v>
      </c>
      <c r="D1702" s="14">
        <v>399.99999999999994</v>
      </c>
      <c r="E1702" s="14">
        <v>2465.333333333333</v>
      </c>
      <c r="F1702" s="14">
        <v>139.33333333333331</v>
      </c>
      <c r="G1702" s="14">
        <v>273.33333333333331</v>
      </c>
      <c r="H1702" s="14">
        <v>57.999999999999993</v>
      </c>
      <c r="I1702" s="14">
        <v>491.33333333333331</v>
      </c>
    </row>
    <row r="1703" spans="1:11" ht="16.5" x14ac:dyDescent="0.2">
      <c r="A1703" s="4" t="s">
        <v>140</v>
      </c>
      <c r="B1703">
        <v>2012</v>
      </c>
      <c r="C1703" s="14">
        <v>978.66666666666663</v>
      </c>
      <c r="D1703" s="14">
        <v>390.66666666666663</v>
      </c>
      <c r="E1703" s="14">
        <v>2447.3333333333335</v>
      </c>
      <c r="F1703" s="14">
        <v>137.33333333333334</v>
      </c>
      <c r="G1703" s="14">
        <v>275.99999999999994</v>
      </c>
      <c r="H1703" s="14">
        <v>57.999999999999993</v>
      </c>
      <c r="I1703" s="14">
        <v>491.33333333333331</v>
      </c>
      <c r="K1703" s="15"/>
    </row>
    <row r="1704" spans="1:11" ht="16.5" x14ac:dyDescent="0.2">
      <c r="A1704" s="4" t="s">
        <v>140</v>
      </c>
      <c r="B1704">
        <v>2013</v>
      </c>
      <c r="C1704" s="14">
        <v>982</v>
      </c>
      <c r="D1704" s="14">
        <v>389.33333333333331</v>
      </c>
      <c r="E1704" s="14">
        <v>2442.6666666666665</v>
      </c>
      <c r="F1704" s="14">
        <v>136.66666666666666</v>
      </c>
      <c r="G1704" s="14">
        <v>280</v>
      </c>
      <c r="H1704" s="14">
        <v>58.666666666666664</v>
      </c>
      <c r="I1704" s="14">
        <v>490.66666666666657</v>
      </c>
    </row>
    <row r="1705" spans="1:11" ht="16.5" x14ac:dyDescent="0.2">
      <c r="A1705" s="4" t="s">
        <v>140</v>
      </c>
      <c r="B1705">
        <v>2014</v>
      </c>
      <c r="C1705" s="14">
        <v>978.66666666666663</v>
      </c>
      <c r="D1705" s="14">
        <v>387.33333333333331</v>
      </c>
      <c r="E1705" s="14">
        <v>2435.9999999999995</v>
      </c>
      <c r="F1705" s="14">
        <v>135.99999999999997</v>
      </c>
      <c r="G1705" s="14">
        <v>286.66666666666663</v>
      </c>
      <c r="H1705" s="14">
        <v>65.333333333333329</v>
      </c>
      <c r="I1705" s="14">
        <v>489.99999999999994</v>
      </c>
    </row>
    <row r="1706" spans="1:11" ht="16.5" x14ac:dyDescent="0.2">
      <c r="A1706" s="4" t="s">
        <v>140</v>
      </c>
      <c r="B1706">
        <v>2015</v>
      </c>
      <c r="C1706" s="14">
        <v>975.33333333333337</v>
      </c>
      <c r="D1706" s="14">
        <v>387.33333333333331</v>
      </c>
      <c r="E1706" s="14">
        <v>2432.6666666666665</v>
      </c>
      <c r="F1706" s="14">
        <v>135.33333333333331</v>
      </c>
      <c r="G1706" s="14">
        <v>295.33333333333331</v>
      </c>
      <c r="H1706" s="14">
        <v>65.333333333333329</v>
      </c>
      <c r="I1706" s="14">
        <v>489.33333333333331</v>
      </c>
      <c r="K1706" s="15"/>
    </row>
    <row r="1707" spans="1:11" ht="16.5" x14ac:dyDescent="0.2">
      <c r="A1707" s="4" t="s">
        <v>140</v>
      </c>
      <c r="B1707">
        <v>2016</v>
      </c>
      <c r="C1707" s="14">
        <v>970.66666666666652</v>
      </c>
      <c r="D1707" s="14">
        <v>385.99999999999994</v>
      </c>
      <c r="E1707" s="14">
        <v>2431.333333333333</v>
      </c>
      <c r="F1707" s="14">
        <v>134.66666666666666</v>
      </c>
      <c r="G1707" s="14">
        <v>303.99999999999994</v>
      </c>
      <c r="H1707" s="14">
        <v>66</v>
      </c>
      <c r="I1707" s="14">
        <v>488</v>
      </c>
    </row>
    <row r="1708" spans="1:11" ht="16.5" x14ac:dyDescent="0.2">
      <c r="A1708" s="4" t="s">
        <v>139</v>
      </c>
      <c r="B1708">
        <v>2009</v>
      </c>
      <c r="C1708" s="14">
        <v>1382</v>
      </c>
      <c r="D1708" s="14">
        <v>418</v>
      </c>
      <c r="E1708" s="14">
        <v>11961.999999999998</v>
      </c>
      <c r="F1708" s="14">
        <v>310</v>
      </c>
      <c r="G1708" s="14">
        <v>368.66666666666663</v>
      </c>
      <c r="H1708" s="14">
        <v>134</v>
      </c>
      <c r="I1708" s="14">
        <v>711.99999999999989</v>
      </c>
      <c r="K1708" s="15"/>
    </row>
    <row r="1709" spans="1:11" ht="16.5" x14ac:dyDescent="0.2">
      <c r="A1709" s="4" t="s">
        <v>139</v>
      </c>
      <c r="B1709">
        <v>2010</v>
      </c>
      <c r="C1709" s="14">
        <v>1394.6666666666665</v>
      </c>
      <c r="D1709" s="14">
        <v>412.66666666666663</v>
      </c>
      <c r="E1709" s="14">
        <v>11952.666666666666</v>
      </c>
      <c r="F1709" s="14">
        <v>305.99999999999994</v>
      </c>
      <c r="G1709" s="14">
        <v>375.33333333333331</v>
      </c>
      <c r="H1709" s="14">
        <v>134.66666666666666</v>
      </c>
      <c r="I1709" s="14">
        <v>711.33333333333326</v>
      </c>
    </row>
    <row r="1710" spans="1:11" ht="16.5" x14ac:dyDescent="0.2">
      <c r="A1710" s="4" t="s">
        <v>139</v>
      </c>
      <c r="B1710">
        <v>2011</v>
      </c>
      <c r="C1710" s="14">
        <v>1412</v>
      </c>
      <c r="D1710" s="14">
        <v>409.33333333333331</v>
      </c>
      <c r="E1710" s="14">
        <v>11933.999999999998</v>
      </c>
      <c r="F1710" s="14">
        <v>303.33333333333331</v>
      </c>
      <c r="G1710" s="14">
        <v>382</v>
      </c>
      <c r="H1710" s="14">
        <v>135.99999999999997</v>
      </c>
      <c r="I1710" s="14">
        <v>710.66666666666652</v>
      </c>
    </row>
    <row r="1711" spans="1:11" ht="16.5" x14ac:dyDescent="0.2">
      <c r="A1711" s="4" t="s">
        <v>139</v>
      </c>
      <c r="B1711">
        <v>2012</v>
      </c>
      <c r="C1711" s="14">
        <v>1419.3333333333333</v>
      </c>
      <c r="D1711" s="14">
        <v>406.66666666666663</v>
      </c>
      <c r="E1711" s="14">
        <v>11926</v>
      </c>
      <c r="F1711" s="14">
        <v>302.66666666666663</v>
      </c>
      <c r="G1711" s="14">
        <v>386</v>
      </c>
      <c r="H1711" s="14">
        <v>135.99999999999997</v>
      </c>
      <c r="I1711" s="14">
        <v>709.99999999999989</v>
      </c>
      <c r="K1711" s="15"/>
    </row>
    <row r="1712" spans="1:11" ht="16.5" x14ac:dyDescent="0.2">
      <c r="A1712" s="4" t="s">
        <v>139</v>
      </c>
      <c r="B1712">
        <v>2013</v>
      </c>
      <c r="C1712" s="14">
        <v>1432.6666666666665</v>
      </c>
      <c r="D1712" s="14">
        <v>400.66666666666663</v>
      </c>
      <c r="E1712" s="14">
        <v>11902.666666666666</v>
      </c>
      <c r="F1712" s="14">
        <v>300.66666666666663</v>
      </c>
      <c r="G1712" s="14">
        <v>395.33333333333331</v>
      </c>
      <c r="H1712" s="14">
        <v>145.99999999999997</v>
      </c>
      <c r="I1712" s="14">
        <v>709.33333333333326</v>
      </c>
    </row>
    <row r="1713" spans="1:11" ht="16.5" x14ac:dyDescent="0.2">
      <c r="A1713" s="4" t="s">
        <v>139</v>
      </c>
      <c r="B1713">
        <v>2014</v>
      </c>
      <c r="C1713" s="14">
        <v>1447.3333333333333</v>
      </c>
      <c r="D1713" s="14">
        <v>394.66666666666663</v>
      </c>
      <c r="E1713" s="14">
        <v>11885.333333333332</v>
      </c>
      <c r="F1713" s="14">
        <v>295.99999999999994</v>
      </c>
      <c r="G1713" s="14">
        <v>408.66666666666663</v>
      </c>
      <c r="H1713" s="14">
        <v>147.99999999999997</v>
      </c>
      <c r="I1713" s="14">
        <v>708</v>
      </c>
      <c r="K1713" s="15"/>
    </row>
    <row r="1714" spans="1:11" ht="16.5" x14ac:dyDescent="0.2">
      <c r="A1714" s="4" t="s">
        <v>139</v>
      </c>
      <c r="B1714">
        <v>2015</v>
      </c>
      <c r="C1714" s="14">
        <v>1443.3333333333333</v>
      </c>
      <c r="D1714" s="14">
        <v>389.99999999999994</v>
      </c>
      <c r="E1714" s="14">
        <v>11878.666666666666</v>
      </c>
      <c r="F1714" s="14">
        <v>294</v>
      </c>
      <c r="G1714" s="14">
        <v>425.99999999999994</v>
      </c>
      <c r="H1714" s="14">
        <v>152.66666666666666</v>
      </c>
      <c r="I1714" s="14">
        <v>706.66666666666663</v>
      </c>
    </row>
    <row r="1715" spans="1:11" ht="16.5" x14ac:dyDescent="0.2">
      <c r="A1715" s="4" t="s">
        <v>139</v>
      </c>
      <c r="B1715">
        <v>2016</v>
      </c>
      <c r="C1715" s="14">
        <v>1441.333333333333</v>
      </c>
      <c r="D1715" s="14">
        <v>387.33333333333331</v>
      </c>
      <c r="E1715" s="14">
        <v>11871.333333333332</v>
      </c>
      <c r="F1715" s="14">
        <v>292.66666666666663</v>
      </c>
      <c r="G1715" s="14">
        <v>437.33333333333337</v>
      </c>
      <c r="H1715" s="14">
        <v>155.99999999999997</v>
      </c>
      <c r="I1715" s="14">
        <v>706</v>
      </c>
    </row>
    <row r="1716" spans="1:11" ht="16.5" x14ac:dyDescent="0.2">
      <c r="A1716" s="4" t="s">
        <v>138</v>
      </c>
      <c r="B1716">
        <v>2009</v>
      </c>
      <c r="C1716" s="14">
        <v>1357.3333333333333</v>
      </c>
      <c r="D1716" s="14">
        <v>864.66666666666652</v>
      </c>
      <c r="E1716" s="14">
        <v>4154</v>
      </c>
      <c r="F1716" s="14">
        <v>136.66666666666666</v>
      </c>
      <c r="G1716" s="14">
        <v>460.66666666666657</v>
      </c>
      <c r="H1716" s="14">
        <v>103.33333333333333</v>
      </c>
      <c r="I1716" s="14">
        <v>751.33333333333326</v>
      </c>
      <c r="K1716" s="15"/>
    </row>
    <row r="1717" spans="1:11" ht="16.5" x14ac:dyDescent="0.2">
      <c r="A1717" s="4" t="s">
        <v>138</v>
      </c>
      <c r="B1717">
        <v>2010</v>
      </c>
      <c r="C1717" s="14">
        <v>1407.3333333333333</v>
      </c>
      <c r="D1717" s="14">
        <v>838.66666666666663</v>
      </c>
      <c r="E1717" s="14">
        <v>4122.6666666666661</v>
      </c>
      <c r="F1717" s="14">
        <v>124</v>
      </c>
      <c r="G1717" s="14">
        <v>481.3333333333332</v>
      </c>
      <c r="H1717" s="14">
        <v>107.99999999999999</v>
      </c>
      <c r="I1717" s="14">
        <v>746.66666666666663</v>
      </c>
    </row>
    <row r="1718" spans="1:11" ht="16.5" x14ac:dyDescent="0.2">
      <c r="A1718" s="4" t="s">
        <v>138</v>
      </c>
      <c r="B1718">
        <v>2011</v>
      </c>
      <c r="C1718" s="14">
        <v>1457.9999999999998</v>
      </c>
      <c r="D1718" s="14">
        <v>818</v>
      </c>
      <c r="E1718" s="14">
        <v>4085.9999999999995</v>
      </c>
      <c r="F1718" s="14">
        <v>119.33333333333331</v>
      </c>
      <c r="G1718" s="14">
        <v>489.33333333333326</v>
      </c>
      <c r="H1718" s="14">
        <v>109.99999999999999</v>
      </c>
      <c r="I1718" s="14">
        <v>746</v>
      </c>
      <c r="K1718" s="15"/>
    </row>
    <row r="1719" spans="1:11" ht="16.5" x14ac:dyDescent="0.2">
      <c r="A1719" s="4" t="s">
        <v>138</v>
      </c>
      <c r="B1719">
        <v>2012</v>
      </c>
      <c r="C1719" s="14">
        <v>1507.3333333333333</v>
      </c>
      <c r="D1719" s="14">
        <v>798</v>
      </c>
      <c r="E1719" s="14">
        <v>4049.9999999999995</v>
      </c>
      <c r="F1719" s="14">
        <v>115.33333333333333</v>
      </c>
      <c r="G1719" s="14">
        <v>497.99999999999989</v>
      </c>
      <c r="H1719" s="14">
        <v>109.99999999999999</v>
      </c>
      <c r="I1719" s="14">
        <v>743.33333333333326</v>
      </c>
    </row>
    <row r="1720" spans="1:11" ht="16.5" x14ac:dyDescent="0.2">
      <c r="A1720" s="4" t="s">
        <v>138</v>
      </c>
      <c r="B1720">
        <v>2013</v>
      </c>
      <c r="C1720" s="14">
        <v>1502.6666666666665</v>
      </c>
      <c r="D1720" s="14">
        <v>793.99999999999989</v>
      </c>
      <c r="E1720" s="14">
        <v>4045.9999999999995</v>
      </c>
      <c r="F1720" s="14">
        <v>114.66666666666666</v>
      </c>
      <c r="G1720" s="14">
        <v>508.66666666666652</v>
      </c>
      <c r="H1720" s="14">
        <v>113.33333333333333</v>
      </c>
      <c r="I1720" s="14">
        <v>741.99999999999989</v>
      </c>
    </row>
    <row r="1721" spans="1:11" ht="16.5" x14ac:dyDescent="0.2">
      <c r="A1721" s="4" t="s">
        <v>138</v>
      </c>
      <c r="B1721">
        <v>2014</v>
      </c>
      <c r="C1721" s="14">
        <v>1505.3333333333333</v>
      </c>
      <c r="D1721" s="14">
        <v>790.66666666666652</v>
      </c>
      <c r="E1721" s="14">
        <v>4040.6666666666665</v>
      </c>
      <c r="F1721" s="14">
        <v>112.66666666666664</v>
      </c>
      <c r="G1721" s="14">
        <v>518.66666666666663</v>
      </c>
      <c r="H1721" s="14">
        <v>115.33333333333333</v>
      </c>
      <c r="I1721" s="14">
        <v>739.33333333333326</v>
      </c>
      <c r="K1721" s="15"/>
    </row>
    <row r="1722" spans="1:11" ht="16.5" x14ac:dyDescent="0.2">
      <c r="A1722" s="4" t="s">
        <v>138</v>
      </c>
      <c r="B1722">
        <v>2015</v>
      </c>
      <c r="C1722" s="14">
        <v>1501.333333333333</v>
      </c>
      <c r="D1722" s="14">
        <v>788</v>
      </c>
      <c r="E1722" s="14">
        <v>4037.333333333333</v>
      </c>
      <c r="F1722" s="14">
        <v>112</v>
      </c>
      <c r="G1722" s="14">
        <v>531.99999999999989</v>
      </c>
      <c r="H1722" s="14">
        <v>115.99999999999999</v>
      </c>
      <c r="I1722" s="14">
        <v>737.33333333333326</v>
      </c>
    </row>
    <row r="1723" spans="1:11" ht="16.5" x14ac:dyDescent="0.2">
      <c r="A1723" s="4" t="s">
        <v>138</v>
      </c>
      <c r="B1723">
        <v>2016</v>
      </c>
      <c r="C1723" s="14">
        <v>1493.9999999999998</v>
      </c>
      <c r="D1723" s="14">
        <v>784.66666666666663</v>
      </c>
      <c r="E1723" s="14">
        <v>4033.333333333333</v>
      </c>
      <c r="F1723" s="14">
        <v>111.33333333333331</v>
      </c>
      <c r="G1723" s="14">
        <v>543.33333333333326</v>
      </c>
      <c r="H1723" s="14">
        <v>122</v>
      </c>
      <c r="I1723" s="14">
        <v>735.33333333333326</v>
      </c>
      <c r="K1723" s="15"/>
    </row>
    <row r="1724" spans="1:11" ht="16.5" x14ac:dyDescent="0.2">
      <c r="A1724" s="4" t="s">
        <v>137</v>
      </c>
      <c r="B1724">
        <v>2009</v>
      </c>
      <c r="C1724" s="14">
        <v>2609.9999999999995</v>
      </c>
      <c r="D1724" s="14">
        <v>503.99999999999994</v>
      </c>
      <c r="E1724" s="14">
        <v>12936</v>
      </c>
      <c r="F1724" s="14">
        <v>969.99999999999989</v>
      </c>
      <c r="G1724" s="14">
        <v>741.33333333333326</v>
      </c>
      <c r="H1724" s="14">
        <v>194.66666666666666</v>
      </c>
      <c r="I1724" s="14">
        <v>783.33333333333326</v>
      </c>
    </row>
    <row r="1725" spans="1:11" ht="16.5" x14ac:dyDescent="0.2">
      <c r="A1725" s="4" t="s">
        <v>137</v>
      </c>
      <c r="B1725">
        <v>2010</v>
      </c>
      <c r="C1725" s="14">
        <v>2649.9999999999995</v>
      </c>
      <c r="D1725" s="14">
        <v>498.66666666666663</v>
      </c>
      <c r="E1725" s="14">
        <v>12899.999999999998</v>
      </c>
      <c r="F1725" s="14">
        <v>952.66666666666663</v>
      </c>
      <c r="G1725" s="14">
        <v>761.33333333333326</v>
      </c>
      <c r="H1725" s="14">
        <v>195.33333333333331</v>
      </c>
      <c r="I1725" s="14">
        <v>781.99999999999989</v>
      </c>
    </row>
    <row r="1726" spans="1:11" ht="16.5" x14ac:dyDescent="0.2">
      <c r="A1726" s="4" t="s">
        <v>137</v>
      </c>
      <c r="B1726">
        <v>2011</v>
      </c>
      <c r="C1726" s="14">
        <v>2689.9999999999995</v>
      </c>
      <c r="D1726" s="14">
        <v>492.66666666666669</v>
      </c>
      <c r="E1726" s="14">
        <v>12845.333333333332</v>
      </c>
      <c r="F1726" s="14">
        <v>941.33333333333314</v>
      </c>
      <c r="G1726" s="14">
        <v>768.66666666666663</v>
      </c>
      <c r="H1726" s="14">
        <v>214</v>
      </c>
      <c r="I1726" s="14">
        <v>782.66666666666663</v>
      </c>
      <c r="K1726" s="15"/>
    </row>
    <row r="1727" spans="1:11" ht="16.5" x14ac:dyDescent="0.2">
      <c r="A1727" s="4" t="s">
        <v>137</v>
      </c>
      <c r="B1727">
        <v>2012</v>
      </c>
      <c r="C1727" s="14">
        <v>2702.6666666666661</v>
      </c>
      <c r="D1727" s="14">
        <v>489.99999999999994</v>
      </c>
      <c r="E1727" s="14">
        <v>12826.666666666666</v>
      </c>
      <c r="F1727" s="14">
        <v>937.99999999999989</v>
      </c>
      <c r="G1727" s="14">
        <v>781.99999999999989</v>
      </c>
      <c r="H1727" s="14">
        <v>214.66666666666666</v>
      </c>
      <c r="I1727" s="14">
        <v>779.99999999999989</v>
      </c>
    </row>
    <row r="1728" spans="1:11" ht="16.5" x14ac:dyDescent="0.2">
      <c r="A1728" s="4" t="s">
        <v>137</v>
      </c>
      <c r="B1728">
        <v>2013</v>
      </c>
      <c r="C1728" s="14">
        <v>2708.6666666666665</v>
      </c>
      <c r="D1728" s="14">
        <v>488.66666666666663</v>
      </c>
      <c r="E1728" s="14">
        <v>12820.666666666664</v>
      </c>
      <c r="F1728" s="14">
        <v>935.33333333333337</v>
      </c>
      <c r="G1728" s="14">
        <v>785.33333333333314</v>
      </c>
      <c r="H1728" s="14">
        <v>215.33333333333329</v>
      </c>
      <c r="I1728" s="14">
        <v>779.33333333333326</v>
      </c>
      <c r="K1728" s="15"/>
    </row>
    <row r="1729" spans="1:11" ht="16.5" x14ac:dyDescent="0.2">
      <c r="A1729" s="4" t="s">
        <v>137</v>
      </c>
      <c r="B1729">
        <v>2014</v>
      </c>
      <c r="C1729" s="14">
        <v>2702.6666666666661</v>
      </c>
      <c r="D1729" s="14">
        <v>484.66666666666663</v>
      </c>
      <c r="E1729" s="14">
        <v>12814.666666666666</v>
      </c>
      <c r="F1729" s="14">
        <v>933.99999999999989</v>
      </c>
      <c r="G1729" s="14">
        <v>803.33333333333326</v>
      </c>
      <c r="H1729" s="14">
        <v>219.33333333333331</v>
      </c>
      <c r="I1729" s="14">
        <v>776.66666666666663</v>
      </c>
    </row>
    <row r="1730" spans="1:11" ht="16.5" x14ac:dyDescent="0.2">
      <c r="A1730" s="4" t="s">
        <v>137</v>
      </c>
      <c r="B1730">
        <v>2015</v>
      </c>
      <c r="C1730" s="14">
        <v>2697.333333333333</v>
      </c>
      <c r="D1730" s="14">
        <v>482.66666666666669</v>
      </c>
      <c r="E1730" s="14">
        <v>12808.666666666666</v>
      </c>
      <c r="F1730" s="14">
        <v>932.66666666666663</v>
      </c>
      <c r="G1730" s="14">
        <v>819.99999999999989</v>
      </c>
      <c r="H1730" s="14">
        <v>219.99999999999997</v>
      </c>
      <c r="I1730" s="14">
        <v>774.66666666666663</v>
      </c>
    </row>
    <row r="1731" spans="1:11" ht="16.5" x14ac:dyDescent="0.2">
      <c r="A1731" s="4" t="s">
        <v>137</v>
      </c>
      <c r="B1731">
        <v>2016</v>
      </c>
      <c r="C1731" s="14">
        <v>2687.9999999999995</v>
      </c>
      <c r="D1731" s="14">
        <v>480.66666666666657</v>
      </c>
      <c r="E1731" s="14">
        <v>12801.333333333332</v>
      </c>
      <c r="F1731" s="14">
        <v>931.33333333333314</v>
      </c>
      <c r="G1731" s="14">
        <v>830.66666666666652</v>
      </c>
      <c r="H1731" s="14">
        <v>231.99999999999997</v>
      </c>
      <c r="I1731" s="14">
        <v>772.66666666666663</v>
      </c>
      <c r="K1731" s="15"/>
    </row>
    <row r="1732" spans="1:11" ht="16.5" x14ac:dyDescent="0.2">
      <c r="A1732" s="4" t="s">
        <v>136</v>
      </c>
      <c r="B1732">
        <v>2009</v>
      </c>
      <c r="C1732" s="14">
        <v>125.99999999999999</v>
      </c>
      <c r="D1732" s="14">
        <v>348</v>
      </c>
      <c r="E1732" s="14">
        <v>345.33333333333326</v>
      </c>
      <c r="F1732" s="14">
        <v>144.66666666666666</v>
      </c>
      <c r="G1732" s="14">
        <v>942.66666666666663</v>
      </c>
      <c r="H1732" s="14">
        <v>103.99999999999999</v>
      </c>
      <c r="I1732" s="14">
        <v>384</v>
      </c>
    </row>
    <row r="1733" spans="1:11" ht="16.5" x14ac:dyDescent="0.2">
      <c r="A1733" s="4" t="s">
        <v>136</v>
      </c>
      <c r="B1733">
        <v>2010</v>
      </c>
      <c r="C1733" s="14">
        <v>166.66666666666666</v>
      </c>
      <c r="D1733" s="14">
        <v>325.99999999999994</v>
      </c>
      <c r="E1733" s="14">
        <v>344</v>
      </c>
      <c r="F1733" s="14">
        <v>125.99999999999999</v>
      </c>
      <c r="G1733" s="14">
        <v>961.33333333333314</v>
      </c>
      <c r="H1733" s="14">
        <v>107.33333333333333</v>
      </c>
      <c r="I1733" s="14">
        <v>371.33333333333331</v>
      </c>
      <c r="K1733" s="15"/>
    </row>
    <row r="1734" spans="1:11" ht="16.5" x14ac:dyDescent="0.2">
      <c r="A1734" s="4" t="s">
        <v>136</v>
      </c>
      <c r="B1734">
        <v>2011</v>
      </c>
      <c r="C1734" s="14">
        <v>154.66666666666666</v>
      </c>
      <c r="D1734" s="14">
        <v>325.33333333333326</v>
      </c>
      <c r="E1734" s="14">
        <v>343.33333333333331</v>
      </c>
      <c r="F1734" s="14">
        <v>125.99999999999999</v>
      </c>
      <c r="G1734" s="14">
        <v>975.33333333333337</v>
      </c>
      <c r="H1734" s="14">
        <v>110.66666666666667</v>
      </c>
      <c r="I1734" s="14">
        <v>369.99999999999994</v>
      </c>
    </row>
    <row r="1735" spans="1:11" ht="16.5" x14ac:dyDescent="0.2">
      <c r="A1735" s="4" t="s">
        <v>136</v>
      </c>
      <c r="B1735">
        <v>2012</v>
      </c>
      <c r="C1735" s="14">
        <v>142</v>
      </c>
      <c r="D1735" s="14">
        <v>323.33333333333331</v>
      </c>
      <c r="E1735" s="14">
        <v>341.99999999999994</v>
      </c>
      <c r="F1735" s="14">
        <v>125.99999999999999</v>
      </c>
      <c r="G1735" s="14">
        <v>992.6666666666664</v>
      </c>
      <c r="H1735" s="14">
        <v>114.66666666666666</v>
      </c>
      <c r="I1735" s="14">
        <v>368</v>
      </c>
    </row>
    <row r="1736" spans="1:11" ht="16.5" x14ac:dyDescent="0.2">
      <c r="A1736" s="4" t="s">
        <v>136</v>
      </c>
      <c r="B1736">
        <v>2013</v>
      </c>
      <c r="C1736" s="14">
        <v>140.66666666666666</v>
      </c>
      <c r="D1736" s="14">
        <v>320</v>
      </c>
      <c r="E1736" s="14">
        <v>341.99999999999994</v>
      </c>
      <c r="F1736" s="14">
        <v>122.66666666666664</v>
      </c>
      <c r="G1736" s="14">
        <v>1003.9999999999999</v>
      </c>
      <c r="H1736" s="14">
        <v>116.66666666666666</v>
      </c>
      <c r="I1736" s="14">
        <v>365.99999999999994</v>
      </c>
      <c r="K1736" s="15"/>
    </row>
    <row r="1737" spans="1:11" ht="16.5" x14ac:dyDescent="0.2">
      <c r="A1737" s="4" t="s">
        <v>136</v>
      </c>
      <c r="B1737">
        <v>2014</v>
      </c>
      <c r="C1737" s="14">
        <v>136.66666666666666</v>
      </c>
      <c r="D1737" s="14">
        <v>314</v>
      </c>
      <c r="E1737" s="14">
        <v>340.66666666666663</v>
      </c>
      <c r="F1737" s="14">
        <v>115.33333333333333</v>
      </c>
      <c r="G1737" s="14">
        <v>1026</v>
      </c>
      <c r="H1737" s="14">
        <v>121.33333333333331</v>
      </c>
      <c r="I1737" s="14">
        <v>361.99999999999994</v>
      </c>
    </row>
    <row r="1738" spans="1:11" ht="16.5" x14ac:dyDescent="0.2">
      <c r="A1738" s="4" t="s">
        <v>136</v>
      </c>
      <c r="B1738">
        <v>2015</v>
      </c>
      <c r="C1738" s="14">
        <v>133.33333333333331</v>
      </c>
      <c r="D1738" s="14">
        <v>308.66666666666663</v>
      </c>
      <c r="E1738" s="14">
        <v>339.99999999999994</v>
      </c>
      <c r="F1738" s="14">
        <v>110.66666666666667</v>
      </c>
      <c r="G1738" s="14">
        <v>1046.6666666666665</v>
      </c>
      <c r="H1738" s="14">
        <v>122</v>
      </c>
      <c r="I1738" s="14">
        <v>358</v>
      </c>
      <c r="K1738" s="15"/>
    </row>
    <row r="1739" spans="1:11" ht="16.5" x14ac:dyDescent="0.2">
      <c r="A1739" s="4" t="s">
        <v>136</v>
      </c>
      <c r="B1739">
        <v>2016</v>
      </c>
      <c r="C1739" s="14">
        <v>131.33333333333331</v>
      </c>
      <c r="D1739" s="14">
        <v>304.66666666666669</v>
      </c>
      <c r="E1739" s="14">
        <v>339.33333333333331</v>
      </c>
      <c r="F1739" s="14">
        <v>106.66666666666666</v>
      </c>
      <c r="G1739" s="14">
        <v>1059.3333333333333</v>
      </c>
      <c r="H1739" s="14">
        <v>123.33333333333333</v>
      </c>
      <c r="I1739" s="14">
        <v>355.33333333333326</v>
      </c>
    </row>
    <row r="1740" spans="1:11" ht="16.5" x14ac:dyDescent="0.2">
      <c r="A1740" s="4" t="s">
        <v>135</v>
      </c>
      <c r="B1740">
        <v>2009</v>
      </c>
      <c r="C1740" s="14">
        <v>126.66666666666666</v>
      </c>
      <c r="D1740" s="14">
        <v>197.33333333333331</v>
      </c>
      <c r="E1740" s="14">
        <v>302.66666666666663</v>
      </c>
      <c r="F1740" s="14">
        <v>27.333333333333329</v>
      </c>
      <c r="G1740" s="14">
        <v>565.33333333333326</v>
      </c>
      <c r="H1740" s="14">
        <v>34.666666666666664</v>
      </c>
      <c r="I1740" s="14">
        <v>508</v>
      </c>
    </row>
    <row r="1741" spans="1:11" ht="16.5" x14ac:dyDescent="0.2">
      <c r="A1741" s="4" t="s">
        <v>135</v>
      </c>
      <c r="B1741">
        <v>2010</v>
      </c>
      <c r="C1741" s="14">
        <v>127.33333333333333</v>
      </c>
      <c r="D1741" s="14">
        <v>195.33333333333331</v>
      </c>
      <c r="E1741" s="14">
        <v>301.99999999999994</v>
      </c>
      <c r="F1741" s="14">
        <v>25.999999999999996</v>
      </c>
      <c r="G1741" s="14">
        <v>578.66666666666663</v>
      </c>
      <c r="H1741" s="14">
        <v>34.666666666666664</v>
      </c>
      <c r="I1741" s="14">
        <v>498.66666666666663</v>
      </c>
      <c r="K1741" s="15"/>
    </row>
    <row r="1742" spans="1:11" ht="16.5" x14ac:dyDescent="0.2">
      <c r="A1742" s="4" t="s">
        <v>135</v>
      </c>
      <c r="B1742">
        <v>2011</v>
      </c>
      <c r="C1742" s="14">
        <v>125.33333333333333</v>
      </c>
      <c r="D1742" s="14">
        <v>192.66666666666663</v>
      </c>
      <c r="E1742" s="14">
        <v>300.66666666666663</v>
      </c>
      <c r="F1742" s="14">
        <v>24</v>
      </c>
      <c r="G1742" s="14">
        <v>590</v>
      </c>
      <c r="H1742" s="14">
        <v>38.666666666666664</v>
      </c>
      <c r="I1742" s="14">
        <v>492.66666666666669</v>
      </c>
    </row>
    <row r="1743" spans="1:11" ht="16.5" x14ac:dyDescent="0.2">
      <c r="A1743" s="4" t="s">
        <v>135</v>
      </c>
      <c r="B1743">
        <v>2012</v>
      </c>
      <c r="C1743" s="14">
        <v>124</v>
      </c>
      <c r="D1743" s="14">
        <v>190.66666666666666</v>
      </c>
      <c r="E1743" s="14">
        <v>300</v>
      </c>
      <c r="F1743" s="14">
        <v>23.333333333333332</v>
      </c>
      <c r="G1743" s="14">
        <v>597.99999999999989</v>
      </c>
      <c r="H1743" s="14">
        <v>39.333333333333336</v>
      </c>
      <c r="I1743" s="14">
        <v>488.66666666666663</v>
      </c>
      <c r="K1743" s="15"/>
    </row>
    <row r="1744" spans="1:11" ht="16.5" x14ac:dyDescent="0.2">
      <c r="A1744" s="4" t="s">
        <v>135</v>
      </c>
      <c r="B1744">
        <v>2013</v>
      </c>
      <c r="C1744" s="14">
        <v>122</v>
      </c>
      <c r="D1744" s="14">
        <v>188.66666666666666</v>
      </c>
      <c r="E1744" s="14">
        <v>299.33333333333331</v>
      </c>
      <c r="F1744" s="14">
        <v>21.333333333333332</v>
      </c>
      <c r="G1744" s="14">
        <v>609.33333333333337</v>
      </c>
      <c r="H1744" s="14">
        <v>39.333333333333336</v>
      </c>
      <c r="I1744" s="14">
        <v>484.66666666666663</v>
      </c>
    </row>
    <row r="1745" spans="1:11" ht="16.5" x14ac:dyDescent="0.2">
      <c r="A1745" s="4" t="s">
        <v>135</v>
      </c>
      <c r="B1745">
        <v>2014</v>
      </c>
      <c r="C1745" s="14">
        <v>120.66666666666667</v>
      </c>
      <c r="D1745" s="14">
        <v>186.66666666666666</v>
      </c>
      <c r="E1745" s="14">
        <v>298</v>
      </c>
      <c r="F1745" s="14">
        <v>20</v>
      </c>
      <c r="G1745" s="14">
        <v>617.99999999999989</v>
      </c>
      <c r="H1745" s="14">
        <v>40.666666666666657</v>
      </c>
      <c r="I1745" s="14">
        <v>481.33333333333331</v>
      </c>
    </row>
    <row r="1746" spans="1:11" ht="16.5" x14ac:dyDescent="0.2">
      <c r="A1746" s="4" t="s">
        <v>135</v>
      </c>
      <c r="B1746">
        <v>2015</v>
      </c>
      <c r="C1746" s="14">
        <v>118.66666666666666</v>
      </c>
      <c r="D1746" s="14">
        <v>183.33333333333331</v>
      </c>
      <c r="E1746" s="14">
        <v>297.33333333333331</v>
      </c>
      <c r="F1746" s="14">
        <v>18.666666666666664</v>
      </c>
      <c r="G1746" s="14">
        <v>628.66666666666663</v>
      </c>
      <c r="H1746" s="14">
        <v>41.333333333333329</v>
      </c>
      <c r="I1746" s="14">
        <v>478</v>
      </c>
      <c r="K1746" s="15"/>
    </row>
    <row r="1747" spans="1:11" ht="16.5" x14ac:dyDescent="0.2">
      <c r="A1747" s="4" t="s">
        <v>135</v>
      </c>
      <c r="B1747">
        <v>2016</v>
      </c>
      <c r="C1747" s="14">
        <v>117.99999999999999</v>
      </c>
      <c r="D1747" s="14">
        <v>182</v>
      </c>
      <c r="E1747" s="14">
        <v>296.66666666666663</v>
      </c>
      <c r="F1747" s="14">
        <v>18</v>
      </c>
      <c r="G1747" s="14">
        <v>634.66666666666663</v>
      </c>
      <c r="H1747" s="14">
        <v>42.666666666666664</v>
      </c>
      <c r="I1747" s="14">
        <v>475.33333333333326</v>
      </c>
    </row>
    <row r="1748" spans="1:11" ht="16.5" x14ac:dyDescent="0.2">
      <c r="A1748" s="4" t="s">
        <v>134</v>
      </c>
      <c r="B1748">
        <v>2009</v>
      </c>
      <c r="C1748" s="14">
        <v>331.33333333333331</v>
      </c>
      <c r="D1748" s="14">
        <v>581.99999999999989</v>
      </c>
      <c r="E1748" s="14">
        <v>1466</v>
      </c>
      <c r="F1748" s="14">
        <v>36.666666666666664</v>
      </c>
      <c r="G1748" s="14">
        <v>290</v>
      </c>
      <c r="H1748" s="14">
        <v>46</v>
      </c>
      <c r="I1748" s="14">
        <v>352.66666666666663</v>
      </c>
      <c r="K1748" s="15"/>
    </row>
    <row r="1749" spans="1:11" ht="16.5" x14ac:dyDescent="0.2">
      <c r="A1749" s="4" t="s">
        <v>134</v>
      </c>
      <c r="B1749">
        <v>2010</v>
      </c>
      <c r="C1749" s="14">
        <v>348.66666666666663</v>
      </c>
      <c r="D1749" s="14">
        <v>568.66666666666663</v>
      </c>
      <c r="E1749" s="14">
        <v>1465.3333333333333</v>
      </c>
      <c r="F1749" s="14">
        <v>36.666666666666664</v>
      </c>
      <c r="G1749" s="14">
        <v>290.66666666666663</v>
      </c>
      <c r="H1749" s="14">
        <v>47.333333333333329</v>
      </c>
      <c r="I1749" s="14">
        <v>346.66666666666663</v>
      </c>
    </row>
    <row r="1750" spans="1:11" ht="16.5" x14ac:dyDescent="0.2">
      <c r="A1750" s="4" t="s">
        <v>134</v>
      </c>
      <c r="B1750">
        <v>2011</v>
      </c>
      <c r="C1750" s="14">
        <v>360.66666666666663</v>
      </c>
      <c r="D1750" s="14">
        <v>559.33333333333337</v>
      </c>
      <c r="E1750" s="14">
        <v>1459.3333333333333</v>
      </c>
      <c r="F1750" s="14">
        <v>35.333333333333329</v>
      </c>
      <c r="G1750" s="14">
        <v>293.99999999999994</v>
      </c>
      <c r="H1750" s="14">
        <v>47.333333333333329</v>
      </c>
      <c r="I1750" s="14">
        <v>346.66666666666663</v>
      </c>
    </row>
    <row r="1751" spans="1:11" ht="16.5" x14ac:dyDescent="0.2">
      <c r="A1751" s="4" t="s">
        <v>134</v>
      </c>
      <c r="B1751">
        <v>2012</v>
      </c>
      <c r="C1751" s="14">
        <v>359.99999999999994</v>
      </c>
      <c r="D1751" s="14">
        <v>558.66666666666663</v>
      </c>
      <c r="E1751" s="14">
        <v>1459.3333333333333</v>
      </c>
      <c r="F1751" s="14">
        <v>35.333333333333329</v>
      </c>
      <c r="G1751" s="14">
        <v>296.66666666666663</v>
      </c>
      <c r="H1751" s="14">
        <v>47.333333333333329</v>
      </c>
      <c r="I1751" s="14">
        <v>345.99999999999994</v>
      </c>
      <c r="K1751" s="15"/>
    </row>
    <row r="1752" spans="1:11" ht="16.5" x14ac:dyDescent="0.2">
      <c r="A1752" s="4" t="s">
        <v>134</v>
      </c>
      <c r="B1752">
        <v>2013</v>
      </c>
      <c r="C1752" s="14">
        <v>359.33333333333331</v>
      </c>
      <c r="D1752" s="14">
        <v>556.66666666666663</v>
      </c>
      <c r="E1752" s="14">
        <v>1457.9999999999998</v>
      </c>
      <c r="F1752" s="14">
        <v>35.333333333333329</v>
      </c>
      <c r="G1752" s="14">
        <v>301.33333333333331</v>
      </c>
      <c r="H1752" s="14">
        <v>48</v>
      </c>
      <c r="I1752" s="14">
        <v>344.66666666666663</v>
      </c>
    </row>
    <row r="1753" spans="1:11" ht="16.5" x14ac:dyDescent="0.2">
      <c r="A1753" s="4" t="s">
        <v>134</v>
      </c>
      <c r="B1753">
        <v>2014</v>
      </c>
      <c r="C1753" s="14">
        <v>358</v>
      </c>
      <c r="D1753" s="14">
        <v>553.99999999999989</v>
      </c>
      <c r="E1753" s="14">
        <v>1457.3333333333333</v>
      </c>
      <c r="F1753" s="14">
        <v>34.666666666666664</v>
      </c>
      <c r="G1753" s="14">
        <v>306.66666666666663</v>
      </c>
      <c r="H1753" s="14">
        <v>49.333333333333329</v>
      </c>
      <c r="I1753" s="14">
        <v>343.33333333333331</v>
      </c>
      <c r="K1753" s="15"/>
    </row>
    <row r="1754" spans="1:11" ht="16.5" x14ac:dyDescent="0.2">
      <c r="A1754" s="4" t="s">
        <v>134</v>
      </c>
      <c r="B1754">
        <v>2015</v>
      </c>
      <c r="C1754" s="14">
        <v>355.33333333333326</v>
      </c>
      <c r="D1754" s="14">
        <v>551.33333333333326</v>
      </c>
      <c r="E1754" s="14">
        <v>1454.6666666666665</v>
      </c>
      <c r="F1754" s="14">
        <v>34.666666666666664</v>
      </c>
      <c r="G1754" s="14">
        <v>312.66666666666663</v>
      </c>
      <c r="H1754" s="14">
        <v>53.333333333333329</v>
      </c>
      <c r="I1754" s="14">
        <v>341.99999999999994</v>
      </c>
    </row>
    <row r="1755" spans="1:11" ht="16.5" x14ac:dyDescent="0.2">
      <c r="A1755" s="4" t="s">
        <v>134</v>
      </c>
      <c r="B1755">
        <v>2016</v>
      </c>
      <c r="C1755" s="14">
        <v>354</v>
      </c>
      <c r="D1755" s="14">
        <v>550.66666666666663</v>
      </c>
      <c r="E1755" s="14">
        <v>1453.9999999999998</v>
      </c>
      <c r="F1755" s="14">
        <v>34.666666666666664</v>
      </c>
      <c r="G1755" s="14">
        <v>315.33333333333331</v>
      </c>
      <c r="H1755" s="14">
        <v>54.666666666666657</v>
      </c>
      <c r="I1755" s="14">
        <v>341.33333333333331</v>
      </c>
    </row>
    <row r="1756" spans="1:11" ht="16.5" x14ac:dyDescent="0.2">
      <c r="A1756" s="4" t="s">
        <v>133</v>
      </c>
      <c r="B1756">
        <v>2009</v>
      </c>
      <c r="C1756" s="14">
        <v>831.99999999999989</v>
      </c>
      <c r="D1756" s="14">
        <v>909.99999999999989</v>
      </c>
      <c r="E1756" s="14">
        <v>2131.333333333333</v>
      </c>
      <c r="F1756" s="14">
        <v>201.33333333333331</v>
      </c>
      <c r="G1756" s="14">
        <v>544.66666666666663</v>
      </c>
      <c r="H1756" s="14">
        <v>97.999999999999986</v>
      </c>
      <c r="I1756" s="14">
        <v>469.99999999999994</v>
      </c>
      <c r="K1756" s="15"/>
    </row>
    <row r="1757" spans="1:11" ht="16.5" x14ac:dyDescent="0.2">
      <c r="A1757" s="4" t="s">
        <v>133</v>
      </c>
      <c r="B1757">
        <v>2010</v>
      </c>
      <c r="C1757" s="14">
        <v>861.33333333333314</v>
      </c>
      <c r="D1757" s="14">
        <v>888.66666666666663</v>
      </c>
      <c r="E1757" s="14">
        <v>2125.333333333333</v>
      </c>
      <c r="F1757" s="14">
        <v>195.33333333333331</v>
      </c>
      <c r="G1757" s="14">
        <v>550</v>
      </c>
      <c r="H1757" s="14">
        <v>98.666666666666657</v>
      </c>
      <c r="I1757" s="14">
        <v>469.33333333333331</v>
      </c>
    </row>
    <row r="1758" spans="1:11" ht="16.5" x14ac:dyDescent="0.2">
      <c r="A1758" s="4" t="s">
        <v>133</v>
      </c>
      <c r="B1758">
        <v>2011</v>
      </c>
      <c r="C1758" s="14">
        <v>879.33333333333326</v>
      </c>
      <c r="D1758" s="14">
        <v>873.99999999999989</v>
      </c>
      <c r="E1758" s="14">
        <v>2121.333333333333</v>
      </c>
      <c r="F1758" s="14">
        <v>190.66666666666666</v>
      </c>
      <c r="G1758" s="14">
        <v>556</v>
      </c>
      <c r="H1758" s="14">
        <v>98.666666666666657</v>
      </c>
      <c r="I1758" s="14">
        <v>467.33333333333326</v>
      </c>
      <c r="K1758" s="15"/>
    </row>
    <row r="1759" spans="1:11" ht="16.5" x14ac:dyDescent="0.2">
      <c r="A1759" s="4" t="s">
        <v>133</v>
      </c>
      <c r="B1759">
        <v>2012</v>
      </c>
      <c r="C1759" s="14">
        <v>882.66666666666663</v>
      </c>
      <c r="D1759" s="14">
        <v>870.66666666666652</v>
      </c>
      <c r="E1759" s="14">
        <v>2118.6666666666665</v>
      </c>
      <c r="F1759" s="14">
        <v>187.99999999999997</v>
      </c>
      <c r="G1759" s="14">
        <v>561.33333333333326</v>
      </c>
      <c r="H1759" s="14">
        <v>99.333333333333329</v>
      </c>
      <c r="I1759" s="14">
        <v>466</v>
      </c>
    </row>
    <row r="1760" spans="1:11" ht="16.5" x14ac:dyDescent="0.2">
      <c r="A1760" s="4" t="s">
        <v>133</v>
      </c>
      <c r="B1760">
        <v>2013</v>
      </c>
      <c r="C1760" s="14">
        <v>885.33333333333337</v>
      </c>
      <c r="D1760" s="14">
        <v>857.33333333333326</v>
      </c>
      <c r="E1760" s="14">
        <v>2115.9999999999995</v>
      </c>
      <c r="F1760" s="14">
        <v>187.33333333333331</v>
      </c>
      <c r="G1760" s="14">
        <v>575.33333333333326</v>
      </c>
      <c r="H1760" s="14">
        <v>103.99999999999999</v>
      </c>
      <c r="I1760" s="14">
        <v>463.33333333333331</v>
      </c>
    </row>
    <row r="1761" spans="1:11" ht="16.5" x14ac:dyDescent="0.2">
      <c r="A1761" s="4" t="s">
        <v>133</v>
      </c>
      <c r="B1761">
        <v>2014</v>
      </c>
      <c r="C1761" s="14">
        <v>877.33333333333326</v>
      </c>
      <c r="D1761" s="14">
        <v>850.66666666666652</v>
      </c>
      <c r="E1761" s="14">
        <v>2113.333333333333</v>
      </c>
      <c r="F1761" s="14">
        <v>185.99999999999997</v>
      </c>
      <c r="G1761" s="14">
        <v>591.99999999999989</v>
      </c>
      <c r="H1761" s="14">
        <v>108.66666666666666</v>
      </c>
      <c r="I1761" s="14">
        <v>460.66666666666657</v>
      </c>
      <c r="K1761" s="15"/>
    </row>
    <row r="1762" spans="1:11" ht="16.5" x14ac:dyDescent="0.2">
      <c r="A1762" s="4" t="s">
        <v>133</v>
      </c>
      <c r="B1762">
        <v>2015</v>
      </c>
      <c r="C1762" s="14">
        <v>873.99999999999989</v>
      </c>
      <c r="D1762" s="14">
        <v>848.66666666666663</v>
      </c>
      <c r="E1762" s="14">
        <v>2112.6666666666665</v>
      </c>
      <c r="F1762" s="14">
        <v>185.33333333333331</v>
      </c>
      <c r="G1762" s="14">
        <v>599.33333333333326</v>
      </c>
      <c r="H1762" s="14">
        <v>109.99999999999999</v>
      </c>
      <c r="I1762" s="14">
        <v>459.33333333333331</v>
      </c>
    </row>
    <row r="1763" spans="1:11" ht="16.5" x14ac:dyDescent="0.2">
      <c r="A1763" s="4" t="s">
        <v>133</v>
      </c>
      <c r="B1763">
        <v>2016</v>
      </c>
      <c r="C1763" s="14">
        <v>871.33333333333314</v>
      </c>
      <c r="D1763" s="14">
        <v>846</v>
      </c>
      <c r="E1763" s="14">
        <v>2111.333333333333</v>
      </c>
      <c r="F1763" s="14">
        <v>184.66666666666666</v>
      </c>
      <c r="G1763" s="14">
        <v>605.33333333333314</v>
      </c>
      <c r="H1763" s="14">
        <v>110.66666666666667</v>
      </c>
      <c r="I1763" s="14">
        <v>458.66666666666663</v>
      </c>
      <c r="K1763" s="15"/>
    </row>
    <row r="1764" spans="1:11" ht="16.5" x14ac:dyDescent="0.2">
      <c r="A1764" s="4" t="s">
        <v>132</v>
      </c>
      <c r="B1764">
        <v>2009</v>
      </c>
      <c r="C1764" s="14">
        <v>1013.3333333333333</v>
      </c>
      <c r="D1764" s="14">
        <v>773.99999999999989</v>
      </c>
      <c r="E1764" s="14">
        <v>4942.6666666666661</v>
      </c>
      <c r="F1764" s="14">
        <v>80.666666666666657</v>
      </c>
      <c r="G1764" s="14">
        <v>440.66666666666657</v>
      </c>
      <c r="H1764" s="14">
        <v>97.999999999999986</v>
      </c>
      <c r="I1764" s="14">
        <v>308.66666666666663</v>
      </c>
    </row>
    <row r="1765" spans="1:11" ht="16.5" x14ac:dyDescent="0.2">
      <c r="A1765" s="4" t="s">
        <v>132</v>
      </c>
      <c r="B1765">
        <v>2010</v>
      </c>
      <c r="C1765" s="14">
        <v>1037.9999999999998</v>
      </c>
      <c r="D1765" s="14">
        <v>753.99999999999989</v>
      </c>
      <c r="E1765" s="14">
        <v>4931.9999999999991</v>
      </c>
      <c r="F1765" s="14">
        <v>79.333333333333329</v>
      </c>
      <c r="G1765" s="14">
        <v>447.33333333333326</v>
      </c>
      <c r="H1765" s="14">
        <v>100.66666666666666</v>
      </c>
      <c r="I1765" s="14">
        <v>305.33333333333331</v>
      </c>
    </row>
    <row r="1766" spans="1:11" ht="16.5" x14ac:dyDescent="0.2">
      <c r="A1766" s="4" t="s">
        <v>132</v>
      </c>
      <c r="B1766">
        <v>2011</v>
      </c>
      <c r="C1766" s="14">
        <v>1036.6666666666665</v>
      </c>
      <c r="D1766" s="14">
        <v>750.66666666666652</v>
      </c>
      <c r="E1766" s="14">
        <v>4925.9999999999991</v>
      </c>
      <c r="F1766" s="14">
        <v>78.666666666666671</v>
      </c>
      <c r="G1766" s="14">
        <v>451.3333333333332</v>
      </c>
      <c r="H1766" s="14">
        <v>106.66666666666666</v>
      </c>
      <c r="I1766" s="14">
        <v>304.66666666666669</v>
      </c>
      <c r="K1766" s="15"/>
    </row>
    <row r="1767" spans="1:11" ht="16.5" x14ac:dyDescent="0.2">
      <c r="A1767" s="4" t="s">
        <v>132</v>
      </c>
      <c r="B1767">
        <v>2012</v>
      </c>
      <c r="C1767" s="14">
        <v>1035.3333333333333</v>
      </c>
      <c r="D1767" s="14">
        <v>749.99999999999989</v>
      </c>
      <c r="E1767" s="14">
        <v>4924</v>
      </c>
      <c r="F1767" s="14">
        <v>78.666666666666671</v>
      </c>
      <c r="G1767" s="14">
        <v>455.99999999999989</v>
      </c>
      <c r="H1767" s="14">
        <v>106.66666666666666</v>
      </c>
      <c r="I1767" s="14">
        <v>304</v>
      </c>
    </row>
    <row r="1768" spans="1:11" ht="16.5" x14ac:dyDescent="0.2">
      <c r="A1768" s="4" t="s">
        <v>132</v>
      </c>
      <c r="B1768">
        <v>2013</v>
      </c>
      <c r="C1768" s="14">
        <v>1032</v>
      </c>
      <c r="D1768" s="14">
        <v>748</v>
      </c>
      <c r="E1768" s="14">
        <v>4921.333333333333</v>
      </c>
      <c r="F1768" s="14">
        <v>77.999999999999986</v>
      </c>
      <c r="G1768" s="14">
        <v>459.99999999999994</v>
      </c>
      <c r="H1768" s="14">
        <v>112</v>
      </c>
      <c r="I1768" s="14">
        <v>303.33333333333331</v>
      </c>
      <c r="K1768" s="15"/>
    </row>
    <row r="1769" spans="1:11" ht="16.5" x14ac:dyDescent="0.2">
      <c r="A1769" s="4" t="s">
        <v>132</v>
      </c>
      <c r="B1769">
        <v>2014</v>
      </c>
      <c r="C1769" s="14">
        <v>1030.6666666666665</v>
      </c>
      <c r="D1769" s="14">
        <v>744.66666666666663</v>
      </c>
      <c r="E1769" s="14">
        <v>4915.9999999999991</v>
      </c>
      <c r="F1769" s="14">
        <v>77.999999999999986</v>
      </c>
      <c r="G1769" s="14">
        <v>468.66666666666663</v>
      </c>
      <c r="H1769" s="14">
        <v>115.99999999999999</v>
      </c>
      <c r="I1769" s="14">
        <v>301.99999999999994</v>
      </c>
    </row>
    <row r="1770" spans="1:11" ht="16.5" x14ac:dyDescent="0.2">
      <c r="A1770" s="4" t="s">
        <v>132</v>
      </c>
      <c r="B1770">
        <v>2015</v>
      </c>
      <c r="C1770" s="14">
        <v>1027.9999999999998</v>
      </c>
      <c r="D1770" s="14">
        <v>741.99999999999989</v>
      </c>
      <c r="E1770" s="14">
        <v>4910.6666666666661</v>
      </c>
      <c r="F1770" s="14">
        <v>77.333333333333329</v>
      </c>
      <c r="G1770" s="14">
        <v>479.99999999999994</v>
      </c>
      <c r="H1770" s="14">
        <v>117.33333333333333</v>
      </c>
      <c r="I1770" s="14">
        <v>300.66666666666663</v>
      </c>
    </row>
    <row r="1771" spans="1:11" ht="16.5" x14ac:dyDescent="0.2">
      <c r="A1771" s="4" t="s">
        <v>132</v>
      </c>
      <c r="B1771">
        <v>2016</v>
      </c>
      <c r="C1771" s="14">
        <v>1024.6666666666665</v>
      </c>
      <c r="D1771" s="14">
        <v>739.33333333333326</v>
      </c>
      <c r="E1771" s="14">
        <v>4907.333333333333</v>
      </c>
      <c r="F1771" s="14">
        <v>77.333333333333329</v>
      </c>
      <c r="G1771" s="14">
        <v>488.66666666666663</v>
      </c>
      <c r="H1771" s="14">
        <v>119.99999999999999</v>
      </c>
      <c r="I1771" s="14">
        <v>300</v>
      </c>
      <c r="K1771" s="15"/>
    </row>
    <row r="1772" spans="1:11" ht="16.5" x14ac:dyDescent="0.2">
      <c r="A1772" s="4" t="s">
        <v>131</v>
      </c>
      <c r="B1772">
        <v>2009</v>
      </c>
      <c r="C1772" s="14">
        <v>6906.6666666666661</v>
      </c>
      <c r="D1772" s="14">
        <v>856</v>
      </c>
      <c r="E1772" s="14">
        <v>9779.3333333333339</v>
      </c>
      <c r="F1772" s="14">
        <v>483.33333333333331</v>
      </c>
      <c r="G1772" s="14">
        <v>1093.9999999999998</v>
      </c>
      <c r="H1772" s="14">
        <v>332.66666666666663</v>
      </c>
      <c r="I1772" s="14">
        <v>1083.3333333333333</v>
      </c>
    </row>
    <row r="1773" spans="1:11" ht="16.5" x14ac:dyDescent="0.2">
      <c r="A1773" s="4" t="s">
        <v>131</v>
      </c>
      <c r="B1773">
        <v>2010</v>
      </c>
      <c r="C1773" s="14">
        <v>6884.6666666666661</v>
      </c>
      <c r="D1773" s="14">
        <v>849.99999999999989</v>
      </c>
      <c r="E1773" s="14">
        <v>9763.3333333333321</v>
      </c>
      <c r="F1773" s="14">
        <v>480.66666666666657</v>
      </c>
      <c r="G1773" s="14">
        <v>1135.3333333333333</v>
      </c>
      <c r="H1773" s="14">
        <v>343.33333333333331</v>
      </c>
      <c r="I1773" s="14">
        <v>1078.6666666666667</v>
      </c>
      <c r="K1773" s="15"/>
    </row>
    <row r="1774" spans="1:11" ht="16.5" x14ac:dyDescent="0.2">
      <c r="A1774" s="4" t="s">
        <v>131</v>
      </c>
      <c r="B1774">
        <v>2011</v>
      </c>
      <c r="C1774" s="14">
        <v>6873.333333333333</v>
      </c>
      <c r="D1774" s="14">
        <v>846.66666666666663</v>
      </c>
      <c r="E1774" s="14">
        <v>9755.3333333333321</v>
      </c>
      <c r="F1774" s="14">
        <v>478</v>
      </c>
      <c r="G1774" s="14">
        <v>1148.6666666666667</v>
      </c>
      <c r="H1774" s="14">
        <v>353.33333333333331</v>
      </c>
      <c r="I1774" s="14">
        <v>1079.3333333333333</v>
      </c>
    </row>
    <row r="1775" spans="1:11" ht="16.5" x14ac:dyDescent="0.2">
      <c r="A1775" s="4" t="s">
        <v>131</v>
      </c>
      <c r="B1775">
        <v>2012</v>
      </c>
      <c r="C1775" s="14">
        <v>6863.9999999999991</v>
      </c>
      <c r="D1775" s="14">
        <v>843.99999999999989</v>
      </c>
      <c r="E1775" s="14">
        <v>9750.6666666666661</v>
      </c>
      <c r="F1775" s="14">
        <v>476.66666666666663</v>
      </c>
      <c r="G1775" s="14">
        <v>1160</v>
      </c>
      <c r="H1775" s="14">
        <v>361.99999999999994</v>
      </c>
      <c r="I1775" s="14">
        <v>1078.6666666666667</v>
      </c>
    </row>
    <row r="1776" spans="1:11" ht="16.5" x14ac:dyDescent="0.2">
      <c r="A1776" s="4" t="s">
        <v>131</v>
      </c>
      <c r="B1776">
        <v>2013</v>
      </c>
      <c r="C1776" s="14">
        <v>6854.6666666666661</v>
      </c>
      <c r="D1776" s="14">
        <v>837.33333333333326</v>
      </c>
      <c r="E1776" s="14">
        <v>9737.3333333333321</v>
      </c>
      <c r="F1776" s="14">
        <v>473.33333333333331</v>
      </c>
      <c r="G1776" s="14">
        <v>1187.3333333333333</v>
      </c>
      <c r="H1776" s="14">
        <v>368.66666666666663</v>
      </c>
      <c r="I1776" s="14">
        <v>1075.3333333333333</v>
      </c>
      <c r="K1776" s="15"/>
    </row>
    <row r="1777" spans="1:11" ht="16.5" x14ac:dyDescent="0.2">
      <c r="A1777" s="4" t="s">
        <v>131</v>
      </c>
      <c r="B1777">
        <v>2014</v>
      </c>
      <c r="C1777" s="14">
        <v>6836</v>
      </c>
      <c r="D1777" s="14">
        <v>833.33333333333326</v>
      </c>
      <c r="E1777" s="14">
        <v>9730</v>
      </c>
      <c r="F1777" s="14">
        <v>471.99999999999994</v>
      </c>
      <c r="G1777" s="14">
        <v>1216</v>
      </c>
      <c r="H1777" s="14">
        <v>374</v>
      </c>
      <c r="I1777" s="14">
        <v>1072</v>
      </c>
    </row>
    <row r="1778" spans="1:11" ht="16.5" x14ac:dyDescent="0.2">
      <c r="A1778" s="4" t="s">
        <v>131</v>
      </c>
      <c r="B1778">
        <v>2015</v>
      </c>
      <c r="C1778" s="14">
        <v>6824.6666666666661</v>
      </c>
      <c r="D1778" s="14">
        <v>830.66666666666652</v>
      </c>
      <c r="E1778" s="14">
        <v>9723.3333333333321</v>
      </c>
      <c r="F1778" s="14">
        <v>470.66666666666657</v>
      </c>
      <c r="G1778" s="14">
        <v>1237.3333333333333</v>
      </c>
      <c r="H1778" s="14">
        <v>376.66666666666663</v>
      </c>
      <c r="I1778" s="14">
        <v>1069.3333333333333</v>
      </c>
      <c r="K1778" s="15"/>
    </row>
    <row r="1779" spans="1:11" ht="16.5" x14ac:dyDescent="0.2">
      <c r="A1779" s="4" t="s">
        <v>131</v>
      </c>
      <c r="B1779">
        <v>2016</v>
      </c>
      <c r="C1779" s="14">
        <v>6809.333333333333</v>
      </c>
      <c r="D1779" s="14">
        <v>827.33333333333326</v>
      </c>
      <c r="E1779" s="14">
        <v>9716.6666666666661</v>
      </c>
      <c r="F1779" s="14">
        <v>469.33333333333331</v>
      </c>
      <c r="G1779" s="14">
        <v>1256</v>
      </c>
      <c r="H1779" s="14">
        <v>384.66666666666663</v>
      </c>
      <c r="I1779" s="14">
        <v>1070</v>
      </c>
    </row>
    <row r="1780" spans="1:11" ht="16.5" x14ac:dyDescent="0.2">
      <c r="A1780" s="4" t="s">
        <v>130</v>
      </c>
      <c r="B1780">
        <v>2009</v>
      </c>
      <c r="C1780" s="14">
        <v>3555.3333333333326</v>
      </c>
      <c r="D1780" s="14">
        <v>494.66666666666663</v>
      </c>
      <c r="E1780" s="14">
        <v>11095.333333333332</v>
      </c>
      <c r="F1780" s="14">
        <v>1160.6666666666665</v>
      </c>
      <c r="G1780" s="14">
        <v>549.33333333333326</v>
      </c>
      <c r="H1780" s="14">
        <v>216.66666666666666</v>
      </c>
      <c r="I1780" s="14">
        <v>604.66666666666663</v>
      </c>
    </row>
    <row r="1781" spans="1:11" ht="16.5" x14ac:dyDescent="0.2">
      <c r="A1781" s="4" t="s">
        <v>130</v>
      </c>
      <c r="B1781">
        <v>2010</v>
      </c>
      <c r="C1781" s="14">
        <v>3546.6666666666665</v>
      </c>
      <c r="D1781" s="14">
        <v>491.99999999999994</v>
      </c>
      <c r="E1781" s="14">
        <v>11089.333333333332</v>
      </c>
      <c r="F1781" s="14">
        <v>1156.6666666666665</v>
      </c>
      <c r="G1781" s="14">
        <v>568.66666666666652</v>
      </c>
      <c r="H1781" s="14">
        <v>219.99999999999997</v>
      </c>
      <c r="I1781" s="14">
        <v>601.99999999999989</v>
      </c>
      <c r="K1781" s="15"/>
    </row>
    <row r="1782" spans="1:11" ht="16.5" x14ac:dyDescent="0.2">
      <c r="A1782" s="4" t="s">
        <v>130</v>
      </c>
      <c r="B1782">
        <v>2011</v>
      </c>
      <c r="C1782" s="14">
        <v>3543.333333333333</v>
      </c>
      <c r="D1782" s="14">
        <v>490.66666666666657</v>
      </c>
      <c r="E1782" s="14">
        <v>11085.333333333332</v>
      </c>
      <c r="F1782" s="14">
        <v>1154.6666666666665</v>
      </c>
      <c r="G1782" s="14">
        <v>577.33333333333326</v>
      </c>
      <c r="H1782" s="14">
        <v>222.66666666666663</v>
      </c>
      <c r="I1782" s="14">
        <v>601.33333333333326</v>
      </c>
    </row>
    <row r="1783" spans="1:11" ht="16.5" x14ac:dyDescent="0.2">
      <c r="A1783" s="4" t="s">
        <v>130</v>
      </c>
      <c r="B1783">
        <v>2012</v>
      </c>
      <c r="C1783" s="14">
        <v>3529.333333333333</v>
      </c>
      <c r="D1783" s="14">
        <v>489.33333333333331</v>
      </c>
      <c r="E1783" s="14">
        <v>11078</v>
      </c>
      <c r="F1783" s="14">
        <v>1153.9999999999998</v>
      </c>
      <c r="G1783" s="14">
        <v>590</v>
      </c>
      <c r="H1783" s="14">
        <v>234</v>
      </c>
      <c r="I1783" s="14">
        <v>600</v>
      </c>
      <c r="K1783" s="15"/>
    </row>
    <row r="1784" spans="1:11" ht="16.5" x14ac:dyDescent="0.2">
      <c r="A1784" s="4" t="s">
        <v>130</v>
      </c>
      <c r="B1784">
        <v>2013</v>
      </c>
      <c r="C1784" s="14">
        <v>3515.3333333333326</v>
      </c>
      <c r="D1784" s="14">
        <v>487.33333333333326</v>
      </c>
      <c r="E1784" s="14">
        <v>11074.666666666666</v>
      </c>
      <c r="F1784" s="14">
        <v>1152.6666666666665</v>
      </c>
      <c r="G1784" s="14">
        <v>608.66666666666663</v>
      </c>
      <c r="H1784" s="14">
        <v>236.66666666666666</v>
      </c>
      <c r="I1784" s="14">
        <v>598</v>
      </c>
    </row>
    <row r="1785" spans="1:11" ht="16.5" x14ac:dyDescent="0.2">
      <c r="A1785" s="4" t="s">
        <v>130</v>
      </c>
      <c r="B1785">
        <v>2014</v>
      </c>
      <c r="C1785" s="14">
        <v>3505.9999999999995</v>
      </c>
      <c r="D1785" s="14">
        <v>485.33333333333326</v>
      </c>
      <c r="E1785" s="14">
        <v>11071.333333333332</v>
      </c>
      <c r="F1785" s="14">
        <v>1152</v>
      </c>
      <c r="G1785" s="14">
        <v>620.66666666666663</v>
      </c>
      <c r="H1785" s="14">
        <v>239.99999999999997</v>
      </c>
      <c r="I1785" s="14">
        <v>597.33333333333326</v>
      </c>
    </row>
    <row r="1786" spans="1:11" ht="16.5" x14ac:dyDescent="0.2">
      <c r="A1786" s="4" t="s">
        <v>130</v>
      </c>
      <c r="B1786">
        <v>2015</v>
      </c>
      <c r="C1786" s="14">
        <v>3493.333333333333</v>
      </c>
      <c r="D1786" s="14">
        <v>483.99999999999994</v>
      </c>
      <c r="E1786" s="14">
        <v>11066</v>
      </c>
      <c r="F1786" s="14">
        <v>1151.3333333333333</v>
      </c>
      <c r="G1786" s="14">
        <v>637.33333333333326</v>
      </c>
      <c r="H1786" s="14">
        <v>244</v>
      </c>
      <c r="I1786" s="14">
        <v>596</v>
      </c>
      <c r="K1786" s="15"/>
    </row>
    <row r="1787" spans="1:11" ht="16.5" x14ac:dyDescent="0.2">
      <c r="A1787" s="4" t="s">
        <v>130</v>
      </c>
      <c r="B1787">
        <v>2016</v>
      </c>
      <c r="C1787" s="14">
        <v>3484.6666666666665</v>
      </c>
      <c r="D1787" s="14">
        <v>483.33333333333331</v>
      </c>
      <c r="E1787" s="14">
        <v>11063.333333333332</v>
      </c>
      <c r="F1787" s="14">
        <v>1150.6666666666665</v>
      </c>
      <c r="G1787" s="14">
        <v>648.66666666666663</v>
      </c>
      <c r="H1787" s="14">
        <v>245.99999999999997</v>
      </c>
      <c r="I1787" s="14">
        <v>595.33333333333326</v>
      </c>
    </row>
    <row r="1788" spans="1:11" ht="16.5" x14ac:dyDescent="0.2">
      <c r="A1788" s="4" t="s">
        <v>129</v>
      </c>
      <c r="B1788">
        <v>2009</v>
      </c>
      <c r="C1788" s="14">
        <v>3281.333333333333</v>
      </c>
      <c r="D1788" s="14">
        <v>2153.333333333333</v>
      </c>
      <c r="E1788" s="14">
        <v>18452</v>
      </c>
      <c r="F1788" s="14">
        <v>1247.9999999999998</v>
      </c>
      <c r="G1788" s="14">
        <v>833.99999999999989</v>
      </c>
      <c r="H1788" s="14">
        <v>244</v>
      </c>
      <c r="I1788" s="14">
        <v>731.99999999999989</v>
      </c>
      <c r="K1788" s="15"/>
    </row>
    <row r="1789" spans="1:11" ht="16.5" x14ac:dyDescent="0.2">
      <c r="A1789" s="4" t="s">
        <v>129</v>
      </c>
      <c r="B1789">
        <v>2010</v>
      </c>
      <c r="C1789" s="14">
        <v>3292</v>
      </c>
      <c r="D1789" s="14">
        <v>2136.6666666666665</v>
      </c>
      <c r="E1789" s="14">
        <v>18442.666666666664</v>
      </c>
      <c r="F1789" s="14">
        <v>1243.9999999999998</v>
      </c>
      <c r="G1789" s="14">
        <v>851.33333333333326</v>
      </c>
      <c r="H1789" s="14">
        <v>248.66666666666663</v>
      </c>
      <c r="I1789" s="14">
        <v>729.99999999999989</v>
      </c>
    </row>
    <row r="1790" spans="1:11" ht="16.5" x14ac:dyDescent="0.2">
      <c r="A1790" s="4" t="s">
        <v>129</v>
      </c>
      <c r="B1790">
        <v>2011</v>
      </c>
      <c r="C1790" s="14">
        <v>3295.333333333333</v>
      </c>
      <c r="D1790" s="14">
        <v>2127.9999999999995</v>
      </c>
      <c r="E1790" s="14">
        <v>18426.666666666664</v>
      </c>
      <c r="F1790" s="14">
        <v>1243.3333333333333</v>
      </c>
      <c r="G1790" s="14">
        <v>858.66666666666663</v>
      </c>
      <c r="H1790" s="14">
        <v>255.33333333333329</v>
      </c>
      <c r="I1790" s="14">
        <v>736.66666666666663</v>
      </c>
    </row>
    <row r="1791" spans="1:11" ht="16.5" x14ac:dyDescent="0.2">
      <c r="A1791" s="4" t="s">
        <v>129</v>
      </c>
      <c r="B1791">
        <v>2012</v>
      </c>
      <c r="C1791" s="14">
        <v>3289.333333333333</v>
      </c>
      <c r="D1791" s="14">
        <v>2122.6666666666665</v>
      </c>
      <c r="E1791" s="14">
        <v>18420</v>
      </c>
      <c r="F1791" s="14">
        <v>1245.3333333333333</v>
      </c>
      <c r="G1791" s="14">
        <v>872.66666666666663</v>
      </c>
      <c r="H1791" s="14">
        <v>259.33333333333331</v>
      </c>
      <c r="I1791" s="14">
        <v>735.33333333333326</v>
      </c>
      <c r="K1791" s="15"/>
    </row>
    <row r="1792" spans="1:11" ht="16.5" x14ac:dyDescent="0.2">
      <c r="A1792" s="4" t="s">
        <v>129</v>
      </c>
      <c r="B1792">
        <v>2013</v>
      </c>
      <c r="C1792" s="14">
        <v>3306.6666666666665</v>
      </c>
      <c r="D1792" s="14">
        <v>2105.333333333333</v>
      </c>
      <c r="E1792" s="14">
        <v>18412.666666666664</v>
      </c>
      <c r="F1792" s="14">
        <v>1242</v>
      </c>
      <c r="G1792" s="14">
        <v>880.66666666666674</v>
      </c>
      <c r="H1792" s="14">
        <v>261.33333333333331</v>
      </c>
      <c r="I1792" s="14">
        <v>733.99999999999989</v>
      </c>
    </row>
    <row r="1793" spans="1:11" ht="16.5" x14ac:dyDescent="0.2">
      <c r="A1793" s="4" t="s">
        <v>129</v>
      </c>
      <c r="B1793">
        <v>2014</v>
      </c>
      <c r="C1793" s="14">
        <v>3297.9999999999995</v>
      </c>
      <c r="D1793" s="14">
        <v>2101.333333333333</v>
      </c>
      <c r="E1793" s="14">
        <v>18402.666666666664</v>
      </c>
      <c r="F1793" s="14">
        <v>1240</v>
      </c>
      <c r="G1793" s="14">
        <v>890.66666666666652</v>
      </c>
      <c r="H1793" s="14">
        <v>268.66666666666663</v>
      </c>
      <c r="I1793" s="14">
        <v>739.99999999999989</v>
      </c>
      <c r="K1793" s="15"/>
    </row>
    <row r="1794" spans="1:11" ht="16.5" x14ac:dyDescent="0.2">
      <c r="A1794" s="4" t="s">
        <v>129</v>
      </c>
      <c r="B1794">
        <v>2015</v>
      </c>
      <c r="C1794" s="14">
        <v>3294</v>
      </c>
      <c r="D1794" s="14">
        <v>2098.6666666666665</v>
      </c>
      <c r="E1794" s="14">
        <v>18399.333333333332</v>
      </c>
      <c r="F1794" s="14">
        <v>1238.6666666666667</v>
      </c>
      <c r="G1794" s="14">
        <v>900.66666666666652</v>
      </c>
      <c r="H1794" s="14">
        <v>270</v>
      </c>
      <c r="I1794" s="14">
        <v>738.66666666666663</v>
      </c>
    </row>
    <row r="1795" spans="1:11" ht="16.5" x14ac:dyDescent="0.2">
      <c r="A1795" s="4" t="s">
        <v>129</v>
      </c>
      <c r="B1795">
        <v>2016</v>
      </c>
      <c r="C1795" s="14">
        <v>3289.9999999999995</v>
      </c>
      <c r="D1795" s="14">
        <v>2096.6666666666665</v>
      </c>
      <c r="E1795" s="14">
        <v>18396</v>
      </c>
      <c r="F1795" s="14">
        <v>1237.3333333333333</v>
      </c>
      <c r="G1795" s="14">
        <v>907.99999999999989</v>
      </c>
      <c r="H1795" s="14">
        <v>273.33333333333331</v>
      </c>
      <c r="I1795" s="14">
        <v>738</v>
      </c>
    </row>
    <row r="1796" spans="1:11" ht="16.5" x14ac:dyDescent="0.2">
      <c r="A1796" s="4" t="s">
        <v>128</v>
      </c>
      <c r="B1796">
        <v>2009</v>
      </c>
      <c r="C1796" s="14">
        <v>1401.333333333333</v>
      </c>
      <c r="D1796" s="14">
        <v>461.33333333333331</v>
      </c>
      <c r="E1796" s="14">
        <v>9332.6666666666661</v>
      </c>
      <c r="F1796" s="14">
        <v>294.66666666666669</v>
      </c>
      <c r="G1796" s="14">
        <v>394.66666666666663</v>
      </c>
      <c r="H1796" s="14">
        <v>117.33333333333333</v>
      </c>
      <c r="I1796" s="14">
        <v>410.66666666666663</v>
      </c>
      <c r="K1796" s="15"/>
    </row>
    <row r="1797" spans="1:11" ht="16.5" x14ac:dyDescent="0.2">
      <c r="A1797" s="4" t="s">
        <v>128</v>
      </c>
      <c r="B1797">
        <v>2010</v>
      </c>
      <c r="C1797" s="14">
        <v>1400.6666666666665</v>
      </c>
      <c r="D1797" s="14">
        <v>460.66666666666657</v>
      </c>
      <c r="E1797" s="14">
        <v>9327.3333333333321</v>
      </c>
      <c r="F1797" s="14">
        <v>294</v>
      </c>
      <c r="G1797" s="14">
        <v>402.66666666666663</v>
      </c>
      <c r="H1797" s="14">
        <v>117.33333333333333</v>
      </c>
      <c r="I1797" s="14">
        <v>409.99999999999994</v>
      </c>
    </row>
    <row r="1798" spans="1:11" ht="16.5" x14ac:dyDescent="0.2">
      <c r="A1798" s="4" t="s">
        <v>128</v>
      </c>
      <c r="B1798">
        <v>2011</v>
      </c>
      <c r="C1798" s="14">
        <v>1398.6666666666665</v>
      </c>
      <c r="D1798" s="14">
        <v>459.99999999999994</v>
      </c>
      <c r="E1798" s="14">
        <v>9321.3333333333321</v>
      </c>
      <c r="F1798" s="14">
        <v>294</v>
      </c>
      <c r="G1798" s="14">
        <v>408.66666666666663</v>
      </c>
      <c r="H1798" s="14">
        <v>121.33333333333331</v>
      </c>
      <c r="I1798" s="14">
        <v>409.99999999999994</v>
      </c>
      <c r="K1798" s="15"/>
    </row>
    <row r="1799" spans="1:11" ht="16.5" x14ac:dyDescent="0.2">
      <c r="A1799" s="4" t="s">
        <v>128</v>
      </c>
      <c r="B1799">
        <v>2012</v>
      </c>
      <c r="C1799" s="14">
        <v>1390.6666666666665</v>
      </c>
      <c r="D1799" s="14">
        <v>459.33333333333331</v>
      </c>
      <c r="E1799" s="14">
        <v>9314.6666666666661</v>
      </c>
      <c r="F1799" s="14">
        <v>290.66666666666663</v>
      </c>
      <c r="G1799" s="14">
        <v>413.33333333333331</v>
      </c>
      <c r="H1799" s="14">
        <v>125.33333333333333</v>
      </c>
      <c r="I1799" s="14">
        <v>419.99999999999994</v>
      </c>
    </row>
    <row r="1800" spans="1:11" ht="16.5" x14ac:dyDescent="0.2">
      <c r="A1800" s="4" t="s">
        <v>128</v>
      </c>
      <c r="B1800">
        <v>2013</v>
      </c>
      <c r="C1800" s="14">
        <v>1389.9999999999998</v>
      </c>
      <c r="D1800" s="14">
        <v>458.66666666666663</v>
      </c>
      <c r="E1800" s="14">
        <v>9307.3333333333321</v>
      </c>
      <c r="F1800" s="14">
        <v>288.66666666666663</v>
      </c>
      <c r="G1800" s="14">
        <v>425.99999999999994</v>
      </c>
      <c r="H1800" s="14">
        <v>125.33333333333333</v>
      </c>
      <c r="I1800" s="14">
        <v>418.66666666666663</v>
      </c>
    </row>
    <row r="1801" spans="1:11" ht="16.5" x14ac:dyDescent="0.2">
      <c r="A1801" s="4" t="s">
        <v>128</v>
      </c>
      <c r="B1801">
        <v>2014</v>
      </c>
      <c r="C1801" s="14">
        <v>1387.9999999999998</v>
      </c>
      <c r="D1801" s="14">
        <v>458</v>
      </c>
      <c r="E1801" s="14">
        <v>9303.3333333333321</v>
      </c>
      <c r="F1801" s="14">
        <v>288</v>
      </c>
      <c r="G1801" s="14">
        <v>431.99999999999994</v>
      </c>
      <c r="H1801" s="14">
        <v>126.66666666666666</v>
      </c>
      <c r="I1801" s="14">
        <v>418</v>
      </c>
      <c r="K1801" s="15"/>
    </row>
    <row r="1802" spans="1:11" ht="16.5" x14ac:dyDescent="0.2">
      <c r="A1802" s="4" t="s">
        <v>128</v>
      </c>
      <c r="B1802">
        <v>2015</v>
      </c>
      <c r="C1802" s="14">
        <v>1386</v>
      </c>
      <c r="D1802" s="14">
        <v>456.66666666666663</v>
      </c>
      <c r="E1802" s="14">
        <v>9299.3333333333339</v>
      </c>
      <c r="F1802" s="14">
        <v>287.33333333333331</v>
      </c>
      <c r="G1802" s="14">
        <v>440.66666666666657</v>
      </c>
      <c r="H1802" s="14">
        <v>126.66666666666666</v>
      </c>
      <c r="I1802" s="14">
        <v>418</v>
      </c>
    </row>
    <row r="1803" spans="1:11" ht="16.5" x14ac:dyDescent="0.2">
      <c r="A1803" s="4" t="s">
        <v>128</v>
      </c>
      <c r="B1803">
        <v>2016</v>
      </c>
      <c r="C1803" s="14">
        <v>1383.9999999999998</v>
      </c>
      <c r="D1803" s="14">
        <v>456.66666666666663</v>
      </c>
      <c r="E1803" s="14">
        <v>9294.6666666666661</v>
      </c>
      <c r="F1803" s="14">
        <v>287.33333333333331</v>
      </c>
      <c r="G1803" s="14">
        <v>448</v>
      </c>
      <c r="H1803" s="14">
        <v>127.33333333333333</v>
      </c>
      <c r="I1803" s="14">
        <v>417.33333333333331</v>
      </c>
      <c r="K1803" s="15"/>
    </row>
    <row r="1804" spans="1:11" ht="16.5" x14ac:dyDescent="0.2">
      <c r="A1804" s="4" t="s">
        <v>127</v>
      </c>
      <c r="B1804">
        <v>2009</v>
      </c>
      <c r="C1804" s="14">
        <v>1253.3333333333333</v>
      </c>
      <c r="D1804" s="14">
        <v>68.666666666666671</v>
      </c>
      <c r="E1804" s="14">
        <v>992</v>
      </c>
      <c r="F1804" s="14">
        <v>83.999999999999986</v>
      </c>
      <c r="G1804" s="14">
        <v>444.66666666666663</v>
      </c>
      <c r="H1804" s="14">
        <v>76.666666666666657</v>
      </c>
      <c r="I1804" s="14">
        <v>966</v>
      </c>
    </row>
    <row r="1805" spans="1:11" ht="16.5" x14ac:dyDescent="0.2">
      <c r="A1805" s="4" t="s">
        <v>127</v>
      </c>
      <c r="B1805">
        <v>2010</v>
      </c>
      <c r="C1805" s="14">
        <v>1250</v>
      </c>
      <c r="D1805" s="14">
        <v>68.666666666666671</v>
      </c>
      <c r="E1805" s="14">
        <v>990.66666666666652</v>
      </c>
      <c r="F1805" s="14">
        <v>83.999999999999986</v>
      </c>
      <c r="G1805" s="14">
        <v>449.33333333333331</v>
      </c>
      <c r="H1805" s="14">
        <v>77.333333333333329</v>
      </c>
      <c r="I1805" s="14">
        <v>965.33333333333337</v>
      </c>
    </row>
    <row r="1806" spans="1:11" ht="16.5" x14ac:dyDescent="0.2">
      <c r="A1806" s="4" t="s">
        <v>127</v>
      </c>
      <c r="B1806">
        <v>2011</v>
      </c>
      <c r="C1806" s="14">
        <v>1247.3333333333333</v>
      </c>
      <c r="D1806" s="14">
        <v>68.666666666666671</v>
      </c>
      <c r="E1806" s="14">
        <v>988.66666666666663</v>
      </c>
      <c r="F1806" s="14">
        <v>83.999999999999986</v>
      </c>
      <c r="G1806" s="14">
        <v>455.33333333333337</v>
      </c>
      <c r="H1806" s="14">
        <v>77.999999999999986</v>
      </c>
      <c r="I1806" s="14">
        <v>964.66666666666652</v>
      </c>
      <c r="K1806" s="15"/>
    </row>
    <row r="1807" spans="1:11" ht="16.5" x14ac:dyDescent="0.2">
      <c r="A1807" s="4" t="s">
        <v>127</v>
      </c>
      <c r="B1807">
        <v>2012</v>
      </c>
      <c r="C1807" s="14">
        <v>1244.6666666666665</v>
      </c>
      <c r="D1807" s="14">
        <v>67.999999999999986</v>
      </c>
      <c r="E1807" s="14">
        <v>986</v>
      </c>
      <c r="F1807" s="14">
        <v>83.333333333333329</v>
      </c>
      <c r="G1807" s="14">
        <v>458.66666666666663</v>
      </c>
      <c r="H1807" s="14">
        <v>82.666666666666657</v>
      </c>
      <c r="I1807" s="14">
        <v>963.33333333333326</v>
      </c>
    </row>
    <row r="1808" spans="1:11" ht="16.5" x14ac:dyDescent="0.2">
      <c r="A1808" s="4" t="s">
        <v>127</v>
      </c>
      <c r="B1808">
        <v>2013</v>
      </c>
      <c r="C1808" s="14">
        <v>1247.9999999999998</v>
      </c>
      <c r="D1808" s="14">
        <v>67.999999999999986</v>
      </c>
      <c r="E1808" s="14">
        <v>981.33333333333314</v>
      </c>
      <c r="F1808" s="14">
        <v>80.666666666666657</v>
      </c>
      <c r="G1808" s="14">
        <v>462.66666666666669</v>
      </c>
      <c r="H1808" s="14">
        <v>82.666666666666657</v>
      </c>
      <c r="I1808" s="14">
        <v>962</v>
      </c>
      <c r="K1808" s="15"/>
    </row>
    <row r="1809" spans="1:11" ht="16.5" x14ac:dyDescent="0.2">
      <c r="A1809" s="4" t="s">
        <v>127</v>
      </c>
      <c r="B1809">
        <v>2014</v>
      </c>
      <c r="C1809" s="14">
        <v>1245.3333333333333</v>
      </c>
      <c r="D1809" s="14">
        <v>67.333333333333329</v>
      </c>
      <c r="E1809" s="14">
        <v>979.33333333333326</v>
      </c>
      <c r="F1809" s="14">
        <v>80.666666666666657</v>
      </c>
      <c r="G1809" s="14">
        <v>468.66666666666669</v>
      </c>
      <c r="H1809" s="14">
        <v>83.999999999999986</v>
      </c>
      <c r="I1809" s="14">
        <v>959.99999999999989</v>
      </c>
    </row>
    <row r="1810" spans="1:11" ht="16.5" x14ac:dyDescent="0.2">
      <c r="A1810" s="4" t="s">
        <v>127</v>
      </c>
      <c r="B1810">
        <v>2015</v>
      </c>
      <c r="C1810" s="14">
        <v>1242</v>
      </c>
      <c r="D1810" s="14">
        <v>66.666666666666657</v>
      </c>
      <c r="E1810" s="14">
        <v>977.33333333333326</v>
      </c>
      <c r="F1810" s="14">
        <v>80.666666666666657</v>
      </c>
      <c r="G1810" s="14">
        <v>473.33333333333331</v>
      </c>
      <c r="H1810" s="14">
        <v>86.666666666666657</v>
      </c>
      <c r="I1810" s="14">
        <v>959.33333333333326</v>
      </c>
    </row>
    <row r="1811" spans="1:11" ht="16.5" x14ac:dyDescent="0.2">
      <c r="A1811" s="4" t="s">
        <v>127</v>
      </c>
      <c r="B1811">
        <v>2016</v>
      </c>
      <c r="C1811" s="14">
        <v>1240.6666666666665</v>
      </c>
      <c r="D1811" s="14">
        <v>66.666666666666657</v>
      </c>
      <c r="E1811" s="14">
        <v>976</v>
      </c>
      <c r="F1811" s="14">
        <v>80.666666666666657</v>
      </c>
      <c r="G1811" s="14">
        <v>479.99999999999994</v>
      </c>
      <c r="H1811" s="14">
        <v>87.333333333333329</v>
      </c>
      <c r="I1811" s="14">
        <v>955.33333333333337</v>
      </c>
      <c r="K1811" s="15"/>
    </row>
    <row r="1812" spans="1:11" ht="16.5" x14ac:dyDescent="0.2">
      <c r="A1812" s="4" t="s">
        <v>126</v>
      </c>
      <c r="B1812">
        <v>2009</v>
      </c>
      <c r="C1812" s="14">
        <v>917.99999999999989</v>
      </c>
      <c r="D1812" s="14">
        <v>152</v>
      </c>
      <c r="E1812" s="14">
        <v>3968</v>
      </c>
      <c r="F1812" s="14">
        <v>313.33333333333331</v>
      </c>
      <c r="G1812" s="14">
        <v>202.66666666666663</v>
      </c>
      <c r="H1812" s="14">
        <v>69.333333333333329</v>
      </c>
      <c r="I1812" s="14">
        <v>546.66666666666663</v>
      </c>
    </row>
    <row r="1813" spans="1:11" ht="16.5" x14ac:dyDescent="0.2">
      <c r="A1813" s="4" t="s">
        <v>126</v>
      </c>
      <c r="B1813">
        <v>2010</v>
      </c>
      <c r="C1813" s="14">
        <v>916.66666666666663</v>
      </c>
      <c r="D1813" s="14">
        <v>151.33333333333331</v>
      </c>
      <c r="E1813" s="14">
        <v>3964</v>
      </c>
      <c r="F1813" s="14">
        <v>313.33333333333331</v>
      </c>
      <c r="G1813" s="14">
        <v>209.33333333333331</v>
      </c>
      <c r="H1813" s="14">
        <v>70.666666666666657</v>
      </c>
      <c r="I1813" s="14">
        <v>546</v>
      </c>
      <c r="K1813" s="15"/>
    </row>
    <row r="1814" spans="1:11" ht="16.5" x14ac:dyDescent="0.2">
      <c r="A1814" s="4" t="s">
        <v>126</v>
      </c>
      <c r="B1814">
        <v>2011</v>
      </c>
      <c r="C1814" s="14">
        <v>916.66666666666663</v>
      </c>
      <c r="D1814" s="14">
        <v>151.33333333333331</v>
      </c>
      <c r="E1814" s="14">
        <v>3959.333333333333</v>
      </c>
      <c r="F1814" s="14">
        <v>311.99999999999994</v>
      </c>
      <c r="G1814" s="14">
        <v>218</v>
      </c>
      <c r="H1814" s="14">
        <v>72</v>
      </c>
      <c r="I1814" s="14">
        <v>549.33333333333337</v>
      </c>
    </row>
    <row r="1815" spans="1:11" ht="16.5" x14ac:dyDescent="0.2">
      <c r="A1815" s="4" t="s">
        <v>126</v>
      </c>
      <c r="B1815">
        <v>2012</v>
      </c>
      <c r="C1815" s="14">
        <v>915.33333333333337</v>
      </c>
      <c r="D1815" s="14">
        <v>150.66666666666666</v>
      </c>
      <c r="E1815" s="14">
        <v>3951.9999999999995</v>
      </c>
      <c r="F1815" s="14">
        <v>310.66666666666663</v>
      </c>
      <c r="G1815" s="14">
        <v>223.33333333333331</v>
      </c>
      <c r="H1815" s="14">
        <v>77.999999999999986</v>
      </c>
      <c r="I1815" s="14">
        <v>548.66666666666663</v>
      </c>
    </row>
    <row r="1816" spans="1:11" ht="16.5" x14ac:dyDescent="0.2">
      <c r="A1816" s="4" t="s">
        <v>126</v>
      </c>
      <c r="B1816">
        <v>2013</v>
      </c>
      <c r="C1816" s="14">
        <v>917.33333333333326</v>
      </c>
      <c r="D1816" s="14">
        <v>149.33333333333331</v>
      </c>
      <c r="E1816" s="14">
        <v>3946.6666666666665</v>
      </c>
      <c r="F1816" s="14">
        <v>310</v>
      </c>
      <c r="G1816" s="14">
        <v>229.33333333333331</v>
      </c>
      <c r="H1816" s="14">
        <v>77.999999999999986</v>
      </c>
      <c r="I1816" s="14">
        <v>546.66666666666663</v>
      </c>
      <c r="K1816" s="15"/>
    </row>
    <row r="1817" spans="1:11" ht="16.5" x14ac:dyDescent="0.2">
      <c r="A1817" s="4" t="s">
        <v>126</v>
      </c>
      <c r="B1817">
        <v>2014</v>
      </c>
      <c r="C1817" s="14">
        <v>916</v>
      </c>
      <c r="D1817" s="14">
        <v>149.33333333333331</v>
      </c>
      <c r="E1817" s="14">
        <v>3943.333333333333</v>
      </c>
      <c r="F1817" s="14">
        <v>310</v>
      </c>
      <c r="G1817" s="14">
        <v>236.66666666666666</v>
      </c>
      <c r="H1817" s="14">
        <v>77.999999999999986</v>
      </c>
      <c r="I1817" s="14">
        <v>545.33333333333326</v>
      </c>
    </row>
    <row r="1818" spans="1:11" ht="16.5" x14ac:dyDescent="0.2">
      <c r="A1818" s="4" t="s">
        <v>126</v>
      </c>
      <c r="B1818">
        <v>2015</v>
      </c>
      <c r="C1818" s="14">
        <v>913.33333333333326</v>
      </c>
      <c r="D1818" s="14">
        <v>147.99999999999997</v>
      </c>
      <c r="E1818" s="14">
        <v>3935.9999999999995</v>
      </c>
      <c r="F1818" s="14">
        <v>309.33333333333331</v>
      </c>
      <c r="G1818" s="14">
        <v>249.99999999999997</v>
      </c>
      <c r="H1818" s="14">
        <v>79.333333333333329</v>
      </c>
      <c r="I1818" s="14">
        <v>542.66666666666663</v>
      </c>
      <c r="K1818" s="15"/>
    </row>
    <row r="1819" spans="1:11" ht="16.5" x14ac:dyDescent="0.2">
      <c r="A1819" s="4" t="s">
        <v>126</v>
      </c>
      <c r="B1819">
        <v>2016</v>
      </c>
      <c r="C1819" s="14">
        <v>912</v>
      </c>
      <c r="D1819" s="14">
        <v>146.66666666666666</v>
      </c>
      <c r="E1819" s="14">
        <v>3932.6666666666661</v>
      </c>
      <c r="F1819" s="14">
        <v>309.33333333333331</v>
      </c>
      <c r="G1819" s="14">
        <v>255.33333333333329</v>
      </c>
      <c r="H1819" s="14">
        <v>80</v>
      </c>
      <c r="I1819" s="14">
        <v>541.99999999999989</v>
      </c>
    </row>
    <row r="1820" spans="1:11" ht="16.5" x14ac:dyDescent="0.2">
      <c r="A1820" s="4" t="s">
        <v>125</v>
      </c>
      <c r="B1820">
        <v>2009</v>
      </c>
      <c r="C1820" s="14">
        <v>2129.333333333333</v>
      </c>
      <c r="D1820" s="14">
        <v>1259.3333333333333</v>
      </c>
      <c r="E1820" s="14">
        <v>5142.6666666666661</v>
      </c>
      <c r="F1820" s="14">
        <v>823.33333333333326</v>
      </c>
      <c r="G1820" s="14">
        <v>520.66666666666663</v>
      </c>
      <c r="H1820" s="14">
        <v>154.66666666666666</v>
      </c>
      <c r="I1820" s="14">
        <v>673.99999999999989</v>
      </c>
    </row>
    <row r="1821" spans="1:11" ht="16.5" x14ac:dyDescent="0.2">
      <c r="A1821" s="4" t="s">
        <v>125</v>
      </c>
      <c r="B1821">
        <v>2010</v>
      </c>
      <c r="C1821" s="14">
        <v>2124</v>
      </c>
      <c r="D1821" s="14">
        <v>1256</v>
      </c>
      <c r="E1821" s="14">
        <v>5134.6666666666661</v>
      </c>
      <c r="F1821" s="14">
        <v>820.66666666666652</v>
      </c>
      <c r="G1821" s="14">
        <v>532.66666666666663</v>
      </c>
      <c r="H1821" s="14">
        <v>165.33333333333331</v>
      </c>
      <c r="I1821" s="14">
        <v>671.33333333333326</v>
      </c>
      <c r="K1821" s="15"/>
    </row>
    <row r="1822" spans="1:11" ht="16.5" x14ac:dyDescent="0.2">
      <c r="A1822" s="4" t="s">
        <v>125</v>
      </c>
      <c r="B1822">
        <v>2011</v>
      </c>
      <c r="C1822" s="14">
        <v>2122</v>
      </c>
      <c r="D1822" s="14">
        <v>1255.3333333333333</v>
      </c>
      <c r="E1822" s="14">
        <v>5131.333333333333</v>
      </c>
      <c r="F1822" s="14">
        <v>818.66666666666663</v>
      </c>
      <c r="G1822" s="14">
        <v>538</v>
      </c>
      <c r="H1822" s="14">
        <v>181.33333333333331</v>
      </c>
      <c r="I1822" s="14">
        <v>674.66666666666663</v>
      </c>
    </row>
    <row r="1823" spans="1:11" ht="16.5" x14ac:dyDescent="0.2">
      <c r="A1823" s="4" t="s">
        <v>125</v>
      </c>
      <c r="B1823">
        <v>2012</v>
      </c>
      <c r="C1823" s="14">
        <v>2121.333333333333</v>
      </c>
      <c r="D1823" s="14">
        <v>1253.3333333333333</v>
      </c>
      <c r="E1823" s="14">
        <v>5126.6666666666661</v>
      </c>
      <c r="F1823" s="14">
        <v>816</v>
      </c>
      <c r="G1823" s="14">
        <v>547.33333333333337</v>
      </c>
      <c r="H1823" s="14">
        <v>183.33333333333331</v>
      </c>
      <c r="I1823" s="14">
        <v>673.99999999999989</v>
      </c>
      <c r="K1823" s="15"/>
    </row>
    <row r="1824" spans="1:11" ht="16.5" x14ac:dyDescent="0.2">
      <c r="A1824" s="4" t="s">
        <v>125</v>
      </c>
      <c r="B1824">
        <v>2013</v>
      </c>
      <c r="C1824" s="14">
        <v>2131.333333333333</v>
      </c>
      <c r="D1824" s="14">
        <v>1247.9999999999998</v>
      </c>
      <c r="E1824" s="14">
        <v>5120.6666666666661</v>
      </c>
      <c r="F1824" s="14">
        <v>809.33333333333326</v>
      </c>
      <c r="G1824" s="14">
        <v>556.66666666666663</v>
      </c>
      <c r="H1824" s="14">
        <v>184</v>
      </c>
      <c r="I1824" s="14">
        <v>669.99999999999989</v>
      </c>
    </row>
    <row r="1825" spans="1:11" ht="16.5" x14ac:dyDescent="0.2">
      <c r="A1825" s="4" t="s">
        <v>125</v>
      </c>
      <c r="B1825">
        <v>2014</v>
      </c>
      <c r="C1825" s="14">
        <v>2126.6666666666665</v>
      </c>
      <c r="D1825" s="14">
        <v>1246</v>
      </c>
      <c r="E1825" s="14">
        <v>5113.333333333333</v>
      </c>
      <c r="F1825" s="14">
        <v>807.33333333333326</v>
      </c>
      <c r="G1825" s="14">
        <v>567.33333333333326</v>
      </c>
      <c r="H1825" s="14">
        <v>192</v>
      </c>
      <c r="I1825" s="14">
        <v>666.66666666666663</v>
      </c>
    </row>
    <row r="1826" spans="1:11" ht="16.5" x14ac:dyDescent="0.2">
      <c r="A1826" s="4" t="s">
        <v>125</v>
      </c>
      <c r="B1826">
        <v>2015</v>
      </c>
      <c r="C1826" s="14">
        <v>2124</v>
      </c>
      <c r="D1826" s="14">
        <v>1243.9999999999998</v>
      </c>
      <c r="E1826" s="14">
        <v>5109.333333333333</v>
      </c>
      <c r="F1826" s="14">
        <v>805.33333333333326</v>
      </c>
      <c r="G1826" s="14">
        <v>578.66666666666663</v>
      </c>
      <c r="H1826" s="14">
        <v>192.66666666666663</v>
      </c>
      <c r="I1826" s="14">
        <v>664.66666666666663</v>
      </c>
      <c r="K1826" s="15"/>
    </row>
    <row r="1827" spans="1:11" ht="16.5" x14ac:dyDescent="0.2">
      <c r="A1827" s="4" t="s">
        <v>125</v>
      </c>
      <c r="B1827">
        <v>2016</v>
      </c>
      <c r="C1827" s="14">
        <v>2120.6666666666665</v>
      </c>
      <c r="D1827" s="14">
        <v>1243.3333333333333</v>
      </c>
      <c r="E1827" s="14">
        <v>5104.666666666667</v>
      </c>
      <c r="F1827" s="14">
        <v>803.99999999999989</v>
      </c>
      <c r="G1827" s="14">
        <v>588.66666666666663</v>
      </c>
      <c r="H1827" s="14">
        <v>195.99999999999997</v>
      </c>
      <c r="I1827" s="14">
        <v>661.99999999999989</v>
      </c>
    </row>
    <row r="1828" spans="1:11" ht="16.5" x14ac:dyDescent="0.2">
      <c r="A1828" s="4" t="s">
        <v>124</v>
      </c>
      <c r="B1828">
        <v>2009</v>
      </c>
      <c r="C1828" s="14">
        <v>3238.6666666666665</v>
      </c>
      <c r="D1828" s="14">
        <v>533.99999999999989</v>
      </c>
      <c r="E1828" s="14">
        <v>4680</v>
      </c>
      <c r="F1828" s="14">
        <v>358</v>
      </c>
      <c r="G1828" s="14">
        <v>734.66666666666663</v>
      </c>
      <c r="H1828" s="14">
        <v>122.66666666666664</v>
      </c>
      <c r="I1828" s="14">
        <v>583.33333333333326</v>
      </c>
      <c r="K1828" s="15"/>
    </row>
    <row r="1829" spans="1:11" ht="16.5" x14ac:dyDescent="0.2">
      <c r="A1829" s="4" t="s">
        <v>124</v>
      </c>
      <c r="B1829">
        <v>2010</v>
      </c>
      <c r="C1829" s="14">
        <v>3235.333333333333</v>
      </c>
      <c r="D1829" s="14">
        <v>533.33333333333326</v>
      </c>
      <c r="E1829" s="14">
        <v>4678</v>
      </c>
      <c r="F1829" s="14">
        <v>355.33333333333326</v>
      </c>
      <c r="G1829" s="14">
        <v>738.66666666666663</v>
      </c>
      <c r="H1829" s="14">
        <v>128.66666666666666</v>
      </c>
      <c r="I1829" s="14">
        <v>582.66666666666663</v>
      </c>
    </row>
    <row r="1830" spans="1:11" ht="16.5" x14ac:dyDescent="0.2">
      <c r="A1830" s="4" t="s">
        <v>124</v>
      </c>
      <c r="B1830">
        <v>2011</v>
      </c>
      <c r="C1830" s="14">
        <v>3229.9999999999995</v>
      </c>
      <c r="D1830" s="14">
        <v>532.66666666666663</v>
      </c>
      <c r="E1830" s="14">
        <v>4673.333333333333</v>
      </c>
      <c r="F1830" s="14">
        <v>354</v>
      </c>
      <c r="G1830" s="14">
        <v>741.99999999999989</v>
      </c>
      <c r="H1830" s="14">
        <v>137.33333333333334</v>
      </c>
      <c r="I1830" s="14">
        <v>581.99999999999989</v>
      </c>
    </row>
    <row r="1831" spans="1:11" ht="16.5" x14ac:dyDescent="0.2">
      <c r="A1831" s="4" t="s">
        <v>124</v>
      </c>
      <c r="B1831">
        <v>2012</v>
      </c>
      <c r="C1831" s="14">
        <v>3225.9999999999995</v>
      </c>
      <c r="D1831" s="14">
        <v>531.99999999999989</v>
      </c>
      <c r="E1831" s="14">
        <v>4671.9999999999991</v>
      </c>
      <c r="F1831" s="14">
        <v>353.33333333333331</v>
      </c>
      <c r="G1831" s="14">
        <v>747.33333333333326</v>
      </c>
      <c r="H1831" s="14">
        <v>139.33333333333331</v>
      </c>
      <c r="I1831" s="14">
        <v>581.33333333333326</v>
      </c>
      <c r="K1831" s="15"/>
    </row>
    <row r="1832" spans="1:11" ht="16.5" x14ac:dyDescent="0.2">
      <c r="A1832" s="4" t="s">
        <v>124</v>
      </c>
      <c r="B1832">
        <v>2013</v>
      </c>
      <c r="C1832" s="14">
        <v>3228.6666666666665</v>
      </c>
      <c r="D1832" s="14">
        <v>529.33333333333337</v>
      </c>
      <c r="E1832" s="14">
        <v>4666.6666666666661</v>
      </c>
      <c r="F1832" s="14">
        <v>351.33333333333331</v>
      </c>
      <c r="G1832" s="14">
        <v>753.99999999999989</v>
      </c>
      <c r="H1832" s="14">
        <v>140.66666666666666</v>
      </c>
      <c r="I1832" s="14">
        <v>580</v>
      </c>
    </row>
    <row r="1833" spans="1:11" ht="16.5" x14ac:dyDescent="0.2">
      <c r="A1833" s="4" t="s">
        <v>124</v>
      </c>
      <c r="B1833">
        <v>2014</v>
      </c>
      <c r="C1833" s="14">
        <v>3220.6666666666665</v>
      </c>
      <c r="D1833" s="14">
        <v>528</v>
      </c>
      <c r="E1833" s="14">
        <v>4664.666666666667</v>
      </c>
      <c r="F1833" s="14">
        <v>350.66666666666663</v>
      </c>
      <c r="G1833" s="14">
        <v>765.33333333333326</v>
      </c>
      <c r="H1833" s="14">
        <v>142.66666666666666</v>
      </c>
      <c r="I1833" s="14">
        <v>579.33333333333337</v>
      </c>
      <c r="K1833" s="15"/>
    </row>
    <row r="1834" spans="1:11" ht="16.5" x14ac:dyDescent="0.2">
      <c r="A1834" s="4" t="s">
        <v>124</v>
      </c>
      <c r="B1834">
        <v>2015</v>
      </c>
      <c r="C1834" s="14">
        <v>3210.6666666666665</v>
      </c>
      <c r="D1834" s="14">
        <v>527.33333333333326</v>
      </c>
      <c r="E1834" s="14">
        <v>4661.9999999999991</v>
      </c>
      <c r="F1834" s="14">
        <v>349.33333333333331</v>
      </c>
      <c r="G1834" s="14">
        <v>773.99999999999989</v>
      </c>
      <c r="H1834" s="14">
        <v>144.66666666666666</v>
      </c>
      <c r="I1834" s="14">
        <v>583.33333333333326</v>
      </c>
    </row>
    <row r="1835" spans="1:11" ht="16.5" x14ac:dyDescent="0.2">
      <c r="A1835" s="4" t="s">
        <v>124</v>
      </c>
      <c r="B1835">
        <v>2016</v>
      </c>
      <c r="C1835" s="14">
        <v>3206.6666666666665</v>
      </c>
      <c r="D1835" s="14">
        <v>526</v>
      </c>
      <c r="E1835" s="14">
        <v>4660</v>
      </c>
      <c r="F1835" s="14">
        <v>349.33333333333331</v>
      </c>
      <c r="G1835" s="14">
        <v>778.66666666666652</v>
      </c>
      <c r="H1835" s="14">
        <v>146.66666666666666</v>
      </c>
      <c r="I1835" s="14">
        <v>583.33333333333326</v>
      </c>
    </row>
    <row r="1836" spans="1:11" ht="16.5" x14ac:dyDescent="0.2">
      <c r="A1836" s="4" t="s">
        <v>123</v>
      </c>
      <c r="B1836">
        <v>2009</v>
      </c>
      <c r="C1836" s="14">
        <v>2427.3333333333335</v>
      </c>
      <c r="D1836" s="14">
        <v>1453.9999999999998</v>
      </c>
      <c r="E1836" s="14">
        <v>6764.6666666666661</v>
      </c>
      <c r="F1836" s="14">
        <v>369.99999999999994</v>
      </c>
      <c r="G1836" s="14">
        <v>908</v>
      </c>
      <c r="H1836" s="14">
        <v>162.66666666666663</v>
      </c>
      <c r="I1836" s="14">
        <v>456.66666666666663</v>
      </c>
      <c r="K1836" s="15"/>
    </row>
    <row r="1837" spans="1:11" ht="16.5" x14ac:dyDescent="0.2">
      <c r="A1837" s="4" t="s">
        <v>123</v>
      </c>
      <c r="B1837">
        <v>2010</v>
      </c>
      <c r="C1837" s="14">
        <v>2422.6666666666665</v>
      </c>
      <c r="D1837" s="14">
        <v>1452</v>
      </c>
      <c r="E1837" s="14">
        <v>6762.6666666666661</v>
      </c>
      <c r="F1837" s="14">
        <v>369.99999999999994</v>
      </c>
      <c r="G1837" s="14">
        <v>917.33333333333326</v>
      </c>
      <c r="H1837" s="14">
        <v>162.66666666666663</v>
      </c>
      <c r="I1837" s="14">
        <v>456</v>
      </c>
    </row>
    <row r="1838" spans="1:11" ht="16.5" x14ac:dyDescent="0.2">
      <c r="A1838" s="4" t="s">
        <v>123</v>
      </c>
      <c r="B1838">
        <v>2011</v>
      </c>
      <c r="C1838" s="14">
        <v>2421.333333333333</v>
      </c>
      <c r="D1838" s="14">
        <v>1447.9999999999998</v>
      </c>
      <c r="E1838" s="14">
        <v>6759.9999999999991</v>
      </c>
      <c r="F1838" s="14">
        <v>369.33333333333331</v>
      </c>
      <c r="G1838" s="14">
        <v>923.99999999999989</v>
      </c>
      <c r="H1838" s="14">
        <v>164.66666666666666</v>
      </c>
      <c r="I1838" s="14">
        <v>455.33333333333326</v>
      </c>
      <c r="K1838" s="15"/>
    </row>
    <row r="1839" spans="1:11" ht="16.5" x14ac:dyDescent="0.2">
      <c r="A1839" s="4" t="s">
        <v>123</v>
      </c>
      <c r="B1839">
        <v>2012</v>
      </c>
      <c r="C1839" s="14">
        <v>2417.9999999999995</v>
      </c>
      <c r="D1839" s="14">
        <v>1446.6666666666665</v>
      </c>
      <c r="E1839" s="14">
        <v>6758.6666666666661</v>
      </c>
      <c r="F1839" s="14">
        <v>369.33333333333331</v>
      </c>
      <c r="G1839" s="14">
        <v>929.33333333333326</v>
      </c>
      <c r="H1839" s="14">
        <v>167.33333333333331</v>
      </c>
      <c r="I1839" s="14">
        <v>454.66666666666663</v>
      </c>
    </row>
    <row r="1840" spans="1:11" ht="16.5" x14ac:dyDescent="0.2">
      <c r="A1840" s="4" t="s">
        <v>123</v>
      </c>
      <c r="B1840">
        <v>2013</v>
      </c>
      <c r="C1840" s="14">
        <v>2420</v>
      </c>
      <c r="D1840" s="14">
        <v>1441.333333333333</v>
      </c>
      <c r="E1840" s="14">
        <v>6755.3333333333321</v>
      </c>
      <c r="F1840" s="14">
        <v>366.66666666666663</v>
      </c>
      <c r="G1840" s="14">
        <v>937.99999999999989</v>
      </c>
      <c r="H1840" s="14">
        <v>167.99999999999997</v>
      </c>
      <c r="I1840" s="14">
        <v>453.33333333333331</v>
      </c>
    </row>
    <row r="1841" spans="1:11" ht="16.5" x14ac:dyDescent="0.2">
      <c r="A1841" s="4" t="s">
        <v>123</v>
      </c>
      <c r="B1841">
        <v>2014</v>
      </c>
      <c r="C1841" s="14">
        <v>2415.333333333333</v>
      </c>
      <c r="D1841" s="14">
        <v>1439.3333333333333</v>
      </c>
      <c r="E1841" s="14">
        <v>6752.6666666666661</v>
      </c>
      <c r="F1841" s="14">
        <v>365.99999999999994</v>
      </c>
      <c r="G1841" s="14">
        <v>948</v>
      </c>
      <c r="H1841" s="14">
        <v>167.99999999999997</v>
      </c>
      <c r="I1841" s="14">
        <v>452.66666666666669</v>
      </c>
      <c r="K1841" s="15"/>
    </row>
    <row r="1842" spans="1:11" ht="16.5" x14ac:dyDescent="0.2">
      <c r="A1842" s="4" t="s">
        <v>123</v>
      </c>
      <c r="B1842">
        <v>2015</v>
      </c>
      <c r="C1842" s="14">
        <v>2407.3333333333335</v>
      </c>
      <c r="D1842" s="14">
        <v>1436.6666666666665</v>
      </c>
      <c r="E1842" s="14">
        <v>6749.333333333333</v>
      </c>
      <c r="F1842" s="14">
        <v>365.33333333333326</v>
      </c>
      <c r="G1842" s="14">
        <v>964.00000000000011</v>
      </c>
      <c r="H1842" s="14">
        <v>169.33333333333331</v>
      </c>
      <c r="I1842" s="14">
        <v>450.66666666666657</v>
      </c>
    </row>
    <row r="1843" spans="1:11" ht="16.5" x14ac:dyDescent="0.2">
      <c r="A1843" s="4" t="s">
        <v>123</v>
      </c>
      <c r="B1843">
        <v>2016</v>
      </c>
      <c r="C1843" s="14">
        <v>2400.6666666666665</v>
      </c>
      <c r="D1843" s="14">
        <v>1432.6666666666665</v>
      </c>
      <c r="E1843" s="14">
        <v>6744.6666666666661</v>
      </c>
      <c r="F1843" s="14">
        <v>364.66666666666663</v>
      </c>
      <c r="G1843" s="14">
        <v>976.66666666666663</v>
      </c>
      <c r="H1843" s="14">
        <v>172.66666666666663</v>
      </c>
      <c r="I1843" s="14">
        <v>449.99999999999994</v>
      </c>
      <c r="K1843" s="15"/>
    </row>
    <row r="1844" spans="1:11" ht="16.5" x14ac:dyDescent="0.2">
      <c r="A1844" s="4" t="s">
        <v>122</v>
      </c>
      <c r="B1844">
        <v>2009</v>
      </c>
      <c r="C1844" s="14">
        <v>4510</v>
      </c>
      <c r="D1844" s="14">
        <v>2145.333333333333</v>
      </c>
      <c r="E1844" s="14">
        <v>22669.999999999996</v>
      </c>
      <c r="F1844" s="14">
        <v>2285.9999999999995</v>
      </c>
      <c r="G1844" s="14">
        <v>588.66666666666663</v>
      </c>
      <c r="H1844" s="14">
        <v>317.33333333333331</v>
      </c>
      <c r="I1844" s="14">
        <v>681.99999999999989</v>
      </c>
    </row>
    <row r="1845" spans="1:11" ht="16.5" x14ac:dyDescent="0.2">
      <c r="A1845" s="4" t="s">
        <v>122</v>
      </c>
      <c r="B1845">
        <v>2010</v>
      </c>
      <c r="C1845" s="14">
        <v>4504</v>
      </c>
      <c r="D1845" s="14">
        <v>2143.333333333333</v>
      </c>
      <c r="E1845" s="14">
        <v>22665.333333333332</v>
      </c>
      <c r="F1845" s="14">
        <v>2285.333333333333</v>
      </c>
      <c r="G1845" s="14">
        <v>600</v>
      </c>
      <c r="H1845" s="14">
        <v>320</v>
      </c>
      <c r="I1845" s="14">
        <v>681.99999999999989</v>
      </c>
    </row>
    <row r="1846" spans="1:11" ht="16.5" x14ac:dyDescent="0.2">
      <c r="A1846" s="4" t="s">
        <v>122</v>
      </c>
      <c r="B1846">
        <v>2011</v>
      </c>
      <c r="C1846" s="14">
        <v>4494.666666666667</v>
      </c>
      <c r="D1846" s="14">
        <v>2141.333333333333</v>
      </c>
      <c r="E1846" s="14">
        <v>22659.999999999996</v>
      </c>
      <c r="F1846" s="14">
        <v>2282</v>
      </c>
      <c r="G1846" s="14">
        <v>609.33333333333337</v>
      </c>
      <c r="H1846" s="14">
        <v>328</v>
      </c>
      <c r="I1846" s="14">
        <v>686.66666666666663</v>
      </c>
      <c r="K1846" s="15"/>
    </row>
    <row r="1847" spans="1:11" ht="16.5" x14ac:dyDescent="0.2">
      <c r="A1847" s="4" t="s">
        <v>122</v>
      </c>
      <c r="B1847">
        <v>2012</v>
      </c>
      <c r="C1847" s="14">
        <v>4490</v>
      </c>
      <c r="D1847" s="14">
        <v>2139.333333333333</v>
      </c>
      <c r="E1847" s="14">
        <v>22654.666666666664</v>
      </c>
      <c r="F1847" s="14">
        <v>2277.9999999999995</v>
      </c>
      <c r="G1847" s="14">
        <v>615.33333333333326</v>
      </c>
      <c r="H1847" s="14">
        <v>338</v>
      </c>
      <c r="I1847" s="14">
        <v>686</v>
      </c>
    </row>
    <row r="1848" spans="1:11" ht="16.5" x14ac:dyDescent="0.2">
      <c r="A1848" s="4" t="s">
        <v>122</v>
      </c>
      <c r="B1848">
        <v>2013</v>
      </c>
      <c r="C1848" s="14">
        <v>4501.9999999999991</v>
      </c>
      <c r="D1848" s="14">
        <v>2134</v>
      </c>
      <c r="E1848" s="14">
        <v>22636.666666666664</v>
      </c>
      <c r="F1848" s="14">
        <v>2273.333333333333</v>
      </c>
      <c r="G1848" s="14">
        <v>626</v>
      </c>
      <c r="H1848" s="14">
        <v>339.99999999999994</v>
      </c>
      <c r="I1848" s="14">
        <v>685.33333333333326</v>
      </c>
      <c r="K1848" s="15"/>
    </row>
    <row r="1849" spans="1:11" ht="16.5" x14ac:dyDescent="0.2">
      <c r="A1849" s="4" t="s">
        <v>122</v>
      </c>
      <c r="B1849">
        <v>2014</v>
      </c>
      <c r="C1849" s="14">
        <v>4491.9999999999991</v>
      </c>
      <c r="D1849" s="14">
        <v>2130.6666666666665</v>
      </c>
      <c r="E1849" s="14">
        <v>22633.999999999996</v>
      </c>
      <c r="F1849" s="14">
        <v>2272.6666666666665</v>
      </c>
      <c r="G1849" s="14">
        <v>638.66666666666663</v>
      </c>
      <c r="H1849" s="14">
        <v>344</v>
      </c>
      <c r="I1849" s="14">
        <v>684.66666666666663</v>
      </c>
    </row>
    <row r="1850" spans="1:11" ht="16.5" x14ac:dyDescent="0.2">
      <c r="A1850" s="4" t="s">
        <v>122</v>
      </c>
      <c r="B1850">
        <v>2015</v>
      </c>
      <c r="C1850" s="14">
        <v>4485.333333333333</v>
      </c>
      <c r="D1850" s="14">
        <v>2127.9999999999995</v>
      </c>
      <c r="E1850" s="14">
        <v>22632</v>
      </c>
      <c r="F1850" s="14">
        <v>2272</v>
      </c>
      <c r="G1850" s="14">
        <v>649.99999999999989</v>
      </c>
      <c r="H1850" s="14">
        <v>345.33333333333326</v>
      </c>
      <c r="I1850" s="14">
        <v>684.66666666666663</v>
      </c>
    </row>
    <row r="1851" spans="1:11" ht="16.5" x14ac:dyDescent="0.2">
      <c r="A1851" s="4" t="s">
        <v>122</v>
      </c>
      <c r="B1851">
        <v>2016</v>
      </c>
      <c r="C1851" s="14">
        <v>4477.333333333333</v>
      </c>
      <c r="D1851" s="14">
        <v>2125.9999999999995</v>
      </c>
      <c r="E1851" s="14">
        <v>22629.333333333332</v>
      </c>
      <c r="F1851" s="14">
        <v>2271.333333333333</v>
      </c>
      <c r="G1851" s="14">
        <v>659.33333333333326</v>
      </c>
      <c r="H1851" s="14">
        <v>349.99999999999994</v>
      </c>
      <c r="I1851" s="14">
        <v>683.99999999999989</v>
      </c>
      <c r="K1851" s="15"/>
    </row>
    <row r="1852" spans="1:11" ht="16.5" x14ac:dyDescent="0.2">
      <c r="A1852" s="4" t="s">
        <v>121</v>
      </c>
      <c r="B1852">
        <v>2009</v>
      </c>
      <c r="C1852" s="14">
        <v>1644.6666666666665</v>
      </c>
      <c r="D1852" s="14">
        <v>375.33333333333326</v>
      </c>
      <c r="E1852" s="14">
        <v>8145.3333333333321</v>
      </c>
      <c r="F1852" s="14">
        <v>411.33333333333331</v>
      </c>
      <c r="G1852" s="14">
        <v>374</v>
      </c>
      <c r="H1852" s="14">
        <v>99.333333333333329</v>
      </c>
      <c r="I1852" s="14">
        <v>347.33333333333331</v>
      </c>
    </row>
    <row r="1853" spans="1:11" ht="16.5" x14ac:dyDescent="0.2">
      <c r="A1853" s="4" t="s">
        <v>121</v>
      </c>
      <c r="B1853">
        <v>2010</v>
      </c>
      <c r="C1853" s="14">
        <v>1641.333333333333</v>
      </c>
      <c r="D1853" s="14">
        <v>375.33333333333326</v>
      </c>
      <c r="E1853" s="14">
        <v>8143.9999999999991</v>
      </c>
      <c r="F1853" s="14">
        <v>411.33333333333331</v>
      </c>
      <c r="G1853" s="14">
        <v>377.33333333333337</v>
      </c>
      <c r="H1853" s="14">
        <v>100.66666666666666</v>
      </c>
      <c r="I1853" s="14">
        <v>347.33333333333331</v>
      </c>
      <c r="K1853" s="15"/>
    </row>
    <row r="1854" spans="1:11" ht="16.5" x14ac:dyDescent="0.2">
      <c r="A1854" s="4" t="s">
        <v>121</v>
      </c>
      <c r="B1854">
        <v>2011</v>
      </c>
      <c r="C1854" s="14">
        <v>1639.9999999999998</v>
      </c>
      <c r="D1854" s="14">
        <v>373.33333333333331</v>
      </c>
      <c r="E1854" s="14">
        <v>8141.9999999999991</v>
      </c>
      <c r="F1854" s="14">
        <v>409.99999999999994</v>
      </c>
      <c r="G1854" s="14">
        <v>381.33333333333331</v>
      </c>
      <c r="H1854" s="14">
        <v>102.66666666666666</v>
      </c>
      <c r="I1854" s="14">
        <v>346.66666666666663</v>
      </c>
    </row>
    <row r="1855" spans="1:11" ht="16.5" x14ac:dyDescent="0.2">
      <c r="A1855" s="4" t="s">
        <v>121</v>
      </c>
      <c r="B1855">
        <v>2012</v>
      </c>
      <c r="C1855" s="14">
        <v>1636</v>
      </c>
      <c r="D1855" s="14">
        <v>372.66666666666663</v>
      </c>
      <c r="E1855" s="14">
        <v>8140.6666666666652</v>
      </c>
      <c r="F1855" s="14">
        <v>409.33333333333331</v>
      </c>
      <c r="G1855" s="14">
        <v>386</v>
      </c>
      <c r="H1855" s="14">
        <v>103.99999999999999</v>
      </c>
      <c r="I1855" s="14">
        <v>346.66666666666663</v>
      </c>
    </row>
    <row r="1856" spans="1:11" ht="16.5" x14ac:dyDescent="0.2">
      <c r="A1856" s="4" t="s">
        <v>121</v>
      </c>
      <c r="B1856">
        <v>2013</v>
      </c>
      <c r="C1856" s="14">
        <v>1636.6666666666665</v>
      </c>
      <c r="D1856" s="14">
        <v>369.99999999999994</v>
      </c>
      <c r="E1856" s="14">
        <v>8139.333333333333</v>
      </c>
      <c r="F1856" s="14">
        <v>409.33333333333331</v>
      </c>
      <c r="G1856" s="14">
        <v>389.33333333333331</v>
      </c>
      <c r="H1856" s="14">
        <v>103.99999999999999</v>
      </c>
      <c r="I1856" s="14">
        <v>346.66666666666663</v>
      </c>
      <c r="K1856" s="15"/>
    </row>
    <row r="1857" spans="1:11" ht="16.5" x14ac:dyDescent="0.2">
      <c r="A1857" s="4" t="s">
        <v>121</v>
      </c>
      <c r="B1857">
        <v>2014</v>
      </c>
      <c r="C1857" s="14">
        <v>1631.333333333333</v>
      </c>
      <c r="D1857" s="14">
        <v>369.33333333333331</v>
      </c>
      <c r="E1857" s="14">
        <v>8137.3333333333321</v>
      </c>
      <c r="F1857" s="14">
        <v>408.66666666666663</v>
      </c>
      <c r="G1857" s="14">
        <v>394.66666666666663</v>
      </c>
      <c r="H1857" s="14">
        <v>106.66666666666666</v>
      </c>
      <c r="I1857" s="14">
        <v>346.66666666666663</v>
      </c>
    </row>
    <row r="1858" spans="1:11" ht="16.5" x14ac:dyDescent="0.2">
      <c r="A1858" s="4" t="s">
        <v>121</v>
      </c>
      <c r="B1858">
        <v>2015</v>
      </c>
      <c r="C1858" s="14">
        <v>1628.6666666666665</v>
      </c>
      <c r="D1858" s="14">
        <v>368</v>
      </c>
      <c r="E1858" s="14">
        <v>8135.3333333333321</v>
      </c>
      <c r="F1858" s="14">
        <v>408.66666666666663</v>
      </c>
      <c r="G1858" s="14">
        <v>400.66666666666663</v>
      </c>
      <c r="H1858" s="14">
        <v>107.99999999999999</v>
      </c>
      <c r="I1858" s="14">
        <v>345.99999999999994</v>
      </c>
      <c r="K1858" s="15"/>
    </row>
    <row r="1859" spans="1:11" ht="16.5" x14ac:dyDescent="0.2">
      <c r="A1859" s="4" t="s">
        <v>121</v>
      </c>
      <c r="B1859">
        <v>2016</v>
      </c>
      <c r="C1859" s="14">
        <v>1623.9999999999998</v>
      </c>
      <c r="D1859" s="14">
        <v>367.33333333333331</v>
      </c>
      <c r="E1859" s="14">
        <v>8133.333333333333</v>
      </c>
      <c r="F1859" s="14">
        <v>408</v>
      </c>
      <c r="G1859" s="14">
        <v>407.33333333333326</v>
      </c>
      <c r="H1859" s="14">
        <v>108.66666666666666</v>
      </c>
      <c r="I1859" s="14">
        <v>345.99999999999994</v>
      </c>
    </row>
    <row r="1860" spans="1:11" ht="16.5" x14ac:dyDescent="0.2">
      <c r="A1860" s="4" t="s">
        <v>120</v>
      </c>
      <c r="B1860">
        <v>2009</v>
      </c>
      <c r="C1860" s="14">
        <v>3743.333333333333</v>
      </c>
      <c r="D1860" s="14">
        <v>445.33333333333326</v>
      </c>
      <c r="E1860" s="14">
        <v>19221.333333333332</v>
      </c>
      <c r="F1860" s="14">
        <v>2087.9999999999995</v>
      </c>
      <c r="G1860" s="14">
        <v>562</v>
      </c>
      <c r="H1860" s="14">
        <v>271.99999999999994</v>
      </c>
      <c r="I1860" s="14">
        <v>668</v>
      </c>
    </row>
    <row r="1861" spans="1:11" ht="16.5" x14ac:dyDescent="0.2">
      <c r="A1861" s="4" t="s">
        <v>120</v>
      </c>
      <c r="B1861">
        <v>2010</v>
      </c>
      <c r="C1861" s="14">
        <v>3740.6666666666665</v>
      </c>
      <c r="D1861" s="14">
        <v>444.66666666666663</v>
      </c>
      <c r="E1861" s="14">
        <v>19215.333333333332</v>
      </c>
      <c r="F1861" s="14">
        <v>2089.333333333333</v>
      </c>
      <c r="G1861" s="14">
        <v>568</v>
      </c>
      <c r="H1861" s="14">
        <v>272.66666666666663</v>
      </c>
      <c r="I1861" s="14">
        <v>668</v>
      </c>
      <c r="K1861" s="15"/>
    </row>
    <row r="1862" spans="1:11" ht="16.5" x14ac:dyDescent="0.2">
      <c r="A1862" s="4" t="s">
        <v>120</v>
      </c>
      <c r="B1862">
        <v>2011</v>
      </c>
      <c r="C1862" s="14">
        <v>3741.9999999999995</v>
      </c>
      <c r="D1862" s="14">
        <v>444.66666666666663</v>
      </c>
      <c r="E1862" s="14">
        <v>19212</v>
      </c>
      <c r="F1862" s="14">
        <v>2081.333333333333</v>
      </c>
      <c r="G1862" s="14">
        <v>572.66666666666663</v>
      </c>
      <c r="H1862" s="14">
        <v>278</v>
      </c>
      <c r="I1862" s="14">
        <v>668</v>
      </c>
    </row>
    <row r="1863" spans="1:11" ht="16.5" x14ac:dyDescent="0.2">
      <c r="A1863" s="4" t="s">
        <v>120</v>
      </c>
      <c r="B1863">
        <v>2012</v>
      </c>
      <c r="C1863" s="14">
        <v>3739.333333333333</v>
      </c>
      <c r="D1863" s="14">
        <v>444.66666666666663</v>
      </c>
      <c r="E1863" s="14">
        <v>19210.666666666664</v>
      </c>
      <c r="F1863" s="14">
        <v>2080.6666666666665</v>
      </c>
      <c r="G1863" s="14">
        <v>578.66666666666652</v>
      </c>
      <c r="H1863" s="14">
        <v>278</v>
      </c>
      <c r="I1863" s="14">
        <v>668</v>
      </c>
      <c r="K1863" s="15"/>
    </row>
    <row r="1864" spans="1:11" ht="16.5" x14ac:dyDescent="0.2">
      <c r="A1864" s="4" t="s">
        <v>120</v>
      </c>
      <c r="B1864">
        <v>2013</v>
      </c>
      <c r="C1864" s="14">
        <v>3749.333333333333</v>
      </c>
      <c r="D1864" s="14">
        <v>443.33333333333331</v>
      </c>
      <c r="E1864" s="14">
        <v>19204.666666666664</v>
      </c>
      <c r="F1864" s="14">
        <v>2072</v>
      </c>
      <c r="G1864" s="14">
        <v>583.99999999999989</v>
      </c>
      <c r="H1864" s="14">
        <v>278.66666666666663</v>
      </c>
      <c r="I1864" s="14">
        <v>666.66666666666663</v>
      </c>
    </row>
    <row r="1865" spans="1:11" ht="16.5" x14ac:dyDescent="0.2">
      <c r="A1865" s="4" t="s">
        <v>120</v>
      </c>
      <c r="B1865">
        <v>2014</v>
      </c>
      <c r="C1865" s="14">
        <v>3745.3333333333326</v>
      </c>
      <c r="D1865" s="14">
        <v>443.33333333333331</v>
      </c>
      <c r="E1865" s="14">
        <v>19202</v>
      </c>
      <c r="F1865" s="14">
        <v>2071.333333333333</v>
      </c>
      <c r="G1865" s="14">
        <v>590.66666666666663</v>
      </c>
      <c r="H1865" s="14">
        <v>280</v>
      </c>
      <c r="I1865" s="14">
        <v>666.66666666666663</v>
      </c>
    </row>
    <row r="1866" spans="1:11" ht="16.5" x14ac:dyDescent="0.2">
      <c r="A1866" s="4" t="s">
        <v>120</v>
      </c>
      <c r="B1866">
        <v>2015</v>
      </c>
      <c r="C1866" s="14">
        <v>3742.6666666666661</v>
      </c>
      <c r="D1866" s="14">
        <v>443.33333333333331</v>
      </c>
      <c r="E1866" s="14">
        <v>19201.333333333332</v>
      </c>
      <c r="F1866" s="14">
        <v>2070.6666666666665</v>
      </c>
      <c r="G1866" s="14">
        <v>595.33333333333326</v>
      </c>
      <c r="H1866" s="14">
        <v>280</v>
      </c>
      <c r="I1866" s="14">
        <v>666.66666666666663</v>
      </c>
      <c r="K1866" s="15"/>
    </row>
    <row r="1867" spans="1:11" ht="16.5" x14ac:dyDescent="0.2">
      <c r="A1867" s="4" t="s">
        <v>120</v>
      </c>
      <c r="B1867">
        <v>2016</v>
      </c>
      <c r="C1867" s="14">
        <v>3738</v>
      </c>
      <c r="D1867" s="14">
        <v>442.66666666666669</v>
      </c>
      <c r="E1867" s="14">
        <v>19196</v>
      </c>
      <c r="F1867" s="14">
        <v>2070</v>
      </c>
      <c r="G1867" s="14">
        <v>601.99999999999989</v>
      </c>
      <c r="H1867" s="14">
        <v>284.66666666666669</v>
      </c>
      <c r="I1867" s="14">
        <v>666.66666666666663</v>
      </c>
    </row>
    <row r="1868" spans="1:11" ht="16.5" x14ac:dyDescent="0.2">
      <c r="A1868" s="4" t="s">
        <v>119</v>
      </c>
      <c r="B1868">
        <v>2009</v>
      </c>
      <c r="C1868" s="14">
        <v>4097.333333333333</v>
      </c>
      <c r="D1868" s="14">
        <v>162</v>
      </c>
      <c r="E1868" s="14">
        <v>5711.333333333333</v>
      </c>
      <c r="F1868" s="14">
        <v>671.33333333333326</v>
      </c>
      <c r="G1868" s="14">
        <v>417.99999999999994</v>
      </c>
      <c r="H1868" s="14">
        <v>195.99999999999997</v>
      </c>
      <c r="I1868" s="14">
        <v>459.33333333333331</v>
      </c>
      <c r="K1868" s="15"/>
    </row>
    <row r="1869" spans="1:11" ht="16.5" x14ac:dyDescent="0.2">
      <c r="A1869" s="4" t="s">
        <v>119</v>
      </c>
      <c r="B1869">
        <v>2010</v>
      </c>
      <c r="C1869" s="14">
        <v>4091.9999999999995</v>
      </c>
      <c r="D1869" s="14">
        <v>162</v>
      </c>
      <c r="E1869" s="14">
        <v>5708</v>
      </c>
      <c r="F1869" s="14">
        <v>668.66666666666663</v>
      </c>
      <c r="G1869" s="14">
        <v>424.66666666666663</v>
      </c>
      <c r="H1869" s="14">
        <v>199.99999999999997</v>
      </c>
      <c r="I1869" s="14">
        <v>459.33333333333331</v>
      </c>
    </row>
    <row r="1870" spans="1:11" ht="16.5" x14ac:dyDescent="0.2">
      <c r="A1870" s="4" t="s">
        <v>119</v>
      </c>
      <c r="B1870">
        <v>2011</v>
      </c>
      <c r="C1870" s="14">
        <v>4086.6666666666665</v>
      </c>
      <c r="D1870" s="14">
        <v>161.33333333333331</v>
      </c>
      <c r="E1870" s="14">
        <v>5705.3333333333321</v>
      </c>
      <c r="F1870" s="14">
        <v>668</v>
      </c>
      <c r="G1870" s="14">
        <v>431.33333333333331</v>
      </c>
      <c r="H1870" s="14">
        <v>201.33333333333331</v>
      </c>
      <c r="I1870" s="14">
        <v>459.33333333333331</v>
      </c>
    </row>
    <row r="1871" spans="1:11" ht="16.5" x14ac:dyDescent="0.2">
      <c r="A1871" s="4" t="s">
        <v>119</v>
      </c>
      <c r="B1871">
        <v>2012</v>
      </c>
      <c r="C1871" s="14">
        <v>4077.333333333333</v>
      </c>
      <c r="D1871" s="14">
        <v>161.33333333333331</v>
      </c>
      <c r="E1871" s="14">
        <v>5703.333333333333</v>
      </c>
      <c r="F1871" s="14">
        <v>666.66666666666663</v>
      </c>
      <c r="G1871" s="14">
        <v>436.66666666666663</v>
      </c>
      <c r="H1871" s="14">
        <v>209.33333333333331</v>
      </c>
      <c r="I1871" s="14">
        <v>459.33333333333331</v>
      </c>
      <c r="K1871" s="15"/>
    </row>
    <row r="1872" spans="1:11" ht="16.5" x14ac:dyDescent="0.2">
      <c r="A1872" s="4" t="s">
        <v>119</v>
      </c>
      <c r="B1872">
        <v>2013</v>
      </c>
      <c r="C1872" s="14">
        <v>4083.333333333333</v>
      </c>
      <c r="D1872" s="14">
        <v>160</v>
      </c>
      <c r="E1872" s="14">
        <v>5695.3333333333321</v>
      </c>
      <c r="F1872" s="14">
        <v>660.66666666666652</v>
      </c>
      <c r="G1872" s="14">
        <v>443.99999999999994</v>
      </c>
      <c r="H1872" s="14">
        <v>211.33333333333331</v>
      </c>
      <c r="I1872" s="14">
        <v>458.66666666666663</v>
      </c>
    </row>
    <row r="1873" spans="1:11" ht="16.5" x14ac:dyDescent="0.2">
      <c r="A1873" s="4" t="s">
        <v>119</v>
      </c>
      <c r="B1873">
        <v>2014</v>
      </c>
      <c r="C1873" s="14">
        <v>4078</v>
      </c>
      <c r="D1873" s="14">
        <v>160</v>
      </c>
      <c r="E1873" s="14">
        <v>5694</v>
      </c>
      <c r="F1873" s="14">
        <v>659.99999999999989</v>
      </c>
      <c r="G1873" s="14">
        <v>449.33333333333331</v>
      </c>
      <c r="H1873" s="14">
        <v>212.66666666666663</v>
      </c>
      <c r="I1873" s="14">
        <v>458.66666666666663</v>
      </c>
      <c r="K1873" s="15"/>
    </row>
    <row r="1874" spans="1:11" ht="16.5" x14ac:dyDescent="0.2">
      <c r="A1874" s="4" t="s">
        <v>119</v>
      </c>
      <c r="B1874">
        <v>2015</v>
      </c>
      <c r="C1874" s="14">
        <v>4072.6666666666661</v>
      </c>
      <c r="D1874" s="14">
        <v>159.33333333333331</v>
      </c>
      <c r="E1874" s="14">
        <v>5693.333333333333</v>
      </c>
      <c r="F1874" s="14">
        <v>659.33333333333326</v>
      </c>
      <c r="G1874" s="14">
        <v>453.33333333333331</v>
      </c>
      <c r="H1874" s="14">
        <v>213.33333333333331</v>
      </c>
      <c r="I1874" s="14">
        <v>461.33333333333331</v>
      </c>
    </row>
    <row r="1875" spans="1:11" ht="16.5" x14ac:dyDescent="0.2">
      <c r="A1875" s="4" t="s">
        <v>119</v>
      </c>
      <c r="B1875">
        <v>2016</v>
      </c>
      <c r="C1875" s="14">
        <v>4070.6666666666665</v>
      </c>
      <c r="D1875" s="14">
        <v>159.33333333333331</v>
      </c>
      <c r="E1875" s="14">
        <v>5692.6666666666661</v>
      </c>
      <c r="F1875" s="14">
        <v>659.33333333333326</v>
      </c>
      <c r="G1875" s="14">
        <v>455.99999999999989</v>
      </c>
      <c r="H1875" s="14">
        <v>213.33333333333331</v>
      </c>
      <c r="I1875" s="14">
        <v>461.33333333333331</v>
      </c>
    </row>
    <row r="1876" spans="1:11" ht="16.5" x14ac:dyDescent="0.2">
      <c r="A1876" s="4" t="s">
        <v>118</v>
      </c>
      <c r="B1876">
        <v>2009</v>
      </c>
      <c r="C1876" s="14">
        <v>5198.6666666666661</v>
      </c>
      <c r="D1876" s="14">
        <v>466</v>
      </c>
      <c r="E1876" s="14">
        <v>7529.9999999999991</v>
      </c>
      <c r="F1876" s="14">
        <v>661.99999999999989</v>
      </c>
      <c r="G1876" s="14">
        <v>391.99999999999994</v>
      </c>
      <c r="H1876" s="14">
        <v>249.33333333333331</v>
      </c>
      <c r="I1876" s="14">
        <v>430.66666666666657</v>
      </c>
      <c r="K1876" s="15"/>
    </row>
    <row r="1877" spans="1:11" ht="16.5" x14ac:dyDescent="0.2">
      <c r="A1877" s="4" t="s">
        <v>118</v>
      </c>
      <c r="B1877">
        <v>2010</v>
      </c>
      <c r="C1877" s="14">
        <v>5196.6666666666661</v>
      </c>
      <c r="D1877" s="14">
        <v>465.33333333333326</v>
      </c>
      <c r="E1877" s="14">
        <v>7528</v>
      </c>
      <c r="F1877" s="14">
        <v>660.66666666666652</v>
      </c>
      <c r="G1877" s="14">
        <v>398</v>
      </c>
      <c r="H1877" s="14">
        <v>249.33333333333331</v>
      </c>
      <c r="I1877" s="14">
        <v>429.99999999999994</v>
      </c>
    </row>
    <row r="1878" spans="1:11" ht="16.5" x14ac:dyDescent="0.2">
      <c r="A1878" s="4" t="s">
        <v>118</v>
      </c>
      <c r="B1878">
        <v>2011</v>
      </c>
      <c r="C1878" s="14">
        <v>5203.333333333333</v>
      </c>
      <c r="D1878" s="14">
        <v>459.99999999999994</v>
      </c>
      <c r="E1878" s="14">
        <v>7523.333333333333</v>
      </c>
      <c r="F1878" s="14">
        <v>656.66666666666663</v>
      </c>
      <c r="G1878" s="14">
        <v>403.33333333333337</v>
      </c>
      <c r="H1878" s="14">
        <v>250.66666666666666</v>
      </c>
      <c r="I1878" s="14">
        <v>429.99999999999994</v>
      </c>
      <c r="K1878" s="15"/>
    </row>
    <row r="1879" spans="1:11" ht="16.5" x14ac:dyDescent="0.2">
      <c r="A1879" s="4" t="s">
        <v>118</v>
      </c>
      <c r="B1879">
        <v>2012</v>
      </c>
      <c r="C1879" s="14">
        <v>5199.9999999999991</v>
      </c>
      <c r="D1879" s="14">
        <v>459.33333333333331</v>
      </c>
      <c r="E1879" s="14">
        <v>7521.9999999999991</v>
      </c>
      <c r="F1879" s="14">
        <v>656.66666666666663</v>
      </c>
      <c r="G1879" s="14">
        <v>409.33333333333331</v>
      </c>
      <c r="H1879" s="14">
        <v>250.66666666666666</v>
      </c>
      <c r="I1879" s="14">
        <v>429.99999999999994</v>
      </c>
    </row>
    <row r="1880" spans="1:11" ht="16.5" x14ac:dyDescent="0.2">
      <c r="A1880" s="4" t="s">
        <v>118</v>
      </c>
      <c r="B1880">
        <v>2013</v>
      </c>
      <c r="C1880" s="14">
        <v>5209.333333333333</v>
      </c>
      <c r="D1880" s="14">
        <v>457.33333333333326</v>
      </c>
      <c r="E1880" s="14">
        <v>7515.3333333333321</v>
      </c>
      <c r="F1880" s="14">
        <v>643.99999999999989</v>
      </c>
      <c r="G1880" s="14">
        <v>414.66666666666663</v>
      </c>
      <c r="H1880" s="14">
        <v>255.33333333333329</v>
      </c>
      <c r="I1880" s="14">
        <v>429.33333333333331</v>
      </c>
    </row>
    <row r="1881" spans="1:11" ht="16.5" x14ac:dyDescent="0.2">
      <c r="A1881" s="4" t="s">
        <v>118</v>
      </c>
      <c r="B1881">
        <v>2014</v>
      </c>
      <c r="C1881" s="14">
        <v>5204</v>
      </c>
      <c r="D1881" s="14">
        <v>456.66666666666663</v>
      </c>
      <c r="E1881" s="14">
        <v>7513.9999999999991</v>
      </c>
      <c r="F1881" s="14">
        <v>643.99999999999989</v>
      </c>
      <c r="G1881" s="14">
        <v>419.99999999999994</v>
      </c>
      <c r="H1881" s="14">
        <v>258.66666666666663</v>
      </c>
      <c r="I1881" s="14">
        <v>428.66666666666663</v>
      </c>
      <c r="K1881" s="15"/>
    </row>
    <row r="1882" spans="1:11" ht="16.5" x14ac:dyDescent="0.2">
      <c r="A1882" s="4" t="s">
        <v>118</v>
      </c>
      <c r="B1882">
        <v>2015</v>
      </c>
      <c r="C1882" s="14">
        <v>5197.333333333333</v>
      </c>
      <c r="D1882" s="14">
        <v>455.33333333333326</v>
      </c>
      <c r="E1882" s="14">
        <v>7511.9999999999991</v>
      </c>
      <c r="F1882" s="14">
        <v>643.33333333333326</v>
      </c>
      <c r="G1882" s="14">
        <v>428.66666666666663</v>
      </c>
      <c r="H1882" s="14">
        <v>260.66666666666663</v>
      </c>
      <c r="I1882" s="14">
        <v>428.66666666666663</v>
      </c>
    </row>
    <row r="1883" spans="1:11" ht="16.5" x14ac:dyDescent="0.2">
      <c r="A1883" s="4" t="s">
        <v>118</v>
      </c>
      <c r="B1883">
        <v>2016</v>
      </c>
      <c r="C1883" s="14">
        <v>5192.6666666666661</v>
      </c>
      <c r="D1883" s="14">
        <v>453.99999999999994</v>
      </c>
      <c r="E1883" s="14">
        <v>7509.9999999999991</v>
      </c>
      <c r="F1883" s="14">
        <v>643.33333333333326</v>
      </c>
      <c r="G1883" s="14">
        <v>434.66666666666663</v>
      </c>
      <c r="H1883" s="14">
        <v>261.33333333333331</v>
      </c>
      <c r="I1883" s="14">
        <v>428</v>
      </c>
      <c r="K1883" s="15"/>
    </row>
    <row r="1884" spans="1:11" ht="16.5" x14ac:dyDescent="0.2">
      <c r="A1884" s="4" t="s">
        <v>117</v>
      </c>
      <c r="B1884">
        <v>2009</v>
      </c>
      <c r="C1884" s="14">
        <v>7297.3333333333321</v>
      </c>
      <c r="D1884" s="14">
        <v>9433.9999999999982</v>
      </c>
      <c r="E1884" s="14">
        <v>12126.666666666666</v>
      </c>
      <c r="F1884" s="14">
        <v>367.33333333333331</v>
      </c>
      <c r="G1884" s="14">
        <v>2015.9999999999998</v>
      </c>
      <c r="H1884" s="14">
        <v>563.99999999999989</v>
      </c>
      <c r="I1884" s="14">
        <v>2833.333333333333</v>
      </c>
    </row>
    <row r="1885" spans="1:11" ht="16.5" x14ac:dyDescent="0.2">
      <c r="A1885" s="4" t="s">
        <v>117</v>
      </c>
      <c r="B1885">
        <v>2010</v>
      </c>
      <c r="C1885" s="14">
        <v>7299.333333333333</v>
      </c>
      <c r="D1885" s="14">
        <v>9393.3333333333321</v>
      </c>
      <c r="E1885" s="14">
        <v>12093.333333333332</v>
      </c>
      <c r="F1885" s="14">
        <v>387.33333333333331</v>
      </c>
      <c r="G1885" s="14">
        <v>2053.9999999999995</v>
      </c>
      <c r="H1885" s="14">
        <v>576.66666666666663</v>
      </c>
      <c r="I1885" s="14">
        <v>2831.333333333333</v>
      </c>
    </row>
    <row r="1886" spans="1:11" ht="16.5" x14ac:dyDescent="0.2">
      <c r="A1886" s="4" t="s">
        <v>117</v>
      </c>
      <c r="B1886">
        <v>2011</v>
      </c>
      <c r="C1886" s="14">
        <v>7266</v>
      </c>
      <c r="D1886" s="14">
        <v>9351.3333333333321</v>
      </c>
      <c r="E1886" s="14">
        <v>12063.999999999998</v>
      </c>
      <c r="F1886" s="14">
        <v>409.33333333333331</v>
      </c>
      <c r="G1886" s="14">
        <v>2116.6666666666665</v>
      </c>
      <c r="H1886" s="14">
        <v>583.99999999999989</v>
      </c>
      <c r="I1886" s="14">
        <v>2842.6666666666661</v>
      </c>
      <c r="K1886" s="15"/>
    </row>
    <row r="1887" spans="1:11" ht="16.5" x14ac:dyDescent="0.2">
      <c r="A1887" s="4" t="s">
        <v>117</v>
      </c>
      <c r="B1887">
        <v>2012</v>
      </c>
      <c r="C1887" s="14">
        <v>7266.6666666666661</v>
      </c>
      <c r="D1887" s="14">
        <v>9316</v>
      </c>
      <c r="E1887" s="14">
        <v>12043.999999999998</v>
      </c>
      <c r="F1887" s="14">
        <v>421.33333333333331</v>
      </c>
      <c r="G1887" s="14">
        <v>2148.6666666666665</v>
      </c>
      <c r="H1887" s="14">
        <v>592.66666666666663</v>
      </c>
      <c r="I1887" s="14">
        <v>2841.333333333333</v>
      </c>
    </row>
    <row r="1888" spans="1:11" ht="16.5" x14ac:dyDescent="0.2">
      <c r="A1888" s="4" t="s">
        <v>117</v>
      </c>
      <c r="B1888">
        <v>2013</v>
      </c>
      <c r="C1888" s="14">
        <v>7267.3333333333321</v>
      </c>
      <c r="D1888" s="14">
        <v>9280.6666666666661</v>
      </c>
      <c r="E1888" s="14">
        <v>12022.666666666666</v>
      </c>
      <c r="F1888" s="14">
        <v>434.66666666666663</v>
      </c>
      <c r="G1888" s="14">
        <v>2179.333333333333</v>
      </c>
      <c r="H1888" s="14">
        <v>602.66666666666663</v>
      </c>
      <c r="I1888" s="14">
        <v>2838.6666666666665</v>
      </c>
      <c r="K1888" s="15"/>
    </row>
    <row r="1889" spans="1:11" ht="16.5" x14ac:dyDescent="0.2">
      <c r="A1889" s="4" t="s">
        <v>117</v>
      </c>
      <c r="B1889">
        <v>2014</v>
      </c>
      <c r="C1889" s="14">
        <v>7257.3333333333321</v>
      </c>
      <c r="D1889" s="14">
        <v>9258</v>
      </c>
      <c r="E1889" s="14">
        <v>12001.999999999998</v>
      </c>
      <c r="F1889" s="14">
        <v>447.33333333333326</v>
      </c>
      <c r="G1889" s="14">
        <v>2202.6666666666665</v>
      </c>
      <c r="H1889" s="14">
        <v>615.33333333333326</v>
      </c>
      <c r="I1889" s="14">
        <v>2839.333333333333</v>
      </c>
    </row>
    <row r="1890" spans="1:11" ht="16.5" x14ac:dyDescent="0.2">
      <c r="A1890" s="4" t="s">
        <v>117</v>
      </c>
      <c r="B1890">
        <v>2015</v>
      </c>
      <c r="C1890" s="14">
        <v>7258.6666666666661</v>
      </c>
      <c r="D1890" s="14">
        <v>9214.6666666666661</v>
      </c>
      <c r="E1890" s="14">
        <v>11988.666666666666</v>
      </c>
      <c r="F1890" s="14">
        <v>469.99999999999994</v>
      </c>
      <c r="G1890" s="14">
        <v>2228</v>
      </c>
      <c r="H1890" s="14">
        <v>628</v>
      </c>
      <c r="I1890" s="14">
        <v>2834</v>
      </c>
    </row>
    <row r="1891" spans="1:11" ht="16.5" x14ac:dyDescent="0.2">
      <c r="A1891" s="4" t="s">
        <v>117</v>
      </c>
      <c r="B1891">
        <v>2016</v>
      </c>
      <c r="C1891" s="14">
        <v>7227.3333333333321</v>
      </c>
      <c r="D1891" s="14">
        <v>9181.9999999999982</v>
      </c>
      <c r="E1891" s="14">
        <v>12003.999999999998</v>
      </c>
      <c r="F1891" s="14">
        <v>489.33333333333331</v>
      </c>
      <c r="G1891" s="14">
        <v>2254.666666666667</v>
      </c>
      <c r="H1891" s="14">
        <v>634.66666666666663</v>
      </c>
      <c r="I1891" s="14">
        <v>2829.9999999999995</v>
      </c>
      <c r="K1891" s="15"/>
    </row>
    <row r="1892" spans="1:11" ht="16.5" x14ac:dyDescent="0.2">
      <c r="A1892" s="4" t="s">
        <v>116</v>
      </c>
      <c r="B1892">
        <v>2009</v>
      </c>
      <c r="C1892" s="14">
        <v>703.33333333333326</v>
      </c>
      <c r="D1892" s="14">
        <v>456.66666666666663</v>
      </c>
      <c r="E1892" s="14">
        <v>421.33333333333331</v>
      </c>
      <c r="F1892" s="14">
        <v>56.666666666666664</v>
      </c>
      <c r="G1892" s="14">
        <v>322.66666666666663</v>
      </c>
      <c r="H1892" s="14">
        <v>67.999999999999986</v>
      </c>
      <c r="I1892" s="14">
        <v>192.66666666666663</v>
      </c>
    </row>
    <row r="1893" spans="1:11" ht="16.5" x14ac:dyDescent="0.2">
      <c r="A1893" s="4" t="s">
        <v>116</v>
      </c>
      <c r="B1893">
        <v>2010</v>
      </c>
      <c r="C1893" s="14">
        <v>700.66666666666652</v>
      </c>
      <c r="D1893" s="14">
        <v>456</v>
      </c>
      <c r="E1893" s="14">
        <v>418.66666666666663</v>
      </c>
      <c r="F1893" s="14">
        <v>56</v>
      </c>
      <c r="G1893" s="14">
        <v>327.33333333333331</v>
      </c>
      <c r="H1893" s="14">
        <v>70.666666666666657</v>
      </c>
      <c r="I1893" s="14">
        <v>192</v>
      </c>
      <c r="K1893" s="15"/>
    </row>
    <row r="1894" spans="1:11" ht="16.5" x14ac:dyDescent="0.2">
      <c r="A1894" s="4" t="s">
        <v>116</v>
      </c>
      <c r="B1894">
        <v>2011</v>
      </c>
      <c r="C1894" s="14">
        <v>697.33333333333326</v>
      </c>
      <c r="D1894" s="14">
        <v>453.99999999999994</v>
      </c>
      <c r="E1894" s="14">
        <v>415.99999999999994</v>
      </c>
      <c r="F1894" s="14">
        <v>55.333333333333336</v>
      </c>
      <c r="G1894" s="14">
        <v>337.99999999999994</v>
      </c>
      <c r="H1894" s="14">
        <v>72.666666666666657</v>
      </c>
      <c r="I1894" s="14">
        <v>190.66666666666666</v>
      </c>
    </row>
    <row r="1895" spans="1:11" ht="16.5" x14ac:dyDescent="0.2">
      <c r="A1895" s="4" t="s">
        <v>116</v>
      </c>
      <c r="B1895">
        <v>2012</v>
      </c>
      <c r="C1895" s="14">
        <v>695.33333333333326</v>
      </c>
      <c r="D1895" s="14">
        <v>453.33333333333331</v>
      </c>
      <c r="E1895" s="14">
        <v>414.66666666666663</v>
      </c>
      <c r="F1895" s="14">
        <v>54.666666666666657</v>
      </c>
      <c r="G1895" s="14">
        <v>341.33333333333326</v>
      </c>
      <c r="H1895" s="14">
        <v>73.333333333333329</v>
      </c>
      <c r="I1895" s="14">
        <v>190.66666666666666</v>
      </c>
    </row>
    <row r="1896" spans="1:11" ht="16.5" x14ac:dyDescent="0.2">
      <c r="A1896" s="4" t="s">
        <v>116</v>
      </c>
      <c r="B1896">
        <v>2013</v>
      </c>
      <c r="C1896" s="14">
        <v>692.66666666666663</v>
      </c>
      <c r="D1896" s="14">
        <v>452.66666666666669</v>
      </c>
      <c r="E1896" s="14">
        <v>413.33333333333331</v>
      </c>
      <c r="F1896" s="14">
        <v>55.333333333333336</v>
      </c>
      <c r="G1896" s="14">
        <v>345.33333333333326</v>
      </c>
      <c r="H1896" s="14">
        <v>73.999999999999986</v>
      </c>
      <c r="I1896" s="14">
        <v>189.99999999999997</v>
      </c>
      <c r="K1896" s="15"/>
    </row>
    <row r="1897" spans="1:11" ht="16.5" x14ac:dyDescent="0.2">
      <c r="A1897" s="4" t="s">
        <v>116</v>
      </c>
      <c r="B1897">
        <v>2014</v>
      </c>
      <c r="C1897" s="14">
        <v>690.66666666666652</v>
      </c>
      <c r="D1897" s="14">
        <v>449.33333333333331</v>
      </c>
      <c r="E1897" s="14">
        <v>411.99999999999994</v>
      </c>
      <c r="F1897" s="14">
        <v>57.999999999999993</v>
      </c>
      <c r="G1897" s="14">
        <v>348.66666666666663</v>
      </c>
      <c r="H1897" s="14">
        <v>76</v>
      </c>
      <c r="I1897" s="14">
        <v>189.99999999999997</v>
      </c>
    </row>
    <row r="1898" spans="1:11" ht="16.5" x14ac:dyDescent="0.2">
      <c r="A1898" s="4" t="s">
        <v>116</v>
      </c>
      <c r="B1898">
        <v>2015</v>
      </c>
      <c r="C1898" s="14">
        <v>688.66666666666663</v>
      </c>
      <c r="D1898" s="14">
        <v>448.66666666666663</v>
      </c>
      <c r="E1898" s="14">
        <v>410.66666666666663</v>
      </c>
      <c r="F1898" s="14">
        <v>56.666666666666664</v>
      </c>
      <c r="G1898" s="14">
        <v>353.33333333333331</v>
      </c>
      <c r="H1898" s="14">
        <v>76.666666666666657</v>
      </c>
      <c r="I1898" s="14">
        <v>189.33333333333331</v>
      </c>
      <c r="K1898" s="15"/>
    </row>
    <row r="1899" spans="1:11" ht="16.5" x14ac:dyDescent="0.2">
      <c r="A1899" s="4" t="s">
        <v>116</v>
      </c>
      <c r="B1899">
        <v>2016</v>
      </c>
      <c r="C1899" s="14">
        <v>685.33333333333326</v>
      </c>
      <c r="D1899" s="14">
        <v>443.99999999999994</v>
      </c>
      <c r="E1899" s="14">
        <v>408.66666666666663</v>
      </c>
      <c r="F1899" s="14">
        <v>59.333333333333329</v>
      </c>
      <c r="G1899" s="14">
        <v>359.33333333333331</v>
      </c>
      <c r="H1899" s="14">
        <v>77.999999999999986</v>
      </c>
      <c r="I1899" s="14">
        <v>189.33333333333331</v>
      </c>
    </row>
    <row r="1900" spans="1:11" ht="16.5" x14ac:dyDescent="0.2">
      <c r="A1900" s="4" t="s">
        <v>115</v>
      </c>
      <c r="B1900">
        <v>2009</v>
      </c>
      <c r="C1900" s="14">
        <v>238</v>
      </c>
      <c r="D1900" s="14">
        <v>600</v>
      </c>
      <c r="E1900" s="14">
        <v>746</v>
      </c>
      <c r="F1900" s="14">
        <v>10</v>
      </c>
      <c r="G1900" s="14">
        <v>114.66666666666667</v>
      </c>
      <c r="H1900" s="14">
        <v>36</v>
      </c>
      <c r="I1900" s="14">
        <v>92.666666666666657</v>
      </c>
    </row>
    <row r="1901" spans="1:11" ht="16.5" x14ac:dyDescent="0.2">
      <c r="A1901" s="4" t="s">
        <v>115</v>
      </c>
      <c r="B1901">
        <v>2010</v>
      </c>
      <c r="C1901" s="14">
        <v>236.66666666666666</v>
      </c>
      <c r="D1901" s="14">
        <v>597.33333333333326</v>
      </c>
      <c r="E1901" s="14">
        <v>744.66666666666663</v>
      </c>
      <c r="F1901" s="14">
        <v>10.666666666666666</v>
      </c>
      <c r="G1901" s="14">
        <v>117.33333333333333</v>
      </c>
      <c r="H1901" s="14">
        <v>37.333333333333329</v>
      </c>
      <c r="I1901" s="14">
        <v>92.666666666666657</v>
      </c>
      <c r="K1901" s="15"/>
    </row>
    <row r="1902" spans="1:11" ht="16.5" x14ac:dyDescent="0.2">
      <c r="A1902" s="4" t="s">
        <v>115</v>
      </c>
      <c r="B1902">
        <v>2011</v>
      </c>
      <c r="C1902" s="14">
        <v>234</v>
      </c>
      <c r="D1902" s="14">
        <v>596.66666666666663</v>
      </c>
      <c r="E1902" s="14">
        <v>744.66666666666663</v>
      </c>
      <c r="F1902" s="14">
        <v>12</v>
      </c>
      <c r="G1902" s="14">
        <v>116.66666666666666</v>
      </c>
      <c r="H1902" s="14">
        <v>38.666666666666664</v>
      </c>
      <c r="I1902" s="14">
        <v>93.999999999999986</v>
      </c>
    </row>
    <row r="1903" spans="1:11" ht="16.5" x14ac:dyDescent="0.2">
      <c r="A1903" s="4" t="s">
        <v>115</v>
      </c>
      <c r="B1903">
        <v>2012</v>
      </c>
      <c r="C1903" s="14">
        <v>231.33333333333334</v>
      </c>
      <c r="D1903" s="14">
        <v>593.99999999999989</v>
      </c>
      <c r="E1903" s="14">
        <v>743.33333333333326</v>
      </c>
      <c r="F1903" s="14">
        <v>12</v>
      </c>
      <c r="G1903" s="14">
        <v>120.66666666666667</v>
      </c>
      <c r="H1903" s="14">
        <v>40</v>
      </c>
      <c r="I1903" s="14">
        <v>93.333333333333329</v>
      </c>
      <c r="K1903" s="15"/>
    </row>
    <row r="1904" spans="1:11" ht="16.5" x14ac:dyDescent="0.2">
      <c r="A1904" s="4" t="s">
        <v>115</v>
      </c>
      <c r="B1904">
        <v>2013</v>
      </c>
      <c r="C1904" s="14">
        <v>229.99999999999997</v>
      </c>
      <c r="D1904" s="14">
        <v>586</v>
      </c>
      <c r="E1904" s="14">
        <v>743.33333333333326</v>
      </c>
      <c r="F1904" s="14">
        <v>16.666666666666664</v>
      </c>
      <c r="G1904" s="14">
        <v>124.66666666666667</v>
      </c>
      <c r="H1904" s="14">
        <v>40.666666666666657</v>
      </c>
      <c r="I1904" s="14">
        <v>93.333333333333329</v>
      </c>
    </row>
    <row r="1905" spans="1:11" ht="16.5" x14ac:dyDescent="0.2">
      <c r="A1905" s="4" t="s">
        <v>115</v>
      </c>
      <c r="B1905">
        <v>2014</v>
      </c>
      <c r="C1905" s="14">
        <v>228</v>
      </c>
      <c r="D1905" s="14">
        <v>583.33333333333326</v>
      </c>
      <c r="E1905" s="14">
        <v>741.99999999999989</v>
      </c>
      <c r="F1905" s="14">
        <v>16.666666666666664</v>
      </c>
      <c r="G1905" s="14">
        <v>128</v>
      </c>
      <c r="H1905" s="14">
        <v>41.999999999999993</v>
      </c>
      <c r="I1905" s="14">
        <v>93.333333333333329</v>
      </c>
    </row>
    <row r="1906" spans="1:11" ht="16.5" x14ac:dyDescent="0.2">
      <c r="A1906" s="4" t="s">
        <v>115</v>
      </c>
      <c r="B1906">
        <v>2015</v>
      </c>
      <c r="C1906" s="14">
        <v>227.33333333333331</v>
      </c>
      <c r="D1906" s="14">
        <v>568.66666666666663</v>
      </c>
      <c r="E1906" s="14">
        <v>741.33333333333326</v>
      </c>
      <c r="F1906" s="14">
        <v>30.666666666666661</v>
      </c>
      <c r="G1906" s="14">
        <v>128.66666666666669</v>
      </c>
      <c r="H1906" s="14">
        <v>43.333333333333329</v>
      </c>
      <c r="I1906" s="14">
        <v>92.666666666666657</v>
      </c>
      <c r="K1906" s="15"/>
    </row>
    <row r="1907" spans="1:11" ht="16.5" x14ac:dyDescent="0.2">
      <c r="A1907" s="4" t="s">
        <v>115</v>
      </c>
      <c r="B1907">
        <v>2016</v>
      </c>
      <c r="C1907" s="14">
        <v>233.33333333333331</v>
      </c>
      <c r="D1907" s="14">
        <v>561.33333333333326</v>
      </c>
      <c r="E1907" s="14">
        <v>739.99999999999989</v>
      </c>
      <c r="F1907" s="14">
        <v>30.666666666666661</v>
      </c>
      <c r="G1907" s="14">
        <v>132</v>
      </c>
      <c r="H1907" s="14">
        <v>43.333333333333329</v>
      </c>
      <c r="I1907" s="14">
        <v>92.666666666666657</v>
      </c>
    </row>
    <row r="1908" spans="1:11" ht="16.5" x14ac:dyDescent="0.2">
      <c r="A1908" s="4" t="s">
        <v>114</v>
      </c>
      <c r="B1908">
        <v>2009</v>
      </c>
      <c r="C1908" s="14">
        <v>0</v>
      </c>
      <c r="D1908" s="14">
        <v>0</v>
      </c>
      <c r="E1908" s="14">
        <v>10</v>
      </c>
      <c r="F1908" s="14">
        <v>0</v>
      </c>
      <c r="G1908" s="14">
        <v>0</v>
      </c>
      <c r="H1908" s="14">
        <v>0</v>
      </c>
      <c r="I1908" s="14">
        <v>778</v>
      </c>
      <c r="K1908" s="15"/>
    </row>
    <row r="1909" spans="1:11" ht="16.5" x14ac:dyDescent="0.2">
      <c r="A1909" s="4" t="s">
        <v>114</v>
      </c>
      <c r="B1909">
        <v>2010</v>
      </c>
      <c r="C1909" s="14">
        <v>0</v>
      </c>
      <c r="D1909" s="14">
        <v>0</v>
      </c>
      <c r="E1909" s="14">
        <v>10</v>
      </c>
      <c r="F1909" s="14">
        <v>0</v>
      </c>
      <c r="G1909" s="14">
        <v>0</v>
      </c>
      <c r="H1909" s="14">
        <v>0</v>
      </c>
      <c r="I1909" s="14">
        <v>778</v>
      </c>
    </row>
    <row r="1910" spans="1:11" ht="16.5" x14ac:dyDescent="0.2">
      <c r="A1910" s="4" t="s">
        <v>114</v>
      </c>
      <c r="B1910">
        <v>2011</v>
      </c>
      <c r="C1910" s="14">
        <v>0</v>
      </c>
      <c r="D1910" s="14">
        <v>0</v>
      </c>
      <c r="E1910" s="14">
        <v>10</v>
      </c>
      <c r="F1910" s="14">
        <v>0</v>
      </c>
      <c r="G1910" s="14">
        <v>0</v>
      </c>
      <c r="H1910" s="14">
        <v>0</v>
      </c>
      <c r="I1910" s="14">
        <v>778</v>
      </c>
    </row>
    <row r="1911" spans="1:11" ht="16.5" x14ac:dyDescent="0.2">
      <c r="A1911" s="4" t="s">
        <v>114</v>
      </c>
      <c r="B1911">
        <v>2012</v>
      </c>
      <c r="C1911" s="14">
        <v>0</v>
      </c>
      <c r="D1911" s="14">
        <v>0</v>
      </c>
      <c r="E1911" s="14">
        <v>10</v>
      </c>
      <c r="F1911" s="14">
        <v>0</v>
      </c>
      <c r="G1911" s="14">
        <v>0</v>
      </c>
      <c r="H1911" s="14">
        <v>0</v>
      </c>
      <c r="I1911" s="14">
        <v>778</v>
      </c>
      <c r="K1911" s="15"/>
    </row>
    <row r="1912" spans="1:11" ht="16.5" x14ac:dyDescent="0.2">
      <c r="A1912" s="4" t="s">
        <v>114</v>
      </c>
      <c r="B1912">
        <v>2013</v>
      </c>
      <c r="C1912" s="14">
        <v>0</v>
      </c>
      <c r="D1912" s="14">
        <v>0</v>
      </c>
      <c r="E1912" s="14">
        <v>10</v>
      </c>
      <c r="F1912" s="14">
        <v>0</v>
      </c>
      <c r="G1912" s="14">
        <v>0</v>
      </c>
      <c r="H1912" s="14">
        <v>0</v>
      </c>
      <c r="I1912" s="14">
        <v>778</v>
      </c>
    </row>
    <row r="1913" spans="1:11" ht="16.5" x14ac:dyDescent="0.2">
      <c r="A1913" s="4" t="s">
        <v>114</v>
      </c>
      <c r="B1913">
        <v>2014</v>
      </c>
      <c r="C1913" s="14">
        <v>0</v>
      </c>
      <c r="D1913" s="14">
        <v>0</v>
      </c>
      <c r="E1913" s="14">
        <v>10</v>
      </c>
      <c r="F1913" s="14">
        <v>0</v>
      </c>
      <c r="G1913" s="14">
        <v>0</v>
      </c>
      <c r="H1913" s="14">
        <v>0</v>
      </c>
      <c r="I1913" s="14">
        <v>778</v>
      </c>
      <c r="K1913" s="15"/>
    </row>
    <row r="1914" spans="1:11" ht="16.5" x14ac:dyDescent="0.2">
      <c r="A1914" s="4" t="s">
        <v>114</v>
      </c>
      <c r="B1914">
        <v>2015</v>
      </c>
      <c r="C1914" s="14">
        <v>0</v>
      </c>
      <c r="D1914" s="14">
        <v>0</v>
      </c>
      <c r="E1914" s="14">
        <v>10</v>
      </c>
      <c r="F1914" s="14">
        <v>0</v>
      </c>
      <c r="G1914" s="14">
        <v>0</v>
      </c>
      <c r="H1914" s="14">
        <v>0</v>
      </c>
      <c r="I1914" s="14">
        <v>778</v>
      </c>
    </row>
    <row r="1915" spans="1:11" ht="16.5" x14ac:dyDescent="0.2">
      <c r="A1915" s="4" t="s">
        <v>114</v>
      </c>
      <c r="B1915">
        <v>2016</v>
      </c>
      <c r="C1915" s="14">
        <v>0</v>
      </c>
      <c r="D1915" s="14">
        <v>0</v>
      </c>
      <c r="E1915" s="14">
        <v>10</v>
      </c>
      <c r="F1915" s="14">
        <v>0</v>
      </c>
      <c r="G1915" s="14">
        <v>0</v>
      </c>
      <c r="H1915" s="14">
        <v>0</v>
      </c>
      <c r="I1915" s="14">
        <v>778</v>
      </c>
    </row>
    <row r="1916" spans="1:11" ht="16.5" x14ac:dyDescent="0.2">
      <c r="A1916" s="4" t="s">
        <v>113</v>
      </c>
      <c r="B1916">
        <v>2009</v>
      </c>
      <c r="C1916" s="14">
        <v>24383.999999999996</v>
      </c>
      <c r="D1916" s="14">
        <v>2775.333333333333</v>
      </c>
      <c r="E1916" s="14">
        <v>37916.666666666664</v>
      </c>
      <c r="F1916" s="14">
        <v>3344</v>
      </c>
      <c r="G1916" s="14">
        <v>5027.333333333333</v>
      </c>
      <c r="H1916" s="14">
        <v>1043.9999999999998</v>
      </c>
      <c r="I1916" s="14">
        <v>2682</v>
      </c>
      <c r="K1916" s="15"/>
    </row>
    <row r="1917" spans="1:11" ht="16.5" x14ac:dyDescent="0.2">
      <c r="A1917" s="4" t="s">
        <v>113</v>
      </c>
      <c r="B1917">
        <v>2010</v>
      </c>
      <c r="C1917" s="14">
        <v>24428.666666666664</v>
      </c>
      <c r="D1917" s="14">
        <v>2755.9999999999995</v>
      </c>
      <c r="E1917" s="14">
        <v>37884.666666666664</v>
      </c>
      <c r="F1917" s="14">
        <v>3315.9999999999995</v>
      </c>
      <c r="G1917" s="14">
        <v>5153.333333333333</v>
      </c>
      <c r="H1917" s="14">
        <v>1083.9999999999998</v>
      </c>
      <c r="I1917" s="14">
        <v>2676.6666666666665</v>
      </c>
    </row>
    <row r="1918" spans="1:11" ht="16.5" x14ac:dyDescent="0.2">
      <c r="A1918" s="4" t="s">
        <v>113</v>
      </c>
      <c r="B1918">
        <v>2011</v>
      </c>
      <c r="C1918" s="14">
        <v>24497.333333333332</v>
      </c>
      <c r="D1918" s="14">
        <v>2744</v>
      </c>
      <c r="E1918" s="14">
        <v>37857.999999999993</v>
      </c>
      <c r="F1918" s="14">
        <v>3288.6666666666665</v>
      </c>
      <c r="G1918" s="14">
        <v>5232.666666666667</v>
      </c>
      <c r="H1918" s="14">
        <v>1114.6666666666665</v>
      </c>
      <c r="I1918" s="14">
        <v>2680.6666666666665</v>
      </c>
      <c r="K1918" s="15"/>
    </row>
    <row r="1919" spans="1:11" ht="16.5" x14ac:dyDescent="0.2">
      <c r="A1919" s="4" t="s">
        <v>113</v>
      </c>
      <c r="B1919">
        <v>2012</v>
      </c>
      <c r="C1919" s="14">
        <v>24512.666666666664</v>
      </c>
      <c r="D1919" s="14">
        <v>2727.9999999999995</v>
      </c>
      <c r="E1919" s="14">
        <v>37839.333333333328</v>
      </c>
      <c r="F1919" s="14">
        <v>3276.6666666666665</v>
      </c>
      <c r="G1919" s="14">
        <v>5330</v>
      </c>
      <c r="H1919" s="14">
        <v>1142.6666666666665</v>
      </c>
      <c r="I1919" s="14">
        <v>2675.9999999999995</v>
      </c>
    </row>
    <row r="1920" spans="1:11" ht="16.5" x14ac:dyDescent="0.2">
      <c r="A1920" s="4" t="s">
        <v>113</v>
      </c>
      <c r="B1920">
        <v>2013</v>
      </c>
      <c r="C1920" s="14">
        <v>24563.333333333332</v>
      </c>
      <c r="D1920" s="14">
        <v>2717.333333333333</v>
      </c>
      <c r="E1920" s="14">
        <v>37827.999999999993</v>
      </c>
      <c r="F1920" s="14">
        <v>3270.6666666666665</v>
      </c>
      <c r="G1920" s="14">
        <v>5379.9999999999991</v>
      </c>
      <c r="H1920" s="14">
        <v>1170</v>
      </c>
      <c r="I1920" s="14">
        <v>2673.333333333333</v>
      </c>
    </row>
    <row r="1921" spans="1:11" ht="16.5" x14ac:dyDescent="0.2">
      <c r="A1921" s="4" t="s">
        <v>113</v>
      </c>
      <c r="B1921">
        <v>2014</v>
      </c>
      <c r="C1921" s="14">
        <v>24546.666666666664</v>
      </c>
      <c r="D1921" s="14">
        <v>2698.6666666666665</v>
      </c>
      <c r="E1921" s="14">
        <v>37806.666666666664</v>
      </c>
      <c r="F1921" s="14">
        <v>3265.333333333333</v>
      </c>
      <c r="G1921" s="14">
        <v>5470.6666666666652</v>
      </c>
      <c r="H1921" s="14">
        <v>1197.3333333333333</v>
      </c>
      <c r="I1921" s="14">
        <v>2670.6666666666665</v>
      </c>
      <c r="K1921" s="15"/>
    </row>
    <row r="1922" spans="1:11" ht="16.5" x14ac:dyDescent="0.2">
      <c r="A1922" s="4" t="s">
        <v>113</v>
      </c>
      <c r="B1922">
        <v>2015</v>
      </c>
      <c r="C1922" s="14">
        <v>24304.666666666664</v>
      </c>
      <c r="D1922" s="14">
        <v>2709.333333333333</v>
      </c>
      <c r="E1922" s="14">
        <v>38071.333333333328</v>
      </c>
      <c r="F1922" s="14">
        <v>3265.333333333333</v>
      </c>
      <c r="G1922" s="14">
        <v>5547.3333333333321</v>
      </c>
      <c r="H1922" s="14">
        <v>1216.6666666666665</v>
      </c>
      <c r="I1922" s="14">
        <v>2672</v>
      </c>
    </row>
    <row r="1923" spans="1:11" ht="16.5" x14ac:dyDescent="0.2">
      <c r="A1923" s="4" t="s">
        <v>113</v>
      </c>
      <c r="B1923">
        <v>2016</v>
      </c>
      <c r="C1923" s="14">
        <v>23824.666666666664</v>
      </c>
      <c r="D1923" s="14">
        <v>2711.333333333333</v>
      </c>
      <c r="E1923" s="14">
        <v>38545.999999999993</v>
      </c>
      <c r="F1923" s="14">
        <v>3259.9999999999995</v>
      </c>
      <c r="G1923" s="14">
        <v>5680.6666666666661</v>
      </c>
      <c r="H1923" s="14">
        <v>1240.6666666666665</v>
      </c>
      <c r="I1923" s="14">
        <v>2680.6666666666665</v>
      </c>
      <c r="K1923" s="15"/>
    </row>
    <row r="1924" spans="1:11" ht="16.5" x14ac:dyDescent="0.2">
      <c r="A1924" s="4" t="s">
        <v>112</v>
      </c>
      <c r="B1924">
        <v>2009</v>
      </c>
      <c r="C1924" s="14">
        <v>4300</v>
      </c>
      <c r="D1924" s="14">
        <v>783.99999999999989</v>
      </c>
      <c r="E1924" s="14">
        <v>3346.6666666666665</v>
      </c>
      <c r="F1924" s="14">
        <v>56.666666666666664</v>
      </c>
      <c r="G1924" s="14">
        <v>2179.9999999999995</v>
      </c>
      <c r="H1924" s="14">
        <v>316.66666666666663</v>
      </c>
      <c r="I1924" s="14">
        <v>602.66666666666663</v>
      </c>
    </row>
    <row r="1925" spans="1:11" ht="16.5" x14ac:dyDescent="0.2">
      <c r="A1925" s="4" t="s">
        <v>112</v>
      </c>
      <c r="B1925">
        <v>2010</v>
      </c>
      <c r="C1925" s="14">
        <v>4256.6666666666661</v>
      </c>
      <c r="D1925" s="14">
        <v>794.66666666666663</v>
      </c>
      <c r="E1925" s="14">
        <v>3305.333333333333</v>
      </c>
      <c r="F1925" s="14">
        <v>56</v>
      </c>
      <c r="G1925" s="14">
        <v>2254</v>
      </c>
      <c r="H1925" s="14">
        <v>339.33333333333331</v>
      </c>
      <c r="I1925" s="14">
        <v>593.33333333333326</v>
      </c>
    </row>
    <row r="1926" spans="1:11" ht="16.5" x14ac:dyDescent="0.2">
      <c r="A1926" s="4" t="s">
        <v>112</v>
      </c>
      <c r="B1926">
        <v>2011</v>
      </c>
      <c r="C1926" s="14">
        <v>4248.6666666666661</v>
      </c>
      <c r="D1926" s="14">
        <v>791.33333333333326</v>
      </c>
      <c r="E1926" s="14">
        <v>3292.6666666666661</v>
      </c>
      <c r="F1926" s="14">
        <v>55.333333333333336</v>
      </c>
      <c r="G1926" s="14">
        <v>2283.9999999999995</v>
      </c>
      <c r="H1926" s="14">
        <v>351.99999999999994</v>
      </c>
      <c r="I1926" s="14">
        <v>588.66666666666663</v>
      </c>
      <c r="K1926" s="15"/>
    </row>
    <row r="1927" spans="1:11" ht="16.5" x14ac:dyDescent="0.2">
      <c r="A1927" s="4" t="s">
        <v>112</v>
      </c>
      <c r="B1927">
        <v>2012</v>
      </c>
      <c r="C1927" s="14">
        <v>4231.333333333333</v>
      </c>
      <c r="D1927" s="14">
        <v>783.99999999999989</v>
      </c>
      <c r="E1927" s="14">
        <v>3274</v>
      </c>
      <c r="F1927" s="14">
        <v>55.333333333333336</v>
      </c>
      <c r="G1927" s="14">
        <v>2320</v>
      </c>
      <c r="H1927" s="14">
        <v>362.66666666666663</v>
      </c>
      <c r="I1927" s="14">
        <v>586</v>
      </c>
    </row>
    <row r="1928" spans="1:11" ht="16.5" x14ac:dyDescent="0.2">
      <c r="A1928" s="4" t="s">
        <v>112</v>
      </c>
      <c r="B1928">
        <v>2013</v>
      </c>
      <c r="C1928" s="14">
        <v>4233.333333333333</v>
      </c>
      <c r="D1928" s="14">
        <v>769.99999999999989</v>
      </c>
      <c r="E1928" s="14">
        <v>3267.333333333333</v>
      </c>
      <c r="F1928" s="14">
        <v>55.333333333333336</v>
      </c>
      <c r="G1928" s="14">
        <v>2343.333333333333</v>
      </c>
      <c r="H1928" s="14">
        <v>369.99999999999994</v>
      </c>
      <c r="I1928" s="14">
        <v>581.33333333333326</v>
      </c>
      <c r="K1928" s="15"/>
    </row>
    <row r="1929" spans="1:11" ht="16.5" x14ac:dyDescent="0.2">
      <c r="A1929" s="4" t="s">
        <v>112</v>
      </c>
      <c r="B1929">
        <v>2014</v>
      </c>
      <c r="C1929" s="14">
        <v>4217.333333333333</v>
      </c>
      <c r="D1929" s="14">
        <v>748</v>
      </c>
      <c r="E1929" s="14">
        <v>3265.333333333333</v>
      </c>
      <c r="F1929" s="14">
        <v>55.333333333333336</v>
      </c>
      <c r="G1929" s="14">
        <v>2379.333333333333</v>
      </c>
      <c r="H1929" s="14">
        <v>382.66666666666663</v>
      </c>
      <c r="I1929" s="14">
        <v>580.66666666666663</v>
      </c>
    </row>
    <row r="1930" spans="1:11" ht="16.5" x14ac:dyDescent="0.2">
      <c r="A1930" s="4" t="s">
        <v>112</v>
      </c>
      <c r="B1930">
        <v>2015</v>
      </c>
      <c r="C1930" s="14">
        <v>4206.6666666666661</v>
      </c>
      <c r="D1930" s="14">
        <v>733.99999999999989</v>
      </c>
      <c r="E1930" s="14">
        <v>3262.6666666666661</v>
      </c>
      <c r="F1930" s="14">
        <v>55.333333333333336</v>
      </c>
      <c r="G1930" s="14">
        <v>2406</v>
      </c>
      <c r="H1930" s="14">
        <v>387.33333333333331</v>
      </c>
      <c r="I1930" s="14">
        <v>578</v>
      </c>
    </row>
    <row r="1931" spans="1:11" ht="16.5" x14ac:dyDescent="0.2">
      <c r="A1931" s="4" t="s">
        <v>112</v>
      </c>
      <c r="B1931">
        <v>2016</v>
      </c>
      <c r="C1931" s="14">
        <v>4198.6666666666661</v>
      </c>
      <c r="D1931" s="14">
        <v>729.33333333333326</v>
      </c>
      <c r="E1931" s="14">
        <v>3260.6666666666665</v>
      </c>
      <c r="F1931" s="14">
        <v>55.333333333333336</v>
      </c>
      <c r="G1931" s="14">
        <v>2426</v>
      </c>
      <c r="H1931" s="14">
        <v>391.99999999999994</v>
      </c>
      <c r="I1931" s="14">
        <v>576.66666666666663</v>
      </c>
      <c r="K1931" s="15"/>
    </row>
    <row r="1932" spans="1:11" ht="16.5" x14ac:dyDescent="0.2">
      <c r="A1932" s="4" t="s">
        <v>111</v>
      </c>
      <c r="B1932">
        <v>2009</v>
      </c>
      <c r="C1932" s="14">
        <v>2151.333333333333</v>
      </c>
      <c r="D1932" s="14">
        <v>254.66666666666666</v>
      </c>
      <c r="E1932" s="14">
        <v>791.33333333333326</v>
      </c>
      <c r="F1932" s="14">
        <v>19.333333333333332</v>
      </c>
      <c r="G1932" s="14">
        <v>479.99999999999994</v>
      </c>
      <c r="H1932" s="14">
        <v>68.666666666666671</v>
      </c>
      <c r="I1932" s="14">
        <v>210.66666666666666</v>
      </c>
    </row>
    <row r="1933" spans="1:11" ht="16.5" x14ac:dyDescent="0.2">
      <c r="A1933" s="4" t="s">
        <v>111</v>
      </c>
      <c r="B1933">
        <v>2010</v>
      </c>
      <c r="C1933" s="14">
        <v>2157.9999999999995</v>
      </c>
      <c r="D1933" s="14">
        <v>254.66666666666666</v>
      </c>
      <c r="E1933" s="14">
        <v>790.66666666666652</v>
      </c>
      <c r="F1933" s="14">
        <v>19.333333333333332</v>
      </c>
      <c r="G1933" s="14">
        <v>482.66666666666669</v>
      </c>
      <c r="H1933" s="14">
        <v>72.666666666666657</v>
      </c>
      <c r="I1933" s="14">
        <v>209.99999999999997</v>
      </c>
      <c r="K1933" s="15"/>
    </row>
    <row r="1934" spans="1:11" ht="16.5" x14ac:dyDescent="0.2">
      <c r="A1934" s="4" t="s">
        <v>111</v>
      </c>
      <c r="B1934">
        <v>2011</v>
      </c>
      <c r="C1934" s="14">
        <v>2159.333333333333</v>
      </c>
      <c r="D1934" s="14">
        <v>254</v>
      </c>
      <c r="E1934" s="14">
        <v>789.99999999999989</v>
      </c>
      <c r="F1934" s="14">
        <v>19.333333333333332</v>
      </c>
      <c r="G1934" s="14">
        <v>487.33333333333337</v>
      </c>
      <c r="H1934" s="14">
        <v>76.666666666666657</v>
      </c>
      <c r="I1934" s="14">
        <v>209.99999999999997</v>
      </c>
    </row>
    <row r="1935" spans="1:11" ht="16.5" x14ac:dyDescent="0.2">
      <c r="A1935" s="4" t="s">
        <v>111</v>
      </c>
      <c r="B1935">
        <v>2012</v>
      </c>
      <c r="C1935" s="14">
        <v>2155.9999999999995</v>
      </c>
      <c r="D1935" s="14">
        <v>252.66666666666663</v>
      </c>
      <c r="E1935" s="14">
        <v>788.66666666666663</v>
      </c>
      <c r="F1935" s="14">
        <v>19.333333333333332</v>
      </c>
      <c r="G1935" s="14">
        <v>494</v>
      </c>
      <c r="H1935" s="14">
        <v>77.333333333333329</v>
      </c>
      <c r="I1935" s="14">
        <v>209.99999999999997</v>
      </c>
    </row>
    <row r="1936" spans="1:11" ht="16.5" x14ac:dyDescent="0.2">
      <c r="A1936" s="4" t="s">
        <v>111</v>
      </c>
      <c r="B1936">
        <v>2013</v>
      </c>
      <c r="C1936" s="14">
        <v>2162</v>
      </c>
      <c r="D1936" s="14">
        <v>251.99999999999997</v>
      </c>
      <c r="E1936" s="14">
        <v>788</v>
      </c>
      <c r="F1936" s="14">
        <v>18.666666666666664</v>
      </c>
      <c r="G1936" s="14">
        <v>501.99999999999994</v>
      </c>
      <c r="H1936" s="14">
        <v>80</v>
      </c>
      <c r="I1936" s="14">
        <v>209.99999999999997</v>
      </c>
      <c r="K1936" s="15"/>
    </row>
    <row r="1937" spans="1:11" ht="16.5" x14ac:dyDescent="0.2">
      <c r="A1937" s="4" t="s">
        <v>111</v>
      </c>
      <c r="B1937">
        <v>2014</v>
      </c>
      <c r="C1937" s="14">
        <v>2166.6666666666665</v>
      </c>
      <c r="D1937" s="14">
        <v>251.33333333333334</v>
      </c>
      <c r="E1937" s="14">
        <v>786.66666666666663</v>
      </c>
      <c r="F1937" s="14">
        <v>18.666666666666664</v>
      </c>
      <c r="G1937" s="14">
        <v>508</v>
      </c>
      <c r="H1937" s="14">
        <v>80.666666666666657</v>
      </c>
      <c r="I1937" s="14">
        <v>209.33333333333331</v>
      </c>
    </row>
    <row r="1938" spans="1:11" ht="16.5" x14ac:dyDescent="0.2">
      <c r="A1938" s="4" t="s">
        <v>111</v>
      </c>
      <c r="B1938">
        <v>2015</v>
      </c>
      <c r="C1938" s="14">
        <v>2163.333333333333</v>
      </c>
      <c r="D1938" s="14">
        <v>250.66666666666666</v>
      </c>
      <c r="E1938" s="14">
        <v>786</v>
      </c>
      <c r="F1938" s="14">
        <v>18.666666666666664</v>
      </c>
      <c r="G1938" s="14">
        <v>512.66666666666652</v>
      </c>
      <c r="H1938" s="14">
        <v>81.333333333333314</v>
      </c>
      <c r="I1938" s="14">
        <v>209.33333333333331</v>
      </c>
      <c r="K1938" s="15"/>
    </row>
    <row r="1939" spans="1:11" ht="16.5" x14ac:dyDescent="0.2">
      <c r="A1939" s="4" t="s">
        <v>111</v>
      </c>
      <c r="B1939">
        <v>2016</v>
      </c>
      <c r="C1939" s="14">
        <v>2165.9999999999995</v>
      </c>
      <c r="D1939" s="14">
        <v>250.66666666666666</v>
      </c>
      <c r="E1939" s="14">
        <v>785.33333333333326</v>
      </c>
      <c r="F1939" s="14">
        <v>18.666666666666664</v>
      </c>
      <c r="G1939" s="14">
        <v>513.33333333333314</v>
      </c>
      <c r="H1939" s="14">
        <v>82</v>
      </c>
      <c r="I1939" s="14">
        <v>209.99999999999997</v>
      </c>
    </row>
    <row r="1940" spans="1:11" ht="16.5" x14ac:dyDescent="0.2">
      <c r="A1940" s="4" t="s">
        <v>110</v>
      </c>
      <c r="B1940">
        <v>2009</v>
      </c>
      <c r="C1940" s="14">
        <v>756</v>
      </c>
      <c r="D1940" s="14">
        <v>409.99999999999994</v>
      </c>
      <c r="E1940" s="14">
        <v>5065.333333333333</v>
      </c>
      <c r="F1940" s="14">
        <v>489.99999999999994</v>
      </c>
      <c r="G1940" s="14">
        <v>231.99999999999997</v>
      </c>
      <c r="H1940" s="14">
        <v>70.666666666666657</v>
      </c>
      <c r="I1940" s="14">
        <v>201.33333333333331</v>
      </c>
    </row>
    <row r="1941" spans="1:11" ht="16.5" x14ac:dyDescent="0.2">
      <c r="A1941" s="4" t="s">
        <v>110</v>
      </c>
      <c r="B1941">
        <v>2010</v>
      </c>
      <c r="C1941" s="14">
        <v>753.99999999999989</v>
      </c>
      <c r="D1941" s="14">
        <v>408</v>
      </c>
      <c r="E1941" s="14">
        <v>5061.9999999999991</v>
      </c>
      <c r="F1941" s="14">
        <v>488</v>
      </c>
      <c r="G1941" s="14">
        <v>239.33333333333331</v>
      </c>
      <c r="H1941" s="14">
        <v>72</v>
      </c>
      <c r="I1941" s="14">
        <v>202</v>
      </c>
      <c r="K1941" s="15"/>
    </row>
    <row r="1942" spans="1:11" ht="16.5" x14ac:dyDescent="0.2">
      <c r="A1942" s="4" t="s">
        <v>110</v>
      </c>
      <c r="B1942">
        <v>2011</v>
      </c>
      <c r="C1942" s="14">
        <v>751.33333333333326</v>
      </c>
      <c r="D1942" s="14">
        <v>404.66666666666663</v>
      </c>
      <c r="E1942" s="14">
        <v>5058.6666666666661</v>
      </c>
      <c r="F1942" s="14">
        <v>487.33333333333326</v>
      </c>
      <c r="G1942" s="14">
        <v>248.66666666666669</v>
      </c>
      <c r="H1942" s="14">
        <v>72.666666666666657</v>
      </c>
      <c r="I1942" s="14">
        <v>202</v>
      </c>
    </row>
    <row r="1943" spans="1:11" ht="16.5" x14ac:dyDescent="0.2">
      <c r="A1943" s="4" t="s">
        <v>110</v>
      </c>
      <c r="B1943">
        <v>2012</v>
      </c>
      <c r="C1943" s="14">
        <v>749.99999999999989</v>
      </c>
      <c r="D1943" s="14">
        <v>403.33333333333331</v>
      </c>
      <c r="E1943" s="14">
        <v>5055.9999999999991</v>
      </c>
      <c r="F1943" s="14">
        <v>486</v>
      </c>
      <c r="G1943" s="14">
        <v>254.66666666666666</v>
      </c>
      <c r="H1943" s="14">
        <v>73.999999999999986</v>
      </c>
      <c r="I1943" s="14">
        <v>202</v>
      </c>
      <c r="K1943" s="15"/>
    </row>
    <row r="1944" spans="1:11" ht="16.5" x14ac:dyDescent="0.2">
      <c r="A1944" s="4" t="s">
        <v>110</v>
      </c>
      <c r="B1944">
        <v>2013</v>
      </c>
      <c r="C1944" s="14">
        <v>749.99999999999989</v>
      </c>
      <c r="D1944" s="14">
        <v>401.33333333333331</v>
      </c>
      <c r="E1944" s="14">
        <v>5054</v>
      </c>
      <c r="F1944" s="14">
        <v>485.33333333333326</v>
      </c>
      <c r="G1944" s="14">
        <v>259.33333333333331</v>
      </c>
      <c r="H1944" s="14">
        <v>73.999999999999986</v>
      </c>
      <c r="I1944" s="14">
        <v>201.33333333333331</v>
      </c>
    </row>
    <row r="1945" spans="1:11" ht="16.5" x14ac:dyDescent="0.2">
      <c r="A1945" s="4" t="s">
        <v>110</v>
      </c>
      <c r="B1945">
        <v>2014</v>
      </c>
      <c r="C1945" s="14">
        <v>749.99999999999989</v>
      </c>
      <c r="D1945" s="14">
        <v>399.99999999999994</v>
      </c>
      <c r="E1945" s="14">
        <v>5052.6666666666661</v>
      </c>
      <c r="F1945" s="14">
        <v>484.66666666666663</v>
      </c>
      <c r="G1945" s="14">
        <v>263.33333333333331</v>
      </c>
      <c r="H1945" s="14">
        <v>74.666666666666657</v>
      </c>
      <c r="I1945" s="14">
        <v>201.33333333333331</v>
      </c>
    </row>
    <row r="1946" spans="1:11" ht="16.5" x14ac:dyDescent="0.2">
      <c r="A1946" s="4" t="s">
        <v>110</v>
      </c>
      <c r="B1946">
        <v>2015</v>
      </c>
      <c r="C1946" s="14">
        <v>748.66666666666663</v>
      </c>
      <c r="D1946" s="14">
        <v>398</v>
      </c>
      <c r="E1946" s="14">
        <v>5051.9999999999991</v>
      </c>
      <c r="F1946" s="14">
        <v>484.66666666666663</v>
      </c>
      <c r="G1946" s="14">
        <v>266</v>
      </c>
      <c r="H1946" s="14">
        <v>75.333333333333329</v>
      </c>
      <c r="I1946" s="14">
        <v>201.33333333333331</v>
      </c>
      <c r="K1946" s="15"/>
    </row>
    <row r="1947" spans="1:11" ht="16.5" x14ac:dyDescent="0.2">
      <c r="A1947" s="4" t="s">
        <v>110</v>
      </c>
      <c r="B1947">
        <v>2016</v>
      </c>
      <c r="C1947" s="14">
        <v>748.66666666666663</v>
      </c>
      <c r="D1947" s="14">
        <v>398</v>
      </c>
      <c r="E1947" s="14">
        <v>5050.6666666666661</v>
      </c>
      <c r="F1947" s="14">
        <v>483.99999999999994</v>
      </c>
      <c r="G1947" s="14">
        <v>268</v>
      </c>
      <c r="H1947" s="14">
        <v>76</v>
      </c>
      <c r="I1947" s="14">
        <v>201.33333333333331</v>
      </c>
    </row>
    <row r="1948" spans="1:11" ht="16.5" x14ac:dyDescent="0.2">
      <c r="A1948" s="4" t="s">
        <v>109</v>
      </c>
      <c r="B1948">
        <v>2009</v>
      </c>
      <c r="C1948" s="14">
        <v>4088</v>
      </c>
      <c r="D1948" s="14">
        <v>251.33333333333334</v>
      </c>
      <c r="E1948" s="14">
        <v>5379.333333333333</v>
      </c>
      <c r="F1948" s="14">
        <v>433.33333333333331</v>
      </c>
      <c r="G1948" s="14">
        <v>677.33333333333326</v>
      </c>
      <c r="H1948" s="14">
        <v>151.33333333333331</v>
      </c>
      <c r="I1948" s="14">
        <v>378</v>
      </c>
      <c r="K1948" s="15"/>
    </row>
    <row r="1949" spans="1:11" ht="16.5" x14ac:dyDescent="0.2">
      <c r="A1949" s="4" t="s">
        <v>109</v>
      </c>
      <c r="B1949">
        <v>2010</v>
      </c>
      <c r="C1949" s="14">
        <v>4087.333333333333</v>
      </c>
      <c r="D1949" s="14">
        <v>249.99999999999997</v>
      </c>
      <c r="E1949" s="14">
        <v>5371.333333333333</v>
      </c>
      <c r="F1949" s="14">
        <v>432.66666666666669</v>
      </c>
      <c r="G1949" s="14">
        <v>689.33333333333326</v>
      </c>
      <c r="H1949" s="14">
        <v>155.99999999999997</v>
      </c>
      <c r="I1949" s="14">
        <v>377.33333333333331</v>
      </c>
    </row>
    <row r="1950" spans="1:11" ht="16.5" x14ac:dyDescent="0.2">
      <c r="A1950" s="4" t="s">
        <v>109</v>
      </c>
      <c r="B1950">
        <v>2011</v>
      </c>
      <c r="C1950" s="14">
        <v>4100</v>
      </c>
      <c r="D1950" s="14">
        <v>248.66666666666663</v>
      </c>
      <c r="E1950" s="14">
        <v>5366.6666666666661</v>
      </c>
      <c r="F1950" s="14">
        <v>423.33333333333331</v>
      </c>
      <c r="G1950" s="14">
        <v>699.99999999999989</v>
      </c>
      <c r="H1950" s="14">
        <v>160</v>
      </c>
      <c r="I1950" s="14">
        <v>377.33333333333331</v>
      </c>
    </row>
    <row r="1951" spans="1:11" ht="16.5" x14ac:dyDescent="0.2">
      <c r="A1951" s="4" t="s">
        <v>109</v>
      </c>
      <c r="B1951">
        <v>2012</v>
      </c>
      <c r="C1951" s="14">
        <v>4108</v>
      </c>
      <c r="D1951" s="14">
        <v>247.33333333333331</v>
      </c>
      <c r="E1951" s="14">
        <v>5364</v>
      </c>
      <c r="F1951" s="14">
        <v>422.66666666666663</v>
      </c>
      <c r="G1951" s="14">
        <v>711.99999999999989</v>
      </c>
      <c r="H1951" s="14">
        <v>161.33333333333331</v>
      </c>
      <c r="I1951" s="14">
        <v>376.66666666666663</v>
      </c>
      <c r="K1951" s="15"/>
    </row>
    <row r="1952" spans="1:11" ht="16.5" x14ac:dyDescent="0.2">
      <c r="A1952" s="4" t="s">
        <v>109</v>
      </c>
      <c r="B1952">
        <v>2013</v>
      </c>
      <c r="C1952" s="14">
        <v>4104</v>
      </c>
      <c r="D1952" s="14">
        <v>245.99999999999997</v>
      </c>
      <c r="E1952" s="14">
        <v>5361.333333333333</v>
      </c>
      <c r="F1952" s="14">
        <v>419.99999999999994</v>
      </c>
      <c r="G1952" s="14">
        <v>725.33333333333337</v>
      </c>
      <c r="H1952" s="14">
        <v>164</v>
      </c>
      <c r="I1952" s="14">
        <v>375.99999999999994</v>
      </c>
    </row>
    <row r="1953" spans="1:11" ht="16.5" x14ac:dyDescent="0.2">
      <c r="A1953" s="4" t="s">
        <v>109</v>
      </c>
      <c r="B1953">
        <v>2014</v>
      </c>
      <c r="C1953" s="14">
        <v>4105.9999999999991</v>
      </c>
      <c r="D1953" s="14">
        <v>244</v>
      </c>
      <c r="E1953" s="14">
        <v>5355.3333333333321</v>
      </c>
      <c r="F1953" s="14">
        <v>419.33333333333331</v>
      </c>
      <c r="G1953" s="14">
        <v>742</v>
      </c>
      <c r="H1953" s="14">
        <v>167.99999999999997</v>
      </c>
      <c r="I1953" s="14">
        <v>375.99999999999994</v>
      </c>
      <c r="K1953" s="15"/>
    </row>
    <row r="1954" spans="1:11" ht="16.5" x14ac:dyDescent="0.2">
      <c r="A1954" s="4" t="s">
        <v>109</v>
      </c>
      <c r="B1954">
        <v>2015</v>
      </c>
      <c r="C1954" s="14">
        <v>4104.666666666667</v>
      </c>
      <c r="D1954" s="14">
        <v>243.33333333333331</v>
      </c>
      <c r="E1954" s="14">
        <v>5353.333333333333</v>
      </c>
      <c r="F1954" s="14">
        <v>418.66666666666663</v>
      </c>
      <c r="G1954" s="14">
        <v>751.99999999999989</v>
      </c>
      <c r="H1954" s="14">
        <v>169.33333333333331</v>
      </c>
      <c r="I1954" s="14">
        <v>375.33333333333326</v>
      </c>
    </row>
    <row r="1955" spans="1:11" ht="16.5" x14ac:dyDescent="0.2">
      <c r="A1955" s="4" t="s">
        <v>109</v>
      </c>
      <c r="B1955">
        <v>2016</v>
      </c>
      <c r="C1955" s="14">
        <v>4117.333333333333</v>
      </c>
      <c r="D1955" s="14">
        <v>242.66666666666663</v>
      </c>
      <c r="E1955" s="14">
        <v>5349.9999999999991</v>
      </c>
      <c r="F1955" s="14">
        <v>411.33333333333331</v>
      </c>
      <c r="G1955" s="14">
        <v>761.33333333333326</v>
      </c>
      <c r="H1955" s="14">
        <v>170.66666666666666</v>
      </c>
      <c r="I1955" s="14">
        <v>375.33333333333326</v>
      </c>
    </row>
    <row r="1956" spans="1:11" ht="16.5" x14ac:dyDescent="0.2">
      <c r="A1956" s="4" t="s">
        <v>108</v>
      </c>
      <c r="B1956">
        <v>2009</v>
      </c>
      <c r="C1956" s="14">
        <v>2531.333333333333</v>
      </c>
      <c r="D1956" s="14">
        <v>95.333333333333329</v>
      </c>
      <c r="E1956" s="14">
        <v>1671.333333333333</v>
      </c>
      <c r="F1956" s="14">
        <v>36</v>
      </c>
      <c r="G1956" s="14">
        <v>749.99999999999989</v>
      </c>
      <c r="H1956" s="14">
        <v>122</v>
      </c>
      <c r="I1956" s="14">
        <v>325.33333333333326</v>
      </c>
      <c r="K1956" s="15"/>
    </row>
    <row r="1957" spans="1:11" ht="16.5" x14ac:dyDescent="0.2">
      <c r="A1957" s="4" t="s">
        <v>108</v>
      </c>
      <c r="B1957">
        <v>2010</v>
      </c>
      <c r="C1957" s="14">
        <v>2507.9999999999995</v>
      </c>
      <c r="D1957" s="14">
        <v>94.666666666666657</v>
      </c>
      <c r="E1957" s="14">
        <v>1669.9999999999998</v>
      </c>
      <c r="F1957" s="14">
        <v>36</v>
      </c>
      <c r="G1957" s="14">
        <v>776</v>
      </c>
      <c r="H1957" s="14">
        <v>128.66666666666666</v>
      </c>
      <c r="I1957" s="14">
        <v>324</v>
      </c>
    </row>
    <row r="1958" spans="1:11" ht="16.5" x14ac:dyDescent="0.2">
      <c r="A1958" s="4" t="s">
        <v>108</v>
      </c>
      <c r="B1958">
        <v>2011</v>
      </c>
      <c r="C1958" s="14">
        <v>2507.3333333333335</v>
      </c>
      <c r="D1958" s="14">
        <v>93.999999999999986</v>
      </c>
      <c r="E1958" s="14">
        <v>1669.9999999999998</v>
      </c>
      <c r="F1958" s="14">
        <v>36</v>
      </c>
      <c r="G1958" s="14">
        <v>781.99999999999989</v>
      </c>
      <c r="H1958" s="14">
        <v>131.33333333333331</v>
      </c>
      <c r="I1958" s="14">
        <v>325.99999999999994</v>
      </c>
      <c r="K1958" s="15"/>
    </row>
    <row r="1959" spans="1:11" ht="16.5" x14ac:dyDescent="0.2">
      <c r="A1959" s="4" t="s">
        <v>108</v>
      </c>
      <c r="B1959">
        <v>2012</v>
      </c>
      <c r="C1959" s="14">
        <v>2515.333333333333</v>
      </c>
      <c r="D1959" s="14">
        <v>93.999999999999986</v>
      </c>
      <c r="E1959" s="14">
        <v>1669.9999999999998</v>
      </c>
      <c r="F1959" s="14">
        <v>36</v>
      </c>
      <c r="G1959" s="14">
        <v>785.33333333333326</v>
      </c>
      <c r="H1959" s="14">
        <v>132</v>
      </c>
      <c r="I1959" s="14">
        <v>325.33333333333326</v>
      </c>
    </row>
    <row r="1960" spans="1:11" ht="16.5" x14ac:dyDescent="0.2">
      <c r="A1960" s="4" t="s">
        <v>108</v>
      </c>
      <c r="B1960">
        <v>2013</v>
      </c>
      <c r="C1960" s="14">
        <v>2511.333333333333</v>
      </c>
      <c r="D1960" s="14">
        <v>93.999999999999986</v>
      </c>
      <c r="E1960" s="14">
        <v>1669.3333333333333</v>
      </c>
      <c r="F1960" s="14">
        <v>36</v>
      </c>
      <c r="G1960" s="14">
        <v>790.66666666666652</v>
      </c>
      <c r="H1960" s="14">
        <v>133.33333333333331</v>
      </c>
      <c r="I1960" s="14">
        <v>325.33333333333326</v>
      </c>
    </row>
    <row r="1961" spans="1:11" ht="16.5" x14ac:dyDescent="0.2">
      <c r="A1961" s="4" t="s">
        <v>108</v>
      </c>
      <c r="B1961">
        <v>2014</v>
      </c>
      <c r="C1961" s="14">
        <v>2504</v>
      </c>
      <c r="D1961" s="14">
        <v>92.666666666666657</v>
      </c>
      <c r="E1961" s="14">
        <v>1669.3333333333333</v>
      </c>
      <c r="F1961" s="14">
        <v>36</v>
      </c>
      <c r="G1961" s="14">
        <v>799.33333333333326</v>
      </c>
      <c r="H1961" s="14">
        <v>135.99999999999997</v>
      </c>
      <c r="I1961" s="14">
        <v>324.66666666666663</v>
      </c>
      <c r="K1961" s="15"/>
    </row>
    <row r="1962" spans="1:11" ht="16.5" x14ac:dyDescent="0.2">
      <c r="A1962" s="4" t="s">
        <v>108</v>
      </c>
      <c r="B1962">
        <v>2015</v>
      </c>
      <c r="C1962" s="14">
        <v>2495.333333333333</v>
      </c>
      <c r="D1962" s="14">
        <v>92.666666666666657</v>
      </c>
      <c r="E1962" s="14">
        <v>1668.6666666666665</v>
      </c>
      <c r="F1962" s="14">
        <v>36</v>
      </c>
      <c r="G1962" s="14">
        <v>811.99999999999989</v>
      </c>
      <c r="H1962" s="14">
        <v>137.33333333333334</v>
      </c>
      <c r="I1962" s="14">
        <v>324</v>
      </c>
    </row>
    <row r="1963" spans="1:11" ht="16.5" x14ac:dyDescent="0.2">
      <c r="A1963" s="4" t="s">
        <v>108</v>
      </c>
      <c r="B1963">
        <v>2016</v>
      </c>
      <c r="C1963" s="14">
        <v>2489.333333333333</v>
      </c>
      <c r="D1963" s="14">
        <v>92.666666666666657</v>
      </c>
      <c r="E1963" s="14">
        <v>1667.9999999999998</v>
      </c>
      <c r="F1963" s="14">
        <v>35.333333333333329</v>
      </c>
      <c r="G1963" s="14">
        <v>817.99999999999989</v>
      </c>
      <c r="H1963" s="14">
        <v>137.99999999999997</v>
      </c>
      <c r="I1963" s="14">
        <v>324</v>
      </c>
      <c r="K1963" s="15"/>
    </row>
    <row r="1964" spans="1:11" ht="16.5" x14ac:dyDescent="0.2">
      <c r="A1964" s="4" t="s">
        <v>107</v>
      </c>
      <c r="B1964">
        <v>2009</v>
      </c>
      <c r="C1964" s="14">
        <v>4434</v>
      </c>
      <c r="D1964" s="14">
        <v>376.66666666666663</v>
      </c>
      <c r="E1964" s="14">
        <v>11803.999999999998</v>
      </c>
      <c r="F1964" s="14">
        <v>338.66666666666663</v>
      </c>
      <c r="G1964" s="14">
        <v>1085.3333333333333</v>
      </c>
      <c r="H1964" s="14">
        <v>229.33333333333331</v>
      </c>
      <c r="I1964" s="14">
        <v>719.33333333333326</v>
      </c>
    </row>
    <row r="1965" spans="1:11" ht="16.5" x14ac:dyDescent="0.2">
      <c r="A1965" s="4" t="s">
        <v>107</v>
      </c>
      <c r="B1965">
        <v>2010</v>
      </c>
      <c r="C1965" s="14">
        <v>4410</v>
      </c>
      <c r="D1965" s="14">
        <v>374</v>
      </c>
      <c r="E1965" s="14">
        <v>11798.666666666666</v>
      </c>
      <c r="F1965" s="14">
        <v>338.66666666666663</v>
      </c>
      <c r="G1965" s="14">
        <v>1106.6666666666665</v>
      </c>
      <c r="H1965" s="14">
        <v>241.99999999999997</v>
      </c>
      <c r="I1965" s="14">
        <v>718</v>
      </c>
    </row>
    <row r="1966" spans="1:11" ht="16.5" x14ac:dyDescent="0.2">
      <c r="A1966" s="4" t="s">
        <v>107</v>
      </c>
      <c r="B1966">
        <v>2011</v>
      </c>
      <c r="C1966" s="14">
        <v>4418</v>
      </c>
      <c r="D1966" s="14">
        <v>372.66666666666663</v>
      </c>
      <c r="E1966" s="14">
        <v>11796</v>
      </c>
      <c r="F1966" s="14">
        <v>338</v>
      </c>
      <c r="G1966" s="14">
        <v>1118</v>
      </c>
      <c r="H1966" s="14">
        <v>246.66666666666666</v>
      </c>
      <c r="I1966" s="14">
        <v>717.33333333333326</v>
      </c>
      <c r="K1966" s="15"/>
    </row>
    <row r="1967" spans="1:11" ht="16.5" x14ac:dyDescent="0.2">
      <c r="A1967" s="4" t="s">
        <v>107</v>
      </c>
      <c r="B1967">
        <v>2012</v>
      </c>
      <c r="C1967" s="14">
        <v>4414</v>
      </c>
      <c r="D1967" s="14">
        <v>371.99999999999994</v>
      </c>
      <c r="E1967" s="14">
        <v>11794.666666666666</v>
      </c>
      <c r="F1967" s="14">
        <v>338</v>
      </c>
      <c r="G1967" s="14">
        <v>1122.6666666666665</v>
      </c>
      <c r="H1967" s="14">
        <v>248</v>
      </c>
      <c r="I1967" s="14">
        <v>717.33333333333326</v>
      </c>
    </row>
    <row r="1968" spans="1:11" ht="16.5" x14ac:dyDescent="0.2">
      <c r="A1968" s="4" t="s">
        <v>107</v>
      </c>
      <c r="B1968">
        <v>2013</v>
      </c>
      <c r="C1968" s="14">
        <v>4435.9999999999991</v>
      </c>
      <c r="D1968" s="14">
        <v>370.66666666666663</v>
      </c>
      <c r="E1968" s="14">
        <v>11791.333333333332</v>
      </c>
      <c r="F1968" s="14">
        <v>338</v>
      </c>
      <c r="G1968" s="14">
        <v>1127.9999999999998</v>
      </c>
      <c r="H1968" s="14">
        <v>251.33333333333334</v>
      </c>
      <c r="I1968" s="14">
        <v>716.66666666666663</v>
      </c>
      <c r="K1968" s="15"/>
    </row>
    <row r="1969" spans="1:11" ht="16.5" x14ac:dyDescent="0.2">
      <c r="A1969" s="4" t="s">
        <v>107</v>
      </c>
      <c r="B1969">
        <v>2014</v>
      </c>
      <c r="C1969" s="14">
        <v>4445.333333333333</v>
      </c>
      <c r="D1969" s="14">
        <v>369.99999999999994</v>
      </c>
      <c r="E1969" s="14">
        <v>11789.333333333332</v>
      </c>
      <c r="F1969" s="14">
        <v>337.33333333333331</v>
      </c>
      <c r="G1969" s="14">
        <v>1134.6666666666665</v>
      </c>
      <c r="H1969" s="14">
        <v>254</v>
      </c>
      <c r="I1969" s="14">
        <v>716.66666666666663</v>
      </c>
    </row>
    <row r="1970" spans="1:11" ht="16.5" x14ac:dyDescent="0.2">
      <c r="A1970" s="4" t="s">
        <v>107</v>
      </c>
      <c r="B1970">
        <v>2015</v>
      </c>
      <c r="C1970" s="14">
        <v>4445.333333333333</v>
      </c>
      <c r="D1970" s="14">
        <v>369.99999999999994</v>
      </c>
      <c r="E1970" s="14">
        <v>11787.333333333332</v>
      </c>
      <c r="F1970" s="14">
        <v>335.99999999999994</v>
      </c>
      <c r="G1970" s="14">
        <v>1144.6666666666665</v>
      </c>
      <c r="H1970" s="14">
        <v>255.33333333333329</v>
      </c>
      <c r="I1970" s="14">
        <v>715.33333333333326</v>
      </c>
    </row>
    <row r="1971" spans="1:11" ht="16.5" x14ac:dyDescent="0.2">
      <c r="A1971" s="4" t="s">
        <v>107</v>
      </c>
      <c r="B1971">
        <v>2016</v>
      </c>
      <c r="C1971" s="14">
        <v>4443.333333333333</v>
      </c>
      <c r="D1971" s="14">
        <v>369.33333333333331</v>
      </c>
      <c r="E1971" s="14">
        <v>11785.333333333332</v>
      </c>
      <c r="F1971" s="14">
        <v>335.99999999999994</v>
      </c>
      <c r="G1971" s="14">
        <v>1150.6666666666665</v>
      </c>
      <c r="H1971" s="14">
        <v>259.33333333333331</v>
      </c>
      <c r="I1971" s="14">
        <v>715.33333333333326</v>
      </c>
      <c r="K1971" s="15"/>
    </row>
    <row r="1972" spans="1:11" ht="16.5" x14ac:dyDescent="0.2">
      <c r="A1972" s="4" t="s">
        <v>106</v>
      </c>
      <c r="B1972">
        <v>2009</v>
      </c>
      <c r="C1972" s="14">
        <v>3475.3333333333326</v>
      </c>
      <c r="D1972" s="14">
        <v>174</v>
      </c>
      <c r="E1972" s="14">
        <v>10574.666666666666</v>
      </c>
      <c r="F1972" s="14">
        <v>48</v>
      </c>
      <c r="G1972" s="14">
        <v>526</v>
      </c>
      <c r="H1972" s="14">
        <v>186.66666666666666</v>
      </c>
      <c r="I1972" s="14">
        <v>521.33333333333326</v>
      </c>
    </row>
    <row r="1973" spans="1:11" ht="16.5" x14ac:dyDescent="0.2">
      <c r="A1973" s="4" t="s">
        <v>106</v>
      </c>
      <c r="B1973">
        <v>2010</v>
      </c>
      <c r="C1973" s="14">
        <v>3468.6666666666661</v>
      </c>
      <c r="D1973" s="14">
        <v>173.33333333333331</v>
      </c>
      <c r="E1973" s="14">
        <v>10570.666666666664</v>
      </c>
      <c r="F1973" s="14">
        <v>48</v>
      </c>
      <c r="G1973" s="14">
        <v>533.33333333333326</v>
      </c>
      <c r="H1973" s="14">
        <v>191.33333333333331</v>
      </c>
      <c r="I1973" s="14">
        <v>521.99999999999989</v>
      </c>
      <c r="K1973" s="15"/>
    </row>
    <row r="1974" spans="1:11" ht="16.5" x14ac:dyDescent="0.2">
      <c r="A1974" s="4" t="s">
        <v>106</v>
      </c>
      <c r="B1974">
        <v>2011</v>
      </c>
      <c r="C1974" s="14">
        <v>3529.333333333333</v>
      </c>
      <c r="D1974" s="14">
        <v>165.33333333333331</v>
      </c>
      <c r="E1974" s="14">
        <v>10561.333333333332</v>
      </c>
      <c r="F1974" s="14">
        <v>41.333333333333329</v>
      </c>
      <c r="G1974" s="14">
        <v>538</v>
      </c>
      <c r="H1974" s="14">
        <v>194.66666666666666</v>
      </c>
      <c r="I1974" s="14">
        <v>521.33333333333326</v>
      </c>
    </row>
    <row r="1975" spans="1:11" ht="16.5" x14ac:dyDescent="0.2">
      <c r="A1975" s="4" t="s">
        <v>106</v>
      </c>
      <c r="B1975">
        <v>2012</v>
      </c>
      <c r="C1975" s="14">
        <v>3522.6666666666661</v>
      </c>
      <c r="D1975" s="14">
        <v>163.33333333333331</v>
      </c>
      <c r="E1975" s="14">
        <v>10554.666666666666</v>
      </c>
      <c r="F1975" s="14">
        <v>41.333333333333329</v>
      </c>
      <c r="G1975" s="14">
        <v>560</v>
      </c>
      <c r="H1975" s="14">
        <v>195.99999999999997</v>
      </c>
      <c r="I1975" s="14">
        <v>520.66666666666663</v>
      </c>
    </row>
    <row r="1976" spans="1:11" ht="16.5" x14ac:dyDescent="0.2">
      <c r="A1976" s="4" t="s">
        <v>106</v>
      </c>
      <c r="B1976">
        <v>2013</v>
      </c>
      <c r="C1976" s="14">
        <v>3526.6666666666665</v>
      </c>
      <c r="D1976" s="14">
        <v>162.66666666666663</v>
      </c>
      <c r="E1976" s="14">
        <v>10553.333333333332</v>
      </c>
      <c r="F1976" s="14">
        <v>41.333333333333329</v>
      </c>
      <c r="G1976" s="14">
        <v>563.33333333333326</v>
      </c>
      <c r="H1976" s="14">
        <v>196.66666666666666</v>
      </c>
      <c r="I1976" s="14">
        <v>520</v>
      </c>
      <c r="K1976" s="15"/>
    </row>
    <row r="1977" spans="1:11" ht="16.5" x14ac:dyDescent="0.2">
      <c r="A1977" s="4" t="s">
        <v>106</v>
      </c>
      <c r="B1977">
        <v>2014</v>
      </c>
      <c r="C1977" s="14">
        <v>3529.333333333333</v>
      </c>
      <c r="D1977" s="14">
        <v>162</v>
      </c>
      <c r="E1977" s="14">
        <v>10549.333333333332</v>
      </c>
      <c r="F1977" s="14">
        <v>40.666666666666657</v>
      </c>
      <c r="G1977" s="14">
        <v>570</v>
      </c>
      <c r="H1977" s="14">
        <v>199.33333333333331</v>
      </c>
      <c r="I1977" s="14">
        <v>519.33333333333337</v>
      </c>
    </row>
    <row r="1978" spans="1:11" ht="16.5" x14ac:dyDescent="0.2">
      <c r="A1978" s="4" t="s">
        <v>106</v>
      </c>
      <c r="B1978">
        <v>2015</v>
      </c>
      <c r="C1978" s="14">
        <v>3531.3333333333335</v>
      </c>
      <c r="D1978" s="14">
        <v>161.33333333333331</v>
      </c>
      <c r="E1978" s="14">
        <v>10547.333333333332</v>
      </c>
      <c r="F1978" s="14">
        <v>40.666666666666657</v>
      </c>
      <c r="G1978" s="14">
        <v>575.33333333333326</v>
      </c>
      <c r="H1978" s="14">
        <v>199.99999999999997</v>
      </c>
      <c r="I1978" s="14">
        <v>519.33333333333337</v>
      </c>
      <c r="K1978" s="15"/>
    </row>
    <row r="1979" spans="1:11" ht="16.5" x14ac:dyDescent="0.2">
      <c r="A1979" s="4" t="s">
        <v>106</v>
      </c>
      <c r="B1979">
        <v>2016</v>
      </c>
      <c r="C1979" s="14">
        <v>3535.9999999999995</v>
      </c>
      <c r="D1979" s="14">
        <v>161.33333333333331</v>
      </c>
      <c r="E1979" s="14">
        <v>10544.666666666666</v>
      </c>
      <c r="F1979" s="14">
        <v>40.666666666666657</v>
      </c>
      <c r="G1979" s="14">
        <v>578.66666666666674</v>
      </c>
      <c r="H1979" s="14">
        <v>202</v>
      </c>
      <c r="I1979" s="14">
        <v>519.33333333333337</v>
      </c>
    </row>
    <row r="1980" spans="1:11" ht="16.5" x14ac:dyDescent="0.2">
      <c r="A1980" s="4" t="s">
        <v>105</v>
      </c>
      <c r="B1980">
        <v>2009</v>
      </c>
      <c r="C1980" s="14">
        <v>2697.9999999999995</v>
      </c>
      <c r="D1980" s="14">
        <v>57.333333333333329</v>
      </c>
      <c r="E1980" s="14">
        <v>1182.6666666666665</v>
      </c>
      <c r="F1980" s="14">
        <v>14</v>
      </c>
      <c r="G1980" s="14">
        <v>538.66666666666663</v>
      </c>
      <c r="H1980" s="14">
        <v>99.999999999999986</v>
      </c>
      <c r="I1980" s="14">
        <v>260</v>
      </c>
    </row>
    <row r="1981" spans="1:11" ht="16.5" x14ac:dyDescent="0.2">
      <c r="A1981" s="4" t="s">
        <v>105</v>
      </c>
      <c r="B1981">
        <v>2010</v>
      </c>
      <c r="C1981" s="14">
        <v>2705.333333333333</v>
      </c>
      <c r="D1981" s="14">
        <v>56.666666666666664</v>
      </c>
      <c r="E1981" s="14">
        <v>1179.3333333333333</v>
      </c>
      <c r="F1981" s="14">
        <v>13.333333333333332</v>
      </c>
      <c r="G1981" s="14">
        <v>543.33333333333337</v>
      </c>
      <c r="H1981" s="14">
        <v>103.33333333333333</v>
      </c>
      <c r="I1981" s="14">
        <v>260</v>
      </c>
      <c r="K1981" s="15"/>
    </row>
    <row r="1982" spans="1:11" ht="16.5" x14ac:dyDescent="0.2">
      <c r="A1982" s="4" t="s">
        <v>105</v>
      </c>
      <c r="B1982">
        <v>2011</v>
      </c>
      <c r="C1982" s="14">
        <v>2705.333333333333</v>
      </c>
      <c r="D1982" s="14">
        <v>56</v>
      </c>
      <c r="E1982" s="14">
        <v>1177.9999999999998</v>
      </c>
      <c r="F1982" s="14">
        <v>13.333333333333332</v>
      </c>
      <c r="G1982" s="14">
        <v>550.66666666666663</v>
      </c>
      <c r="H1982" s="14">
        <v>105.33333333333333</v>
      </c>
      <c r="I1982" s="14">
        <v>260</v>
      </c>
    </row>
    <row r="1983" spans="1:11" ht="16.5" x14ac:dyDescent="0.2">
      <c r="A1983" s="4" t="s">
        <v>105</v>
      </c>
      <c r="B1983">
        <v>2012</v>
      </c>
      <c r="C1983" s="14">
        <v>2699.333333333333</v>
      </c>
      <c r="D1983" s="14">
        <v>55.333333333333336</v>
      </c>
      <c r="E1983" s="14">
        <v>1177.3333333333333</v>
      </c>
      <c r="F1983" s="14">
        <v>13.333333333333332</v>
      </c>
      <c r="G1983" s="14">
        <v>558.66666666666663</v>
      </c>
      <c r="H1983" s="14">
        <v>106.66666666666666</v>
      </c>
      <c r="I1983" s="14">
        <v>259.33333333333331</v>
      </c>
      <c r="K1983" s="15"/>
    </row>
    <row r="1984" spans="1:11" ht="16.5" x14ac:dyDescent="0.2">
      <c r="A1984" s="4" t="s">
        <v>105</v>
      </c>
      <c r="B1984">
        <v>2013</v>
      </c>
      <c r="C1984" s="14">
        <v>2706.6666666666665</v>
      </c>
      <c r="D1984" s="14">
        <v>54.666666666666657</v>
      </c>
      <c r="E1984" s="14">
        <v>1175.3333333333333</v>
      </c>
      <c r="F1984" s="14">
        <v>13.333333333333332</v>
      </c>
      <c r="G1984" s="14">
        <v>565.33333333333326</v>
      </c>
      <c r="H1984" s="14">
        <v>112</v>
      </c>
      <c r="I1984" s="14">
        <v>259.33333333333331</v>
      </c>
    </row>
    <row r="1985" spans="1:11" ht="16.5" x14ac:dyDescent="0.2">
      <c r="A1985" s="4" t="s">
        <v>105</v>
      </c>
      <c r="B1985">
        <v>2014</v>
      </c>
      <c r="C1985" s="14">
        <v>2702.6666666666661</v>
      </c>
      <c r="D1985" s="14">
        <v>53.999999999999993</v>
      </c>
      <c r="E1985" s="14">
        <v>1173.9999999999998</v>
      </c>
      <c r="F1985" s="14">
        <v>13.333333333333332</v>
      </c>
      <c r="G1985" s="14">
        <v>577.33333333333337</v>
      </c>
      <c r="H1985" s="14">
        <v>114</v>
      </c>
      <c r="I1985" s="14">
        <v>258</v>
      </c>
    </row>
    <row r="1986" spans="1:11" ht="16.5" x14ac:dyDescent="0.2">
      <c r="A1986" s="4" t="s">
        <v>105</v>
      </c>
      <c r="B1986">
        <v>2015</v>
      </c>
      <c r="C1986" s="14">
        <v>2705.333333333333</v>
      </c>
      <c r="D1986" s="14">
        <v>53.999999999999993</v>
      </c>
      <c r="E1986" s="14">
        <v>1172.6666666666665</v>
      </c>
      <c r="F1986" s="14">
        <v>13.333333333333332</v>
      </c>
      <c r="G1986" s="14">
        <v>585.99999999999989</v>
      </c>
      <c r="H1986" s="14">
        <v>114</v>
      </c>
      <c r="I1986" s="14">
        <v>258</v>
      </c>
      <c r="K1986" s="15"/>
    </row>
    <row r="1987" spans="1:11" ht="16.5" x14ac:dyDescent="0.2">
      <c r="A1987" s="4" t="s">
        <v>105</v>
      </c>
      <c r="B1987">
        <v>2016</v>
      </c>
      <c r="C1987" s="14">
        <v>2712.6666666666661</v>
      </c>
      <c r="D1987" s="14">
        <v>53.333333333333329</v>
      </c>
      <c r="E1987" s="14">
        <v>1172</v>
      </c>
      <c r="F1987" s="14">
        <v>12.666666666666664</v>
      </c>
      <c r="G1987" s="14">
        <v>589.33333333333326</v>
      </c>
      <c r="H1987" s="14">
        <v>115.33333333333333</v>
      </c>
      <c r="I1987" s="14">
        <v>258</v>
      </c>
    </row>
    <row r="1988" spans="1:11" ht="16.5" x14ac:dyDescent="0.2">
      <c r="A1988" s="4" t="s">
        <v>104</v>
      </c>
      <c r="B1988">
        <v>2009</v>
      </c>
      <c r="C1988" s="14">
        <v>2715.9999999999995</v>
      </c>
      <c r="D1988" s="14">
        <v>272.66666666666663</v>
      </c>
      <c r="E1988" s="14">
        <v>902</v>
      </c>
      <c r="F1988" s="14">
        <v>53.333333333333329</v>
      </c>
      <c r="G1988" s="14">
        <v>578.66666666666663</v>
      </c>
      <c r="H1988" s="14">
        <v>92</v>
      </c>
      <c r="I1988" s="14">
        <v>238.66666666666663</v>
      </c>
      <c r="K1988" s="15"/>
    </row>
    <row r="1989" spans="1:11" ht="16.5" x14ac:dyDescent="0.2">
      <c r="A1989" s="4" t="s">
        <v>104</v>
      </c>
      <c r="B1989">
        <v>2010</v>
      </c>
      <c r="C1989" s="14">
        <v>2717.9999999999995</v>
      </c>
      <c r="D1989" s="14">
        <v>271.99999999999994</v>
      </c>
      <c r="E1989" s="14">
        <v>901.33333333333314</v>
      </c>
      <c r="F1989" s="14">
        <v>53.333333333333329</v>
      </c>
      <c r="G1989" s="14">
        <v>581.33333333333326</v>
      </c>
      <c r="H1989" s="14">
        <v>97.333333333333329</v>
      </c>
      <c r="I1989" s="14">
        <v>238</v>
      </c>
    </row>
    <row r="1990" spans="1:11" ht="16.5" x14ac:dyDescent="0.2">
      <c r="A1990" s="4" t="s">
        <v>104</v>
      </c>
      <c r="B1990">
        <v>2011</v>
      </c>
      <c r="C1990" s="14">
        <v>2718.6666666666665</v>
      </c>
      <c r="D1990" s="14">
        <v>270.66666666666663</v>
      </c>
      <c r="E1990" s="14">
        <v>899.99999999999989</v>
      </c>
      <c r="F1990" s="14">
        <v>53.333333333333329</v>
      </c>
      <c r="G1990" s="14">
        <v>587.33333333333326</v>
      </c>
      <c r="H1990" s="14">
        <v>100.66666666666666</v>
      </c>
      <c r="I1990" s="14">
        <v>238</v>
      </c>
    </row>
    <row r="1991" spans="1:11" ht="16.5" x14ac:dyDescent="0.2">
      <c r="A1991" s="4" t="s">
        <v>104</v>
      </c>
      <c r="B1991">
        <v>2012</v>
      </c>
      <c r="C1991" s="14">
        <v>2725.9999999999995</v>
      </c>
      <c r="D1991" s="14">
        <v>270</v>
      </c>
      <c r="E1991" s="14">
        <v>898.66666666666663</v>
      </c>
      <c r="F1991" s="14">
        <v>53.333333333333329</v>
      </c>
      <c r="G1991" s="14">
        <v>596</v>
      </c>
      <c r="H1991" s="14">
        <v>102</v>
      </c>
      <c r="I1991" s="14">
        <v>237.33333333333331</v>
      </c>
      <c r="K1991" s="15"/>
    </row>
    <row r="1992" spans="1:11" ht="16.5" x14ac:dyDescent="0.2">
      <c r="A1992" s="4" t="s">
        <v>104</v>
      </c>
      <c r="B1992">
        <v>2013</v>
      </c>
      <c r="C1992" s="14">
        <v>2721.333333333333</v>
      </c>
      <c r="D1992" s="14">
        <v>269.33333333333331</v>
      </c>
      <c r="E1992" s="14">
        <v>897.33333333333326</v>
      </c>
      <c r="F1992" s="14">
        <v>51.333333333333329</v>
      </c>
      <c r="G1992" s="14">
        <v>606</v>
      </c>
      <c r="H1992" s="14">
        <v>104.66666666666666</v>
      </c>
      <c r="I1992" s="14">
        <v>237.33333333333331</v>
      </c>
    </row>
    <row r="1993" spans="1:11" ht="16.5" x14ac:dyDescent="0.2">
      <c r="A1993" s="4" t="s">
        <v>104</v>
      </c>
      <c r="B1993">
        <v>2014</v>
      </c>
      <c r="C1993" s="14">
        <v>2729.9999999999995</v>
      </c>
      <c r="D1993" s="14">
        <v>268.66666666666663</v>
      </c>
      <c r="E1993" s="14">
        <v>896.66666666666663</v>
      </c>
      <c r="F1993" s="14">
        <v>49.999999999999993</v>
      </c>
      <c r="G1993" s="14">
        <v>611.99999999999989</v>
      </c>
      <c r="H1993" s="14">
        <v>106.66666666666666</v>
      </c>
      <c r="I1993" s="14">
        <v>236.66666666666666</v>
      </c>
      <c r="K1993" s="15"/>
    </row>
    <row r="1994" spans="1:11" ht="16.5" x14ac:dyDescent="0.2">
      <c r="A1994" s="4" t="s">
        <v>104</v>
      </c>
      <c r="B1994">
        <v>2015</v>
      </c>
      <c r="C1994" s="14">
        <v>2742.6666666666661</v>
      </c>
      <c r="D1994" s="14">
        <v>268.66666666666663</v>
      </c>
      <c r="E1994" s="14">
        <v>896.66666666666663</v>
      </c>
      <c r="F1994" s="14">
        <v>48.666666666666664</v>
      </c>
      <c r="G1994" s="14">
        <v>618</v>
      </c>
      <c r="H1994" s="14">
        <v>107.33333333333333</v>
      </c>
      <c r="I1994" s="14">
        <v>236.66666666666666</v>
      </c>
    </row>
    <row r="1995" spans="1:11" ht="16.5" x14ac:dyDescent="0.2">
      <c r="A1995" s="4" t="s">
        <v>104</v>
      </c>
      <c r="B1995">
        <v>2016</v>
      </c>
      <c r="C1995" s="14">
        <v>2742.6666666666661</v>
      </c>
      <c r="D1995" s="14">
        <v>268.66666666666663</v>
      </c>
      <c r="E1995" s="14">
        <v>896</v>
      </c>
      <c r="F1995" s="14">
        <v>48.666666666666664</v>
      </c>
      <c r="G1995" s="14">
        <v>620.66666666666663</v>
      </c>
      <c r="H1995" s="14">
        <v>107.99999999999999</v>
      </c>
      <c r="I1995" s="14">
        <v>236.66666666666666</v>
      </c>
    </row>
    <row r="1996" spans="1:11" ht="16.5" x14ac:dyDescent="0.2">
      <c r="A1996" s="4" t="s">
        <v>103</v>
      </c>
      <c r="B1996">
        <v>2009</v>
      </c>
      <c r="C1996" s="14">
        <v>2687.9999999999995</v>
      </c>
      <c r="D1996" s="14">
        <v>439.33333333333331</v>
      </c>
      <c r="E1996" s="14">
        <v>7735.3333333333321</v>
      </c>
      <c r="F1996" s="14">
        <v>230.66666666666666</v>
      </c>
      <c r="G1996" s="14">
        <v>552.66666666666652</v>
      </c>
      <c r="H1996" s="14">
        <v>128.66666666666666</v>
      </c>
      <c r="I1996" s="14">
        <v>420.66666666666663</v>
      </c>
      <c r="K1996" s="15"/>
    </row>
    <row r="1997" spans="1:11" ht="16.5" x14ac:dyDescent="0.2">
      <c r="A1997" s="4" t="s">
        <v>103</v>
      </c>
      <c r="B1997">
        <v>2010</v>
      </c>
      <c r="C1997" s="14">
        <v>2675.333333333333</v>
      </c>
      <c r="D1997" s="14">
        <v>438</v>
      </c>
      <c r="E1997" s="14">
        <v>7730.6666666666652</v>
      </c>
      <c r="F1997" s="14">
        <v>229.99999999999997</v>
      </c>
      <c r="G1997" s="14">
        <v>563.33333333333326</v>
      </c>
      <c r="H1997" s="14">
        <v>136.66666666666666</v>
      </c>
      <c r="I1997" s="14">
        <v>421.99999999999994</v>
      </c>
    </row>
    <row r="1998" spans="1:11" ht="16.5" x14ac:dyDescent="0.2">
      <c r="A1998" s="4" t="s">
        <v>103</v>
      </c>
      <c r="B1998">
        <v>2011</v>
      </c>
      <c r="C1998" s="14">
        <v>2732</v>
      </c>
      <c r="D1998" s="14">
        <v>438</v>
      </c>
      <c r="E1998" s="14">
        <v>7684.6666666666661</v>
      </c>
      <c r="F1998" s="14">
        <v>229.99999999999997</v>
      </c>
      <c r="G1998" s="14">
        <v>569.33333333333337</v>
      </c>
      <c r="H1998" s="14">
        <v>138.66666666666666</v>
      </c>
      <c r="I1998" s="14">
        <v>424.66666666666663</v>
      </c>
      <c r="K1998" s="15"/>
    </row>
    <row r="1999" spans="1:11" ht="16.5" x14ac:dyDescent="0.2">
      <c r="A1999" s="4" t="s">
        <v>103</v>
      </c>
      <c r="B1999">
        <v>2012</v>
      </c>
      <c r="C1999" s="14">
        <v>2732.6666666666661</v>
      </c>
      <c r="D1999" s="14">
        <v>437.33333333333326</v>
      </c>
      <c r="E1999" s="14">
        <v>7681.9999999999991</v>
      </c>
      <c r="F1999" s="14">
        <v>229.99999999999997</v>
      </c>
      <c r="G1999" s="14">
        <v>579.33333333333337</v>
      </c>
      <c r="H1999" s="14">
        <v>140</v>
      </c>
      <c r="I1999" s="14">
        <v>424.66666666666663</v>
      </c>
    </row>
    <row r="2000" spans="1:11" ht="16.5" x14ac:dyDescent="0.2">
      <c r="A2000" s="4" t="s">
        <v>103</v>
      </c>
      <c r="B2000">
        <v>2013</v>
      </c>
      <c r="C2000" s="14">
        <v>2739.9999999999995</v>
      </c>
      <c r="D2000" s="14">
        <v>435.33333333333326</v>
      </c>
      <c r="E2000" s="14">
        <v>7679.9999999999991</v>
      </c>
      <c r="F2000" s="14">
        <v>229.99999999999997</v>
      </c>
      <c r="G2000" s="14">
        <v>585.33333333333326</v>
      </c>
      <c r="H2000" s="14">
        <v>140.66666666666666</v>
      </c>
      <c r="I2000" s="14">
        <v>425.33333333333326</v>
      </c>
    </row>
    <row r="2001" spans="1:11" ht="16.5" x14ac:dyDescent="0.2">
      <c r="A2001" s="4" t="s">
        <v>103</v>
      </c>
      <c r="B2001">
        <v>2014</v>
      </c>
      <c r="C2001" s="14">
        <v>2729.9999999999995</v>
      </c>
      <c r="D2001" s="14">
        <v>436.66666666666663</v>
      </c>
      <c r="E2001" s="14">
        <v>7676.6666666666661</v>
      </c>
      <c r="F2001" s="14">
        <v>229.99999999999997</v>
      </c>
      <c r="G2001" s="14">
        <v>593.33333333333326</v>
      </c>
      <c r="H2001" s="14">
        <v>144</v>
      </c>
      <c r="I2001" s="14">
        <v>428.66666666666663</v>
      </c>
      <c r="K2001" s="15"/>
    </row>
    <row r="2002" spans="1:11" ht="16.5" x14ac:dyDescent="0.2">
      <c r="A2002" s="4" t="s">
        <v>103</v>
      </c>
      <c r="B2002">
        <v>2015</v>
      </c>
      <c r="C2002" s="14">
        <v>2726.6666666666665</v>
      </c>
      <c r="D2002" s="14">
        <v>435.33333333333326</v>
      </c>
      <c r="E2002" s="14">
        <v>7674.6666666666661</v>
      </c>
      <c r="F2002" s="14">
        <v>228.66666666666663</v>
      </c>
      <c r="G2002" s="14">
        <v>601.99999999999989</v>
      </c>
      <c r="H2002" s="14">
        <v>145.33333333333331</v>
      </c>
      <c r="I2002" s="14">
        <v>428</v>
      </c>
    </row>
    <row r="2003" spans="1:11" ht="16.5" x14ac:dyDescent="0.2">
      <c r="A2003" s="4" t="s">
        <v>103</v>
      </c>
      <c r="B2003">
        <v>2016</v>
      </c>
      <c r="C2003" s="14">
        <v>2726.6666666666665</v>
      </c>
      <c r="D2003" s="14">
        <v>434.66666666666663</v>
      </c>
      <c r="E2003" s="14">
        <v>7671.9999999999991</v>
      </c>
      <c r="F2003" s="14">
        <v>226.66666666666666</v>
      </c>
      <c r="G2003" s="14">
        <v>607.33333333333326</v>
      </c>
      <c r="H2003" s="14">
        <v>148.66666666666666</v>
      </c>
      <c r="I2003" s="14">
        <v>429.33333333333331</v>
      </c>
      <c r="K2003" s="15"/>
    </row>
    <row r="2004" spans="1:11" ht="16.5" x14ac:dyDescent="0.2">
      <c r="A2004" s="4" t="s">
        <v>102</v>
      </c>
      <c r="B2004">
        <v>2009</v>
      </c>
      <c r="C2004" s="14">
        <v>5342.6666666666661</v>
      </c>
      <c r="D2004" s="14">
        <v>563.33333333333326</v>
      </c>
      <c r="E2004" s="14">
        <v>3750.6666666666665</v>
      </c>
      <c r="F2004" s="14">
        <v>61.333333333333321</v>
      </c>
      <c r="G2004" s="14">
        <v>959.99999999999989</v>
      </c>
      <c r="H2004" s="14">
        <v>189.99999999999997</v>
      </c>
      <c r="I2004" s="14">
        <v>503.99999999999994</v>
      </c>
    </row>
    <row r="2005" spans="1:11" ht="16.5" x14ac:dyDescent="0.2">
      <c r="A2005" s="4" t="s">
        <v>102</v>
      </c>
      <c r="B2005">
        <v>2010</v>
      </c>
      <c r="C2005" s="14">
        <v>5329.333333333333</v>
      </c>
      <c r="D2005" s="14">
        <v>562.66666666666663</v>
      </c>
      <c r="E2005" s="14">
        <v>3745.3333333333326</v>
      </c>
      <c r="F2005" s="14">
        <v>61.333333333333321</v>
      </c>
      <c r="G2005" s="14">
        <v>968.66666666666663</v>
      </c>
      <c r="H2005" s="14">
        <v>204</v>
      </c>
      <c r="I2005" s="14">
        <v>503.33333333333331</v>
      </c>
    </row>
    <row r="2006" spans="1:11" ht="16.5" x14ac:dyDescent="0.2">
      <c r="A2006" s="4" t="s">
        <v>102</v>
      </c>
      <c r="B2006">
        <v>2011</v>
      </c>
      <c r="C2006" s="14">
        <v>5339.9999999999991</v>
      </c>
      <c r="D2006" s="14">
        <v>551.33333333333326</v>
      </c>
      <c r="E2006" s="14">
        <v>3740.6666666666665</v>
      </c>
      <c r="F2006" s="14">
        <v>61.333333333333321</v>
      </c>
      <c r="G2006" s="14">
        <v>977.33333333333326</v>
      </c>
      <c r="H2006" s="14">
        <v>211.33333333333331</v>
      </c>
      <c r="I2006" s="14">
        <v>502.66666666666669</v>
      </c>
      <c r="K2006" s="15"/>
    </row>
    <row r="2007" spans="1:11" ht="16.5" x14ac:dyDescent="0.2">
      <c r="A2007" s="4" t="s">
        <v>102</v>
      </c>
      <c r="B2007">
        <v>2012</v>
      </c>
      <c r="C2007" s="14">
        <v>5334</v>
      </c>
      <c r="D2007" s="14">
        <v>550</v>
      </c>
      <c r="E2007" s="14">
        <v>3738.6666666666661</v>
      </c>
      <c r="F2007" s="14">
        <v>61.333333333333321</v>
      </c>
      <c r="G2007" s="14">
        <v>989.33333333333326</v>
      </c>
      <c r="H2007" s="14">
        <v>212.66666666666663</v>
      </c>
      <c r="I2007" s="14">
        <v>501.99999999999994</v>
      </c>
    </row>
    <row r="2008" spans="1:11" ht="16.5" x14ac:dyDescent="0.2">
      <c r="A2008" s="4" t="s">
        <v>102</v>
      </c>
      <c r="B2008">
        <v>2013</v>
      </c>
      <c r="C2008" s="14">
        <v>5328.6666666666661</v>
      </c>
      <c r="D2008" s="14">
        <v>549.33333333333337</v>
      </c>
      <c r="E2008" s="14">
        <v>3735.9999999999995</v>
      </c>
      <c r="F2008" s="14">
        <v>61.333333333333321</v>
      </c>
      <c r="G2008" s="14">
        <v>1002.6666666666666</v>
      </c>
      <c r="H2008" s="14">
        <v>217.33333333333331</v>
      </c>
      <c r="I2008" s="14">
        <v>507.33333333333326</v>
      </c>
      <c r="K2008" s="15"/>
    </row>
    <row r="2009" spans="1:11" ht="16.5" x14ac:dyDescent="0.2">
      <c r="A2009" s="4" t="s">
        <v>102</v>
      </c>
      <c r="B2009">
        <v>2014</v>
      </c>
      <c r="C2009" s="14">
        <v>5342.6666666666661</v>
      </c>
      <c r="D2009" s="14">
        <v>548</v>
      </c>
      <c r="E2009" s="14">
        <v>3734</v>
      </c>
      <c r="F2009" s="14">
        <v>61.333333333333321</v>
      </c>
      <c r="G2009" s="14">
        <v>1013.3333333333333</v>
      </c>
      <c r="H2009" s="14">
        <v>218.66666666666663</v>
      </c>
      <c r="I2009" s="14">
        <v>506.66666666666663</v>
      </c>
    </row>
    <row r="2010" spans="1:11" ht="16.5" x14ac:dyDescent="0.2">
      <c r="A2010" s="4" t="s">
        <v>102</v>
      </c>
      <c r="B2010">
        <v>2015</v>
      </c>
      <c r="C2010" s="14">
        <v>5345.9999999999991</v>
      </c>
      <c r="D2010" s="14">
        <v>547.33333333333326</v>
      </c>
      <c r="E2010" s="14">
        <v>3731.9999999999995</v>
      </c>
      <c r="F2010" s="14">
        <v>60.666666666666657</v>
      </c>
      <c r="G2010" s="14">
        <v>1023.3333333333333</v>
      </c>
      <c r="H2010" s="14">
        <v>219.99999999999997</v>
      </c>
      <c r="I2010" s="14">
        <v>506.66666666666663</v>
      </c>
    </row>
    <row r="2011" spans="1:11" ht="16.5" x14ac:dyDescent="0.2">
      <c r="A2011" s="4" t="s">
        <v>102</v>
      </c>
      <c r="B2011">
        <v>2016</v>
      </c>
      <c r="C2011" s="14">
        <v>5345.9999999999991</v>
      </c>
      <c r="D2011" s="14">
        <v>546</v>
      </c>
      <c r="E2011" s="14">
        <v>3728.6666666666661</v>
      </c>
      <c r="F2011" s="14">
        <v>60.666666666666657</v>
      </c>
      <c r="G2011" s="14">
        <v>1039.9999999999998</v>
      </c>
      <c r="H2011" s="14">
        <v>221.99999999999997</v>
      </c>
      <c r="I2011" s="14">
        <v>500.66666666666657</v>
      </c>
      <c r="K2011" s="15"/>
    </row>
    <row r="2012" spans="1:11" ht="16.5" x14ac:dyDescent="0.2">
      <c r="A2012" s="4" t="s">
        <v>101</v>
      </c>
      <c r="B2012">
        <v>2009</v>
      </c>
      <c r="C2012" s="14">
        <v>2403.333333333333</v>
      </c>
      <c r="D2012" s="14">
        <v>773.99999999999989</v>
      </c>
      <c r="E2012" s="14">
        <v>2492</v>
      </c>
      <c r="F2012" s="14">
        <v>27.333333333333329</v>
      </c>
      <c r="G2012" s="14">
        <v>575.33333333333326</v>
      </c>
      <c r="H2012" s="14">
        <v>111.33333333333331</v>
      </c>
      <c r="I2012" s="14">
        <v>391.99999999999994</v>
      </c>
    </row>
    <row r="2013" spans="1:11" ht="16.5" x14ac:dyDescent="0.2">
      <c r="A2013" s="4" t="s">
        <v>101</v>
      </c>
      <c r="B2013">
        <v>2010</v>
      </c>
      <c r="C2013" s="14">
        <v>2420.6666666666665</v>
      </c>
      <c r="D2013" s="14">
        <v>745.33333333333326</v>
      </c>
      <c r="E2013" s="14">
        <v>2490</v>
      </c>
      <c r="F2013" s="14">
        <v>27.333333333333329</v>
      </c>
      <c r="G2013" s="14">
        <v>595.33333333333337</v>
      </c>
      <c r="H2013" s="14">
        <v>119.99999999999999</v>
      </c>
      <c r="I2013" s="14">
        <v>379.33333333333331</v>
      </c>
      <c r="K2013" s="15"/>
    </row>
    <row r="2014" spans="1:11" ht="16.5" x14ac:dyDescent="0.2">
      <c r="A2014" s="4" t="s">
        <v>101</v>
      </c>
      <c r="B2014">
        <v>2011</v>
      </c>
      <c r="C2014" s="14">
        <v>2416.6666666666665</v>
      </c>
      <c r="D2014" s="14">
        <v>758.66666666666663</v>
      </c>
      <c r="E2014" s="14">
        <v>2475.333333333333</v>
      </c>
      <c r="F2014" s="14">
        <v>26.666666666666664</v>
      </c>
      <c r="G2014" s="14">
        <v>602.66666666666652</v>
      </c>
      <c r="H2014" s="14">
        <v>122</v>
      </c>
      <c r="I2014" s="14">
        <v>378.66666666666663</v>
      </c>
    </row>
    <row r="2015" spans="1:11" ht="16.5" x14ac:dyDescent="0.2">
      <c r="A2015" s="4" t="s">
        <v>101</v>
      </c>
      <c r="B2015">
        <v>2012</v>
      </c>
      <c r="C2015" s="14">
        <v>2412</v>
      </c>
      <c r="D2015" s="14">
        <v>751.99999999999989</v>
      </c>
      <c r="E2015" s="14">
        <v>2472</v>
      </c>
      <c r="F2015" s="14">
        <v>26.666666666666664</v>
      </c>
      <c r="G2015" s="14">
        <v>613.99999999999989</v>
      </c>
      <c r="H2015" s="14">
        <v>128.66666666666666</v>
      </c>
      <c r="I2015" s="14">
        <v>378</v>
      </c>
    </row>
    <row r="2016" spans="1:11" ht="16.5" x14ac:dyDescent="0.2">
      <c r="A2016" s="4" t="s">
        <v>101</v>
      </c>
      <c r="B2016">
        <v>2013</v>
      </c>
      <c r="C2016" s="14">
        <v>2419.333333333333</v>
      </c>
      <c r="D2016" s="14">
        <v>736.66666666666663</v>
      </c>
      <c r="E2016" s="14">
        <v>2470.6666666666665</v>
      </c>
      <c r="F2016" s="14">
        <v>26.666666666666664</v>
      </c>
      <c r="G2016" s="14">
        <v>625.33333333333326</v>
      </c>
      <c r="H2016" s="14">
        <v>130.66666666666666</v>
      </c>
      <c r="I2016" s="14">
        <v>377.33333333333331</v>
      </c>
      <c r="K2016" s="15"/>
    </row>
    <row r="2017" spans="1:11" ht="16.5" x14ac:dyDescent="0.2">
      <c r="A2017" s="4" t="s">
        <v>101</v>
      </c>
      <c r="B2017">
        <v>2014</v>
      </c>
      <c r="C2017" s="14">
        <v>2421.333333333333</v>
      </c>
      <c r="D2017" s="14">
        <v>733.33333333333326</v>
      </c>
      <c r="E2017" s="14">
        <v>2467.3333333333335</v>
      </c>
      <c r="F2017" s="14">
        <v>25.999999999999996</v>
      </c>
      <c r="G2017" s="14">
        <v>638.66666666666674</v>
      </c>
      <c r="H2017" s="14">
        <v>134.66666666666666</v>
      </c>
      <c r="I2017" s="14">
        <v>375.99999999999994</v>
      </c>
    </row>
    <row r="2018" spans="1:11" ht="16.5" x14ac:dyDescent="0.2">
      <c r="A2018" s="4" t="s">
        <v>101</v>
      </c>
      <c r="B2018">
        <v>2015</v>
      </c>
      <c r="C2018" s="14">
        <v>2417.9999999999995</v>
      </c>
      <c r="D2018" s="14">
        <v>731.99999999999989</v>
      </c>
      <c r="E2018" s="14">
        <v>2464.6666666666665</v>
      </c>
      <c r="F2018" s="14">
        <v>25.999999999999996</v>
      </c>
      <c r="G2018" s="14">
        <v>645.33333333333326</v>
      </c>
      <c r="H2018" s="14">
        <v>139.33333333333331</v>
      </c>
      <c r="I2018" s="14">
        <v>375.99999999999994</v>
      </c>
      <c r="K2018" s="15"/>
    </row>
    <row r="2019" spans="1:11" ht="16.5" x14ac:dyDescent="0.2">
      <c r="A2019" s="4" t="s">
        <v>101</v>
      </c>
      <c r="B2019">
        <v>2016</v>
      </c>
      <c r="C2019" s="14">
        <v>2417.9999999999995</v>
      </c>
      <c r="D2019" s="14">
        <v>729.33333333333326</v>
      </c>
      <c r="E2019" s="14">
        <v>2463.333333333333</v>
      </c>
      <c r="F2019" s="14">
        <v>25.999999999999996</v>
      </c>
      <c r="G2019" s="14">
        <v>647.99999999999989</v>
      </c>
      <c r="H2019" s="14">
        <v>143.33333333333331</v>
      </c>
      <c r="I2019" s="14">
        <v>375.33333333333326</v>
      </c>
    </row>
    <row r="2020" spans="1:11" ht="16.5" x14ac:dyDescent="0.2">
      <c r="A2020" s="4" t="s">
        <v>100</v>
      </c>
      <c r="B2020">
        <v>2009</v>
      </c>
      <c r="C2020" s="14">
        <v>4871.9999999999991</v>
      </c>
      <c r="D2020" s="14">
        <v>436.66666666666663</v>
      </c>
      <c r="E2020" s="14">
        <v>5461.9999999999991</v>
      </c>
      <c r="F2020" s="14">
        <v>99.333333333333329</v>
      </c>
      <c r="G2020" s="14">
        <v>760.66666666666663</v>
      </c>
      <c r="H2020" s="14">
        <v>159.33333333333331</v>
      </c>
      <c r="I2020" s="14">
        <v>405.33333333333326</v>
      </c>
    </row>
    <row r="2021" spans="1:11" ht="16.5" x14ac:dyDescent="0.2">
      <c r="A2021" s="4" t="s">
        <v>100</v>
      </c>
      <c r="B2021">
        <v>2010</v>
      </c>
      <c r="C2021" s="14">
        <v>4873.333333333333</v>
      </c>
      <c r="D2021" s="14">
        <v>436</v>
      </c>
      <c r="E2021" s="14">
        <v>5459.333333333333</v>
      </c>
      <c r="F2021" s="14">
        <v>99.333333333333329</v>
      </c>
      <c r="G2021" s="14">
        <v>764.66666666666652</v>
      </c>
      <c r="H2021" s="14">
        <v>165.33333333333331</v>
      </c>
      <c r="I2021" s="14">
        <v>404.66666666666663</v>
      </c>
      <c r="K2021" s="15"/>
    </row>
    <row r="2022" spans="1:11" ht="16.5" x14ac:dyDescent="0.2">
      <c r="A2022" s="4" t="s">
        <v>100</v>
      </c>
      <c r="B2022">
        <v>2011</v>
      </c>
      <c r="C2022" s="14">
        <v>4876.6666666666661</v>
      </c>
      <c r="D2022" s="14">
        <v>433.99999999999994</v>
      </c>
      <c r="E2022" s="14">
        <v>5458</v>
      </c>
      <c r="F2022" s="14">
        <v>99.333333333333329</v>
      </c>
      <c r="G2022" s="14">
        <v>777.33333333333326</v>
      </c>
      <c r="H2022" s="14">
        <v>165.33333333333331</v>
      </c>
      <c r="I2022" s="14">
        <v>404</v>
      </c>
    </row>
    <row r="2023" spans="1:11" ht="16.5" x14ac:dyDescent="0.2">
      <c r="A2023" s="4" t="s">
        <v>100</v>
      </c>
      <c r="B2023">
        <v>2012</v>
      </c>
      <c r="C2023" s="14">
        <v>4881.9999999999991</v>
      </c>
      <c r="D2023" s="14">
        <v>433.33333333333331</v>
      </c>
      <c r="E2023" s="14">
        <v>5455.9999999999991</v>
      </c>
      <c r="F2023" s="14">
        <v>98.666666666666657</v>
      </c>
      <c r="G2023" s="14">
        <v>788</v>
      </c>
      <c r="H2023" s="14">
        <v>166.66666666666666</v>
      </c>
      <c r="I2023" s="14">
        <v>404</v>
      </c>
      <c r="K2023" s="15"/>
    </row>
    <row r="2024" spans="1:11" ht="16.5" x14ac:dyDescent="0.2">
      <c r="A2024" s="4" t="s">
        <v>100</v>
      </c>
      <c r="B2024">
        <v>2013</v>
      </c>
      <c r="C2024" s="14">
        <v>4884.666666666667</v>
      </c>
      <c r="D2024" s="14">
        <v>431.99999999999994</v>
      </c>
      <c r="E2024" s="14">
        <v>5454</v>
      </c>
      <c r="F2024" s="14">
        <v>98.666666666666657</v>
      </c>
      <c r="G2024" s="14">
        <v>795.99999999999989</v>
      </c>
      <c r="H2024" s="14">
        <v>169.33333333333331</v>
      </c>
      <c r="I2024" s="14">
        <v>403.33333333333331</v>
      </c>
    </row>
    <row r="2025" spans="1:11" ht="16.5" x14ac:dyDescent="0.2">
      <c r="A2025" s="4" t="s">
        <v>100</v>
      </c>
      <c r="B2025">
        <v>2014</v>
      </c>
      <c r="C2025" s="14">
        <v>4879.333333333333</v>
      </c>
      <c r="D2025" s="14">
        <v>430.66666666666657</v>
      </c>
      <c r="E2025" s="14">
        <v>5448</v>
      </c>
      <c r="F2025" s="14">
        <v>97.999999999999986</v>
      </c>
      <c r="G2025" s="14">
        <v>815.33333333333326</v>
      </c>
      <c r="H2025" s="14">
        <v>177.33333333333331</v>
      </c>
      <c r="I2025" s="14">
        <v>402.66666666666663</v>
      </c>
    </row>
    <row r="2026" spans="1:11" ht="16.5" x14ac:dyDescent="0.2">
      <c r="A2026" s="4" t="s">
        <v>100</v>
      </c>
      <c r="B2026">
        <v>2015</v>
      </c>
      <c r="C2026" s="14">
        <v>4874</v>
      </c>
      <c r="D2026" s="14">
        <v>429.99999999999994</v>
      </c>
      <c r="E2026" s="14">
        <v>5445.9999999999991</v>
      </c>
      <c r="F2026" s="14">
        <v>97.999999999999986</v>
      </c>
      <c r="G2026" s="14">
        <v>825.33333333333337</v>
      </c>
      <c r="H2026" s="14">
        <v>179.33333333333331</v>
      </c>
      <c r="I2026" s="14">
        <v>401.99999999999994</v>
      </c>
      <c r="K2026" s="15"/>
    </row>
    <row r="2027" spans="1:11" ht="16.5" x14ac:dyDescent="0.2">
      <c r="A2027" s="4" t="s">
        <v>100</v>
      </c>
      <c r="B2027">
        <v>2016</v>
      </c>
      <c r="C2027" s="14">
        <v>4877.333333333333</v>
      </c>
      <c r="D2027" s="14">
        <v>429.99999999999994</v>
      </c>
      <c r="E2027" s="14">
        <v>5444</v>
      </c>
      <c r="F2027" s="14">
        <v>96</v>
      </c>
      <c r="G2027" s="14">
        <v>832.66666666666652</v>
      </c>
      <c r="H2027" s="14">
        <v>182</v>
      </c>
      <c r="I2027" s="14">
        <v>401.99999999999994</v>
      </c>
    </row>
    <row r="2028" spans="1:11" ht="16.5" x14ac:dyDescent="0.2">
      <c r="A2028" s="4" t="s">
        <v>99</v>
      </c>
      <c r="B2028">
        <v>2009</v>
      </c>
      <c r="C2028" s="14">
        <v>3088.6666666666665</v>
      </c>
      <c r="D2028" s="14">
        <v>174</v>
      </c>
      <c r="E2028" s="14">
        <v>1336</v>
      </c>
      <c r="F2028" s="14">
        <v>88.666666666666657</v>
      </c>
      <c r="G2028" s="14">
        <v>654</v>
      </c>
      <c r="H2028" s="14">
        <v>93.999999999999986</v>
      </c>
      <c r="I2028" s="14">
        <v>283.33333333333331</v>
      </c>
      <c r="K2028" s="15"/>
    </row>
    <row r="2029" spans="1:11" ht="16.5" x14ac:dyDescent="0.2">
      <c r="A2029" s="4" t="s">
        <v>99</v>
      </c>
      <c r="B2029">
        <v>2010</v>
      </c>
      <c r="C2029" s="14">
        <v>3091.333333333333</v>
      </c>
      <c r="D2029" s="14">
        <v>173.33333333333331</v>
      </c>
      <c r="E2029" s="14">
        <v>1334.6666666666665</v>
      </c>
      <c r="F2029" s="14">
        <v>88.666666666666657</v>
      </c>
      <c r="G2029" s="14">
        <v>660.66666666666663</v>
      </c>
      <c r="H2029" s="14">
        <v>97.333333333333329</v>
      </c>
      <c r="I2029" s="14">
        <v>283.33333333333331</v>
      </c>
    </row>
    <row r="2030" spans="1:11" ht="16.5" x14ac:dyDescent="0.2">
      <c r="A2030" s="4" t="s">
        <v>99</v>
      </c>
      <c r="B2030">
        <v>2011</v>
      </c>
      <c r="C2030" s="14">
        <v>3094</v>
      </c>
      <c r="D2030" s="14">
        <v>173.33333333333331</v>
      </c>
      <c r="E2030" s="14">
        <v>1333.9999999999998</v>
      </c>
      <c r="F2030" s="14">
        <v>88.666666666666657</v>
      </c>
      <c r="G2030" s="14">
        <v>665.33333333333326</v>
      </c>
      <c r="H2030" s="14">
        <v>97.999999999999986</v>
      </c>
      <c r="I2030" s="14">
        <v>283.33333333333331</v>
      </c>
    </row>
    <row r="2031" spans="1:11" ht="16.5" x14ac:dyDescent="0.2">
      <c r="A2031" s="4" t="s">
        <v>99</v>
      </c>
      <c r="B2031">
        <v>2012</v>
      </c>
      <c r="C2031" s="14">
        <v>3090.6666666666665</v>
      </c>
      <c r="D2031" s="14">
        <v>173.33333333333331</v>
      </c>
      <c r="E2031" s="14">
        <v>1333.3333333333333</v>
      </c>
      <c r="F2031" s="14">
        <v>88.666666666666657</v>
      </c>
      <c r="G2031" s="14">
        <v>675.99999999999989</v>
      </c>
      <c r="H2031" s="14">
        <v>98.666666666666657</v>
      </c>
      <c r="I2031" s="14">
        <v>283.33333333333331</v>
      </c>
      <c r="K2031" s="15"/>
    </row>
    <row r="2032" spans="1:11" ht="16.5" x14ac:dyDescent="0.2">
      <c r="A2032" s="4" t="s">
        <v>99</v>
      </c>
      <c r="B2032">
        <v>2013</v>
      </c>
      <c r="C2032" s="14">
        <v>3085.9999999999995</v>
      </c>
      <c r="D2032" s="14">
        <v>172</v>
      </c>
      <c r="E2032" s="14">
        <v>1332</v>
      </c>
      <c r="F2032" s="14">
        <v>88.666666666666657</v>
      </c>
      <c r="G2032" s="14">
        <v>684.66666666666652</v>
      </c>
      <c r="H2032" s="14">
        <v>103.99999999999999</v>
      </c>
      <c r="I2032" s="14">
        <v>282.66666666666663</v>
      </c>
    </row>
    <row r="2033" spans="1:11" ht="16.5" x14ac:dyDescent="0.2">
      <c r="A2033" s="4" t="s">
        <v>99</v>
      </c>
      <c r="B2033">
        <v>2014</v>
      </c>
      <c r="C2033" s="14">
        <v>3074.6666666666665</v>
      </c>
      <c r="D2033" s="14">
        <v>168.66666666666666</v>
      </c>
      <c r="E2033" s="14">
        <v>1321.333333333333</v>
      </c>
      <c r="F2033" s="14">
        <v>81.333333333333314</v>
      </c>
      <c r="G2033" s="14">
        <v>725.99999999999989</v>
      </c>
      <c r="H2033" s="14">
        <v>109.33333333333331</v>
      </c>
      <c r="I2033" s="14">
        <v>280.66666666666663</v>
      </c>
      <c r="K2033" s="15"/>
    </row>
    <row r="2034" spans="1:11" ht="16.5" x14ac:dyDescent="0.2">
      <c r="A2034" s="4" t="s">
        <v>99</v>
      </c>
      <c r="B2034">
        <v>2015</v>
      </c>
      <c r="C2034" s="14">
        <v>3073.333333333333</v>
      </c>
      <c r="D2034" s="14">
        <v>167.99999999999997</v>
      </c>
      <c r="E2034" s="14">
        <v>1319.3333333333333</v>
      </c>
      <c r="F2034" s="14">
        <v>81.333333333333314</v>
      </c>
      <c r="G2034" s="14">
        <v>740.66666666666652</v>
      </c>
      <c r="H2034" s="14">
        <v>112</v>
      </c>
      <c r="I2034" s="14">
        <v>280</v>
      </c>
    </row>
    <row r="2035" spans="1:11" ht="16.5" x14ac:dyDescent="0.2">
      <c r="A2035" s="4" t="s">
        <v>99</v>
      </c>
      <c r="B2035">
        <v>2016</v>
      </c>
      <c r="C2035" s="14">
        <v>3076.6666666666665</v>
      </c>
      <c r="D2035" s="14">
        <v>167.33333333333331</v>
      </c>
      <c r="E2035" s="14">
        <v>1318.6666666666665</v>
      </c>
      <c r="F2035" s="14">
        <v>81.333333333333314</v>
      </c>
      <c r="G2035" s="14">
        <v>742.66666666666652</v>
      </c>
      <c r="H2035" s="14">
        <v>114</v>
      </c>
      <c r="I2035" s="14">
        <v>280</v>
      </c>
    </row>
    <row r="2036" spans="1:11" ht="16.5" x14ac:dyDescent="0.2">
      <c r="A2036" s="4" t="s">
        <v>98</v>
      </c>
      <c r="B2036">
        <v>2009</v>
      </c>
      <c r="C2036" s="14">
        <v>5486.6666666666661</v>
      </c>
      <c r="D2036" s="14">
        <v>167.99999999999997</v>
      </c>
      <c r="E2036" s="14">
        <v>8105.3333333333321</v>
      </c>
      <c r="F2036" s="14">
        <v>182</v>
      </c>
      <c r="G2036" s="14">
        <v>851.99999999999989</v>
      </c>
      <c r="H2036" s="14">
        <v>182.66666666666663</v>
      </c>
      <c r="I2036" s="14">
        <v>452.66666666666669</v>
      </c>
      <c r="K2036" s="15"/>
    </row>
    <row r="2037" spans="1:11" ht="16.5" x14ac:dyDescent="0.2">
      <c r="A2037" s="4" t="s">
        <v>98</v>
      </c>
      <c r="B2037">
        <v>2010</v>
      </c>
      <c r="C2037" s="14">
        <v>5482.6666666666661</v>
      </c>
      <c r="D2037" s="14">
        <v>167.99999999999997</v>
      </c>
      <c r="E2037" s="14">
        <v>8103.9999999999991</v>
      </c>
      <c r="F2037" s="14">
        <v>182</v>
      </c>
      <c r="G2037" s="14">
        <v>855.33333333333337</v>
      </c>
      <c r="H2037" s="14">
        <v>185.99999999999997</v>
      </c>
      <c r="I2037" s="14">
        <v>453.33333333333331</v>
      </c>
    </row>
    <row r="2038" spans="1:11" ht="16.5" x14ac:dyDescent="0.2">
      <c r="A2038" s="4" t="s">
        <v>98</v>
      </c>
      <c r="B2038">
        <v>2011</v>
      </c>
      <c r="C2038" s="14">
        <v>5486.6666666666661</v>
      </c>
      <c r="D2038" s="14">
        <v>167.99999999999997</v>
      </c>
      <c r="E2038" s="14">
        <v>8103.333333333333</v>
      </c>
      <c r="F2038" s="14">
        <v>182</v>
      </c>
      <c r="G2038" s="14">
        <v>855.33333333333337</v>
      </c>
      <c r="H2038" s="14">
        <v>189.33333333333331</v>
      </c>
      <c r="I2038" s="14">
        <v>452.66666666666669</v>
      </c>
      <c r="K2038" s="15"/>
    </row>
    <row r="2039" spans="1:11" ht="16.5" x14ac:dyDescent="0.2">
      <c r="A2039" s="4" t="s">
        <v>98</v>
      </c>
      <c r="B2039">
        <v>2012</v>
      </c>
      <c r="C2039" s="14">
        <v>5482.6666666666661</v>
      </c>
      <c r="D2039" s="14">
        <v>167.33333333333331</v>
      </c>
      <c r="E2039" s="14">
        <v>8099.9999999999991</v>
      </c>
      <c r="F2039" s="14">
        <v>182</v>
      </c>
      <c r="G2039" s="14">
        <v>867.33333333333326</v>
      </c>
      <c r="H2039" s="14">
        <v>193.33333333333331</v>
      </c>
      <c r="I2039" s="14">
        <v>453.33333333333331</v>
      </c>
    </row>
    <row r="2040" spans="1:11" ht="16.5" x14ac:dyDescent="0.2">
      <c r="A2040" s="4" t="s">
        <v>98</v>
      </c>
      <c r="B2040">
        <v>2013</v>
      </c>
      <c r="C2040" s="14">
        <v>5479.9999999999991</v>
      </c>
      <c r="D2040" s="14">
        <v>165.33333333333331</v>
      </c>
      <c r="E2040" s="14">
        <v>8098.6666666666661</v>
      </c>
      <c r="F2040" s="14">
        <v>182</v>
      </c>
      <c r="G2040" s="14">
        <v>875.33333333333337</v>
      </c>
      <c r="H2040" s="14">
        <v>194</v>
      </c>
      <c r="I2040" s="14">
        <v>453.33333333333331</v>
      </c>
    </row>
    <row r="2041" spans="1:11" ht="16.5" x14ac:dyDescent="0.2">
      <c r="A2041" s="4" t="s">
        <v>98</v>
      </c>
      <c r="B2041">
        <v>2014</v>
      </c>
      <c r="C2041" s="14">
        <v>5491.9999999999991</v>
      </c>
      <c r="D2041" s="14">
        <v>164.66666666666666</v>
      </c>
      <c r="E2041" s="14">
        <v>8097.3333333333321</v>
      </c>
      <c r="F2041" s="14">
        <v>182</v>
      </c>
      <c r="G2041" s="14">
        <v>881.33333333333314</v>
      </c>
      <c r="H2041" s="14">
        <v>195.99999999999997</v>
      </c>
      <c r="I2041" s="14">
        <v>452.66666666666669</v>
      </c>
      <c r="K2041" s="15"/>
    </row>
    <row r="2042" spans="1:11" ht="16.5" x14ac:dyDescent="0.2">
      <c r="A2042" s="4" t="s">
        <v>98</v>
      </c>
      <c r="B2042">
        <v>2015</v>
      </c>
      <c r="C2042" s="14">
        <v>5498.6666666666661</v>
      </c>
      <c r="D2042" s="14">
        <v>164.66666666666666</v>
      </c>
      <c r="E2042" s="14">
        <v>8096.6666666666661</v>
      </c>
      <c r="F2042" s="14">
        <v>182</v>
      </c>
      <c r="G2042" s="14">
        <v>886.66666666666663</v>
      </c>
      <c r="H2042" s="14">
        <v>196.66666666666666</v>
      </c>
      <c r="I2042" s="14">
        <v>452.66666666666669</v>
      </c>
    </row>
    <row r="2043" spans="1:11" ht="16.5" x14ac:dyDescent="0.2">
      <c r="A2043" s="4" t="s">
        <v>98</v>
      </c>
      <c r="B2043">
        <v>2016</v>
      </c>
      <c r="C2043" s="14">
        <v>5503.333333333333</v>
      </c>
      <c r="D2043" s="14">
        <v>164</v>
      </c>
      <c r="E2043" s="14">
        <v>8095.3333333333321</v>
      </c>
      <c r="F2043" s="14">
        <v>182</v>
      </c>
      <c r="G2043" s="14">
        <v>893.99999999999989</v>
      </c>
      <c r="H2043" s="14">
        <v>199.33333333333331</v>
      </c>
      <c r="I2043" s="14">
        <v>451.99999999999994</v>
      </c>
      <c r="K2043" s="15"/>
    </row>
    <row r="2044" spans="1:11" ht="16.5" x14ac:dyDescent="0.2">
      <c r="A2044" s="4" t="s">
        <v>97</v>
      </c>
      <c r="B2044">
        <v>2009</v>
      </c>
      <c r="C2044" s="14">
        <v>979.99999999999989</v>
      </c>
      <c r="D2044" s="14">
        <v>457.33333333333326</v>
      </c>
      <c r="E2044" s="14">
        <v>11536</v>
      </c>
      <c r="F2044" s="14">
        <v>839.99999999999989</v>
      </c>
      <c r="G2044" s="14">
        <v>254.66666666666666</v>
      </c>
      <c r="H2044" s="14">
        <v>71.333333333333329</v>
      </c>
      <c r="I2044" s="14">
        <v>446.66666666666663</v>
      </c>
    </row>
    <row r="2045" spans="1:11" ht="16.5" x14ac:dyDescent="0.2">
      <c r="A2045" s="4" t="s">
        <v>97</v>
      </c>
      <c r="B2045">
        <v>2010</v>
      </c>
      <c r="C2045" s="14">
        <v>1019.9999999999999</v>
      </c>
      <c r="D2045" s="14">
        <v>408.66666666666663</v>
      </c>
      <c r="E2045" s="14">
        <v>11535.333333333332</v>
      </c>
      <c r="F2045" s="14">
        <v>839.99999999999989</v>
      </c>
      <c r="G2045" s="14">
        <v>255.33333333333334</v>
      </c>
      <c r="H2045" s="14">
        <v>72.666666666666657</v>
      </c>
      <c r="I2045" s="14">
        <v>446.66666666666663</v>
      </c>
    </row>
    <row r="2046" spans="1:11" ht="16.5" x14ac:dyDescent="0.2">
      <c r="A2046" s="4" t="s">
        <v>97</v>
      </c>
      <c r="B2046">
        <v>2011</v>
      </c>
      <c r="C2046" s="14">
        <v>1020.6666666666665</v>
      </c>
      <c r="D2046" s="14">
        <v>408</v>
      </c>
      <c r="E2046" s="14">
        <v>11534.666666666666</v>
      </c>
      <c r="F2046" s="14">
        <v>838</v>
      </c>
      <c r="G2046" s="14">
        <v>258</v>
      </c>
      <c r="H2046" s="14">
        <v>72.666666666666657</v>
      </c>
      <c r="I2046" s="14">
        <v>446</v>
      </c>
      <c r="K2046" s="15"/>
    </row>
    <row r="2047" spans="1:11" ht="16.5" x14ac:dyDescent="0.2">
      <c r="A2047" s="4" t="s">
        <v>97</v>
      </c>
      <c r="B2047">
        <v>2012</v>
      </c>
      <c r="C2047" s="14">
        <v>1017.9999999999999</v>
      </c>
      <c r="D2047" s="14">
        <v>408</v>
      </c>
      <c r="E2047" s="14">
        <v>11533.333333333332</v>
      </c>
      <c r="F2047" s="14">
        <v>838</v>
      </c>
      <c r="G2047" s="14">
        <v>262</v>
      </c>
      <c r="H2047" s="14">
        <v>72.666666666666657</v>
      </c>
      <c r="I2047" s="14">
        <v>447.33333333333326</v>
      </c>
    </row>
    <row r="2048" spans="1:11" ht="16.5" x14ac:dyDescent="0.2">
      <c r="A2048" s="4" t="s">
        <v>97</v>
      </c>
      <c r="B2048">
        <v>2013</v>
      </c>
      <c r="C2048" s="14">
        <v>1017.3333333333333</v>
      </c>
      <c r="D2048" s="14">
        <v>408</v>
      </c>
      <c r="E2048" s="14">
        <v>11533.333333333332</v>
      </c>
      <c r="F2048" s="14">
        <v>838</v>
      </c>
      <c r="G2048" s="14">
        <v>263.33333333333331</v>
      </c>
      <c r="H2048" s="14">
        <v>72.666666666666657</v>
      </c>
      <c r="I2048" s="14">
        <v>446.66666666666663</v>
      </c>
      <c r="K2048" s="15"/>
    </row>
    <row r="2049" spans="1:11" ht="16.5" x14ac:dyDescent="0.2">
      <c r="A2049" s="4" t="s">
        <v>97</v>
      </c>
      <c r="B2049">
        <v>2014</v>
      </c>
      <c r="C2049" s="14">
        <v>1013.9999999999999</v>
      </c>
      <c r="D2049" s="14">
        <v>400.66666666666663</v>
      </c>
      <c r="E2049" s="14">
        <v>11531.333333333332</v>
      </c>
      <c r="F2049" s="14">
        <v>837.33333333333326</v>
      </c>
      <c r="G2049" s="14">
        <v>276</v>
      </c>
      <c r="H2049" s="14">
        <v>75.333333333333329</v>
      </c>
      <c r="I2049" s="14">
        <v>446.66666666666663</v>
      </c>
    </row>
    <row r="2050" spans="1:11" ht="16.5" x14ac:dyDescent="0.2">
      <c r="A2050" s="4" t="s">
        <v>97</v>
      </c>
      <c r="B2050">
        <v>2015</v>
      </c>
      <c r="C2050" s="14">
        <v>1009.9999999999999</v>
      </c>
      <c r="D2050" s="14">
        <v>399.33333333333331</v>
      </c>
      <c r="E2050" s="14">
        <v>11529.999999999998</v>
      </c>
      <c r="F2050" s="14">
        <v>837.33333333333326</v>
      </c>
      <c r="G2050" s="14">
        <v>281.33333333333331</v>
      </c>
      <c r="H2050" s="14">
        <v>76.666666666666657</v>
      </c>
      <c r="I2050" s="14">
        <v>446.66666666666663</v>
      </c>
    </row>
    <row r="2051" spans="1:11" ht="16.5" x14ac:dyDescent="0.2">
      <c r="A2051" s="4" t="s">
        <v>97</v>
      </c>
      <c r="B2051">
        <v>2016</v>
      </c>
      <c r="C2051" s="14">
        <v>1010.6666666666665</v>
      </c>
      <c r="D2051" s="14">
        <v>399.33333333333331</v>
      </c>
      <c r="E2051" s="14">
        <v>11529.333333333332</v>
      </c>
      <c r="F2051" s="14">
        <v>837.33333333333326</v>
      </c>
      <c r="G2051" s="14">
        <v>283.33333333333331</v>
      </c>
      <c r="H2051" s="14">
        <v>77.999999999999986</v>
      </c>
      <c r="I2051" s="14">
        <v>446</v>
      </c>
      <c r="K2051" s="15"/>
    </row>
    <row r="2052" spans="1:11" ht="16.5" x14ac:dyDescent="0.2">
      <c r="A2052" s="4" t="s">
        <v>96</v>
      </c>
      <c r="B2052">
        <v>2009</v>
      </c>
      <c r="C2052" s="14">
        <v>3257.9999999999995</v>
      </c>
      <c r="D2052" s="14">
        <v>93.999999999999986</v>
      </c>
      <c r="E2052" s="14">
        <v>7223.9999999999991</v>
      </c>
      <c r="F2052" s="14">
        <v>58.666666666666664</v>
      </c>
      <c r="G2052" s="14">
        <v>478</v>
      </c>
      <c r="H2052" s="14">
        <v>136.66666666666666</v>
      </c>
      <c r="I2052" s="14">
        <v>305.99999999999994</v>
      </c>
    </row>
    <row r="2053" spans="1:11" ht="16.5" x14ac:dyDescent="0.2">
      <c r="A2053" s="4" t="s">
        <v>96</v>
      </c>
      <c r="B2053">
        <v>2010</v>
      </c>
      <c r="C2053" s="14">
        <v>3253.333333333333</v>
      </c>
      <c r="D2053" s="14">
        <v>92.666666666666657</v>
      </c>
      <c r="E2053" s="14">
        <v>7220.6666666666652</v>
      </c>
      <c r="F2053" s="14">
        <v>58.666666666666664</v>
      </c>
      <c r="G2053" s="14">
        <v>478.66666666666663</v>
      </c>
      <c r="H2053" s="14">
        <v>144</v>
      </c>
      <c r="I2053" s="14">
        <v>305.99999999999994</v>
      </c>
      <c r="K2053" s="15"/>
    </row>
    <row r="2054" spans="1:11" ht="16.5" x14ac:dyDescent="0.2">
      <c r="A2054" s="4" t="s">
        <v>96</v>
      </c>
      <c r="B2054">
        <v>2011</v>
      </c>
      <c r="C2054" s="14">
        <v>3252</v>
      </c>
      <c r="D2054" s="14">
        <v>92.666666666666657</v>
      </c>
      <c r="E2054" s="14">
        <v>7219.9999999999991</v>
      </c>
      <c r="F2054" s="14">
        <v>58.666666666666664</v>
      </c>
      <c r="G2054" s="14">
        <v>479.99999999999994</v>
      </c>
      <c r="H2054" s="14">
        <v>144.66666666666666</v>
      </c>
      <c r="I2054" s="14">
        <v>305.99999999999994</v>
      </c>
    </row>
    <row r="2055" spans="1:11" ht="16.5" x14ac:dyDescent="0.2">
      <c r="A2055" s="4" t="s">
        <v>96</v>
      </c>
      <c r="B2055">
        <v>2012</v>
      </c>
      <c r="C2055" s="14">
        <v>3247.9999999999995</v>
      </c>
      <c r="D2055" s="14">
        <v>92</v>
      </c>
      <c r="E2055" s="14">
        <v>7218</v>
      </c>
      <c r="F2055" s="14">
        <v>57.999999999999993</v>
      </c>
      <c r="G2055" s="14">
        <v>487.33333333333326</v>
      </c>
      <c r="H2055" s="14">
        <v>147.33333333333334</v>
      </c>
      <c r="I2055" s="14">
        <v>305.33333333333331</v>
      </c>
    </row>
    <row r="2056" spans="1:11" ht="16.5" x14ac:dyDescent="0.2">
      <c r="A2056" s="4" t="s">
        <v>96</v>
      </c>
      <c r="B2056">
        <v>2013</v>
      </c>
      <c r="C2056" s="14">
        <v>3250.6666666666665</v>
      </c>
      <c r="D2056" s="14">
        <v>92</v>
      </c>
      <c r="E2056" s="14">
        <v>7214.6666666666661</v>
      </c>
      <c r="F2056" s="14">
        <v>57.999999999999993</v>
      </c>
      <c r="G2056" s="14">
        <v>494.66666666666663</v>
      </c>
      <c r="H2056" s="14">
        <v>150</v>
      </c>
      <c r="I2056" s="14">
        <v>305.33333333333331</v>
      </c>
      <c r="K2056" s="15"/>
    </row>
    <row r="2057" spans="1:11" ht="16.5" x14ac:dyDescent="0.2">
      <c r="A2057" s="4" t="s">
        <v>96</v>
      </c>
      <c r="B2057">
        <v>2014</v>
      </c>
      <c r="C2057" s="14">
        <v>3252</v>
      </c>
      <c r="D2057" s="14">
        <v>91.333333333333314</v>
      </c>
      <c r="E2057" s="14">
        <v>7212.666666666667</v>
      </c>
      <c r="F2057" s="14">
        <v>57.999999999999993</v>
      </c>
      <c r="G2057" s="14">
        <v>501.99999999999994</v>
      </c>
      <c r="H2057" s="14">
        <v>152.66666666666666</v>
      </c>
      <c r="I2057" s="14">
        <v>304.66666666666669</v>
      </c>
    </row>
    <row r="2058" spans="1:11" ht="16.5" x14ac:dyDescent="0.2">
      <c r="A2058" s="4" t="s">
        <v>96</v>
      </c>
      <c r="B2058">
        <v>2015</v>
      </c>
      <c r="C2058" s="14">
        <v>3245.333333333333</v>
      </c>
      <c r="D2058" s="14">
        <v>91.333333333333314</v>
      </c>
      <c r="E2058" s="14">
        <v>7207.3333333333321</v>
      </c>
      <c r="F2058" s="14">
        <v>57.999999999999993</v>
      </c>
      <c r="G2058" s="14">
        <v>521.33333333333326</v>
      </c>
      <c r="H2058" s="14">
        <v>154</v>
      </c>
      <c r="I2058" s="14">
        <v>304.66666666666669</v>
      </c>
      <c r="K2058" s="15"/>
    </row>
    <row r="2059" spans="1:11" ht="16.5" x14ac:dyDescent="0.2">
      <c r="A2059" s="4" t="s">
        <v>96</v>
      </c>
      <c r="B2059">
        <v>2016</v>
      </c>
      <c r="C2059" s="14">
        <v>3259.9999999999995</v>
      </c>
      <c r="D2059" s="14">
        <v>90.666666666666657</v>
      </c>
      <c r="E2059" s="14">
        <v>7201.9999999999991</v>
      </c>
      <c r="F2059" s="14">
        <v>57.999999999999993</v>
      </c>
      <c r="G2059" s="14">
        <v>535.99999999999989</v>
      </c>
      <c r="H2059" s="14">
        <v>157.33333333333334</v>
      </c>
      <c r="I2059" s="14">
        <v>304</v>
      </c>
    </row>
    <row r="2060" spans="1:11" ht="16.5" x14ac:dyDescent="0.2">
      <c r="A2060" s="4" t="s">
        <v>95</v>
      </c>
      <c r="B2060">
        <v>2009</v>
      </c>
      <c r="C2060" s="14">
        <v>4311.333333333333</v>
      </c>
      <c r="D2060" s="14">
        <v>506</v>
      </c>
      <c r="E2060" s="14">
        <v>1049.3333333333333</v>
      </c>
      <c r="F2060" s="14">
        <v>22.666666666666664</v>
      </c>
      <c r="G2060" s="14">
        <v>765.99999999999989</v>
      </c>
      <c r="H2060" s="14">
        <v>125.99999999999999</v>
      </c>
      <c r="I2060" s="14">
        <v>349.33333333333331</v>
      </c>
    </row>
    <row r="2061" spans="1:11" ht="16.5" x14ac:dyDescent="0.2">
      <c r="A2061" s="4" t="s">
        <v>95</v>
      </c>
      <c r="B2061">
        <v>2010</v>
      </c>
      <c r="C2061" s="14">
        <v>4307.333333333333</v>
      </c>
      <c r="D2061" s="14">
        <v>503.99999999999994</v>
      </c>
      <c r="E2061" s="14">
        <v>1044.6666666666665</v>
      </c>
      <c r="F2061" s="14">
        <v>22.666666666666664</v>
      </c>
      <c r="G2061" s="14">
        <v>775.99999999999989</v>
      </c>
      <c r="H2061" s="14">
        <v>146.66666666666666</v>
      </c>
      <c r="I2061" s="14">
        <v>348.66666666666663</v>
      </c>
      <c r="K2061" s="15"/>
    </row>
    <row r="2062" spans="1:11" ht="16.5" x14ac:dyDescent="0.2">
      <c r="A2062" s="4" t="s">
        <v>95</v>
      </c>
      <c r="B2062">
        <v>2011</v>
      </c>
      <c r="C2062" s="14">
        <v>4300.6666666666661</v>
      </c>
      <c r="D2062" s="14">
        <v>502.66666666666669</v>
      </c>
      <c r="E2062" s="14">
        <v>1042</v>
      </c>
      <c r="F2062" s="14">
        <v>22.666666666666664</v>
      </c>
      <c r="G2062" s="14">
        <v>787.33333333333326</v>
      </c>
      <c r="H2062" s="14">
        <v>153.33333333333331</v>
      </c>
      <c r="I2062" s="14">
        <v>348</v>
      </c>
    </row>
    <row r="2063" spans="1:11" ht="16.5" x14ac:dyDescent="0.2">
      <c r="A2063" s="4" t="s">
        <v>95</v>
      </c>
      <c r="B2063">
        <v>2012</v>
      </c>
      <c r="C2063" s="14">
        <v>4306.6666666666661</v>
      </c>
      <c r="D2063" s="14">
        <v>501.99999999999994</v>
      </c>
      <c r="E2063" s="14">
        <v>1040</v>
      </c>
      <c r="F2063" s="14">
        <v>23.333333333333332</v>
      </c>
      <c r="G2063" s="14">
        <v>795.33333333333326</v>
      </c>
      <c r="H2063" s="14">
        <v>157.33333333333334</v>
      </c>
      <c r="I2063" s="14">
        <v>348</v>
      </c>
      <c r="K2063" s="15"/>
    </row>
    <row r="2064" spans="1:11" ht="16.5" x14ac:dyDescent="0.2">
      <c r="A2064" s="4" t="s">
        <v>95</v>
      </c>
      <c r="B2064">
        <v>2013</v>
      </c>
      <c r="C2064" s="14">
        <v>4304</v>
      </c>
      <c r="D2064" s="14">
        <v>499.99999999999994</v>
      </c>
      <c r="E2064" s="14">
        <v>1036</v>
      </c>
      <c r="F2064" s="14">
        <v>23.333333333333332</v>
      </c>
      <c r="G2064" s="14">
        <v>803.33333333333326</v>
      </c>
      <c r="H2064" s="14">
        <v>157.99999999999997</v>
      </c>
      <c r="I2064" s="14">
        <v>348</v>
      </c>
    </row>
    <row r="2065" spans="1:11" ht="16.5" x14ac:dyDescent="0.2">
      <c r="A2065" s="4" t="s">
        <v>95</v>
      </c>
      <c r="B2065">
        <v>2014</v>
      </c>
      <c r="C2065" s="14">
        <v>4307.333333333333</v>
      </c>
      <c r="D2065" s="14">
        <v>498</v>
      </c>
      <c r="E2065" s="14">
        <v>1033.9999999999998</v>
      </c>
      <c r="F2065" s="14">
        <v>23.333333333333332</v>
      </c>
      <c r="G2065" s="14">
        <v>808.66666666666663</v>
      </c>
      <c r="H2065" s="14">
        <v>162</v>
      </c>
      <c r="I2065" s="14">
        <v>347.33333333333331</v>
      </c>
    </row>
    <row r="2066" spans="1:11" ht="16.5" x14ac:dyDescent="0.2">
      <c r="A2066" s="4" t="s">
        <v>95</v>
      </c>
      <c r="B2066">
        <v>2015</v>
      </c>
      <c r="C2066" s="14">
        <v>4301.9999999999991</v>
      </c>
      <c r="D2066" s="14">
        <v>496.66666666666663</v>
      </c>
      <c r="E2066" s="14">
        <v>1032.6666666666665</v>
      </c>
      <c r="F2066" s="14">
        <v>22.666666666666664</v>
      </c>
      <c r="G2066" s="14">
        <v>817.33333333333337</v>
      </c>
      <c r="H2066" s="14">
        <v>162</v>
      </c>
      <c r="I2066" s="14">
        <v>347.33333333333331</v>
      </c>
      <c r="K2066" s="15"/>
    </row>
    <row r="2067" spans="1:11" ht="16.5" x14ac:dyDescent="0.2">
      <c r="A2067" s="4" t="s">
        <v>95</v>
      </c>
      <c r="B2067">
        <v>2016</v>
      </c>
      <c r="C2067" s="14">
        <v>4297.333333333333</v>
      </c>
      <c r="D2067" s="14">
        <v>495.33333333333326</v>
      </c>
      <c r="E2067" s="14">
        <v>1029.3333333333333</v>
      </c>
      <c r="F2067" s="14">
        <v>21.999999999999996</v>
      </c>
      <c r="G2067" s="14">
        <v>828</v>
      </c>
      <c r="H2067" s="14">
        <v>164</v>
      </c>
      <c r="I2067" s="14">
        <v>348</v>
      </c>
    </row>
    <row r="2068" spans="1:11" ht="16.5" x14ac:dyDescent="0.2">
      <c r="A2068" s="4" t="s">
        <v>94</v>
      </c>
      <c r="B2068" s="16">
        <v>2009</v>
      </c>
      <c r="C2068" s="17">
        <v>755.33333333333326</v>
      </c>
      <c r="D2068" s="17">
        <v>196.66666666666666</v>
      </c>
      <c r="E2068" s="17">
        <v>37604.666666666664</v>
      </c>
      <c r="F2068" s="17">
        <v>37007.333333333336</v>
      </c>
      <c r="G2068" s="14">
        <v>211.33333333333329</v>
      </c>
      <c r="H2068" s="17">
        <v>126.66666666666666</v>
      </c>
      <c r="I2068" s="17">
        <v>654.66666666666663</v>
      </c>
      <c r="K2068" s="15"/>
    </row>
    <row r="2069" spans="1:11" ht="16.5" x14ac:dyDescent="0.2">
      <c r="A2069" s="4" t="s">
        <v>94</v>
      </c>
      <c r="B2069">
        <v>2010</v>
      </c>
      <c r="C2069" s="17">
        <v>819.99999999999989</v>
      </c>
      <c r="D2069" s="17">
        <v>115.99999999999999</v>
      </c>
      <c r="E2069" s="17">
        <v>37603.333333333328</v>
      </c>
      <c r="F2069" s="17">
        <v>37004</v>
      </c>
      <c r="G2069" s="14">
        <v>214</v>
      </c>
      <c r="H2069" s="17">
        <v>127.99999999999999</v>
      </c>
      <c r="I2069" s="17">
        <v>654.66666666666663</v>
      </c>
    </row>
    <row r="2070" spans="1:11" ht="16.5" x14ac:dyDescent="0.2">
      <c r="A2070" s="4" t="s">
        <v>94</v>
      </c>
      <c r="B2070" s="16">
        <v>2011</v>
      </c>
      <c r="C2070" s="17">
        <v>839.33333333333326</v>
      </c>
      <c r="D2070" s="17">
        <v>115.99999999999999</v>
      </c>
      <c r="E2070" s="17">
        <v>37602.666666666664</v>
      </c>
      <c r="F2070" s="17">
        <v>37002.666666666664</v>
      </c>
      <c r="G2070" s="14">
        <v>215.33333333333329</v>
      </c>
      <c r="H2070" s="17">
        <v>128.66666666666666</v>
      </c>
      <c r="I2070" s="17">
        <v>654.66666666666663</v>
      </c>
    </row>
    <row r="2071" spans="1:11" ht="16.5" x14ac:dyDescent="0.2">
      <c r="A2071" s="4" t="s">
        <v>94</v>
      </c>
      <c r="B2071">
        <v>2012</v>
      </c>
      <c r="C2071" s="14">
        <v>838.66666666666663</v>
      </c>
      <c r="D2071" s="14">
        <v>115.33333333333333</v>
      </c>
      <c r="E2071" s="14">
        <v>37600.666666666664</v>
      </c>
      <c r="F2071" s="14">
        <v>37000</v>
      </c>
      <c r="G2071" s="14">
        <v>219.33333333333331</v>
      </c>
      <c r="H2071" s="14">
        <v>130</v>
      </c>
      <c r="I2071" s="14">
        <v>656</v>
      </c>
      <c r="K2071" s="15"/>
    </row>
    <row r="2072" spans="1:11" ht="16.5" x14ac:dyDescent="0.2">
      <c r="A2072" s="4" t="s">
        <v>94</v>
      </c>
      <c r="B2072">
        <v>2013</v>
      </c>
      <c r="C2072" s="14">
        <v>838</v>
      </c>
      <c r="D2072" s="14">
        <v>114.66666666666666</v>
      </c>
      <c r="E2072" s="14">
        <v>37600</v>
      </c>
      <c r="F2072" s="14">
        <v>36998.666666666664</v>
      </c>
      <c r="G2072" s="14">
        <v>220.6666666666666</v>
      </c>
      <c r="H2072" s="14">
        <v>131.33333333333331</v>
      </c>
      <c r="I2072" s="14">
        <v>655.33333333333326</v>
      </c>
    </row>
    <row r="2073" spans="1:11" ht="16.5" x14ac:dyDescent="0.2">
      <c r="A2073" s="4" t="s">
        <v>94</v>
      </c>
      <c r="B2073">
        <v>2014</v>
      </c>
      <c r="C2073" s="14">
        <v>837.33333333333326</v>
      </c>
      <c r="D2073" s="14">
        <v>114.66666666666666</v>
      </c>
      <c r="E2073" s="14">
        <v>37599.333333333328</v>
      </c>
      <c r="F2073" s="14">
        <v>36997.333333333336</v>
      </c>
      <c r="G2073" s="14">
        <v>222.66666666666663</v>
      </c>
      <c r="H2073" s="14">
        <v>132</v>
      </c>
      <c r="I2073" s="14">
        <v>655.33333333333326</v>
      </c>
      <c r="K2073" s="15"/>
    </row>
    <row r="2074" spans="1:11" ht="16.5" x14ac:dyDescent="0.2">
      <c r="A2074" s="4" t="s">
        <v>94</v>
      </c>
      <c r="B2074">
        <v>2015</v>
      </c>
      <c r="C2074" s="14">
        <v>837.33333333333326</v>
      </c>
      <c r="D2074" s="14">
        <v>114.66666666666666</v>
      </c>
      <c r="E2074" s="14">
        <v>37598.666666666664</v>
      </c>
      <c r="F2074" s="14">
        <v>36994</v>
      </c>
      <c r="G2074" s="14">
        <v>225.33333333333329</v>
      </c>
      <c r="H2074" s="14">
        <v>133.33333333333331</v>
      </c>
      <c r="I2074" s="14">
        <v>655.33333333333326</v>
      </c>
    </row>
    <row r="2075" spans="1:11" ht="16.5" x14ac:dyDescent="0.2">
      <c r="A2075" s="4" t="s">
        <v>94</v>
      </c>
      <c r="B2075">
        <v>2016</v>
      </c>
      <c r="C2075" s="14">
        <v>837.33333333333326</v>
      </c>
      <c r="D2075" s="14">
        <v>114.66666666666666</v>
      </c>
      <c r="E2075" s="14">
        <v>37598.666666666664</v>
      </c>
      <c r="F2075" s="14">
        <v>36991.333333333328</v>
      </c>
      <c r="G2075" s="14">
        <v>228.66666666666663</v>
      </c>
      <c r="H2075" s="14">
        <v>133.33333333333331</v>
      </c>
      <c r="I2075" s="14">
        <v>655.33333333333326</v>
      </c>
    </row>
    <row r="2076" spans="1:11" ht="16.5" x14ac:dyDescent="0.2">
      <c r="A2076" s="4" t="s">
        <v>93</v>
      </c>
      <c r="B2076">
        <v>2009</v>
      </c>
      <c r="C2076" s="14">
        <v>1034.6666666666665</v>
      </c>
      <c r="D2076" s="14">
        <v>76.666666666666657</v>
      </c>
      <c r="E2076" s="14">
        <v>58706.666666666664</v>
      </c>
      <c r="F2076" s="14">
        <v>69225.999999999985</v>
      </c>
      <c r="G2076" s="14">
        <v>234</v>
      </c>
      <c r="H2076" s="14">
        <v>160.66666666666666</v>
      </c>
      <c r="I2076" s="14">
        <v>1678.6666666666665</v>
      </c>
      <c r="K2076" s="15"/>
    </row>
    <row r="2077" spans="1:11" ht="16.5" x14ac:dyDescent="0.2">
      <c r="A2077" s="4" t="s">
        <v>93</v>
      </c>
      <c r="B2077">
        <v>2010</v>
      </c>
      <c r="C2077" s="14">
        <v>1033.9999999999998</v>
      </c>
      <c r="D2077" s="14">
        <v>76.666666666666657</v>
      </c>
      <c r="E2077" s="14">
        <v>58705.333333333321</v>
      </c>
      <c r="F2077" s="14">
        <v>69220.666666666657</v>
      </c>
      <c r="G2077" s="14">
        <v>237.99999999999994</v>
      </c>
      <c r="H2077" s="14">
        <v>162</v>
      </c>
      <c r="I2077" s="14">
        <v>1677.9999999999998</v>
      </c>
    </row>
    <row r="2078" spans="1:11" ht="16.5" x14ac:dyDescent="0.2">
      <c r="A2078" s="4" t="s">
        <v>93</v>
      </c>
      <c r="B2078">
        <v>2011</v>
      </c>
      <c r="C2078" s="14">
        <v>1032.6666666666665</v>
      </c>
      <c r="D2078" s="14">
        <v>76.666666666666657</v>
      </c>
      <c r="E2078" s="14">
        <v>58703.333333333328</v>
      </c>
      <c r="F2078" s="14">
        <v>69219.333333333328</v>
      </c>
      <c r="G2078" s="14">
        <v>240.6666666666666</v>
      </c>
      <c r="H2078" s="14">
        <v>162.66666666666663</v>
      </c>
      <c r="I2078" s="14">
        <v>1680.6666666666665</v>
      </c>
      <c r="K2078" s="15"/>
    </row>
    <row r="2079" spans="1:11" ht="16.5" x14ac:dyDescent="0.2">
      <c r="A2079" s="4" t="s">
        <v>93</v>
      </c>
      <c r="B2079">
        <v>2012</v>
      </c>
      <c r="C2079" s="14">
        <v>1033.3333333333333</v>
      </c>
      <c r="D2079" s="14">
        <v>76.666666666666657</v>
      </c>
      <c r="E2079" s="14">
        <v>58701.999999999993</v>
      </c>
      <c r="F2079" s="14">
        <v>69217.333333333328</v>
      </c>
      <c r="G2079" s="14">
        <v>241.99999999999997</v>
      </c>
      <c r="H2079" s="14">
        <v>164.66666666666666</v>
      </c>
      <c r="I2079" s="14">
        <v>1680.6666666666665</v>
      </c>
    </row>
    <row r="2080" spans="1:11" ht="16.5" x14ac:dyDescent="0.2">
      <c r="A2080" s="4" t="s">
        <v>93</v>
      </c>
      <c r="B2080">
        <v>2013</v>
      </c>
      <c r="C2080" s="14">
        <v>1032</v>
      </c>
      <c r="D2080" s="14">
        <v>76.666666666666657</v>
      </c>
      <c r="E2080" s="14">
        <v>58701.333333333336</v>
      </c>
      <c r="F2080" s="14">
        <v>69215.999999999985</v>
      </c>
      <c r="G2080" s="14">
        <v>244.66666666666663</v>
      </c>
      <c r="H2080" s="14">
        <v>164.66666666666666</v>
      </c>
      <c r="I2080" s="14">
        <v>1680.6666666666665</v>
      </c>
    </row>
    <row r="2081" spans="1:11" ht="16.5" x14ac:dyDescent="0.2">
      <c r="A2081" s="4" t="s">
        <v>93</v>
      </c>
      <c r="B2081">
        <v>2014</v>
      </c>
      <c r="C2081" s="14">
        <v>1032.6666666666665</v>
      </c>
      <c r="D2081" s="14">
        <v>76</v>
      </c>
      <c r="E2081" s="14">
        <v>58693.333333333328</v>
      </c>
      <c r="F2081" s="14">
        <v>69211.999999999985</v>
      </c>
      <c r="G2081" s="14">
        <v>249.99999999999997</v>
      </c>
      <c r="H2081" s="14">
        <v>169.99999999999997</v>
      </c>
      <c r="I2081" s="14">
        <v>1681.333333333333</v>
      </c>
      <c r="K2081" s="15"/>
    </row>
    <row r="2082" spans="1:11" ht="16.5" x14ac:dyDescent="0.2">
      <c r="A2082" s="4" t="s">
        <v>93</v>
      </c>
      <c r="B2082">
        <v>2015</v>
      </c>
      <c r="C2082" s="14">
        <v>1032</v>
      </c>
      <c r="D2082" s="14">
        <v>76</v>
      </c>
      <c r="E2082" s="14">
        <v>58691.333333333336</v>
      </c>
      <c r="F2082" s="14">
        <v>69205.333333333328</v>
      </c>
      <c r="G2082" s="14">
        <v>253.33333333333331</v>
      </c>
      <c r="H2082" s="14">
        <v>175.99999999999997</v>
      </c>
      <c r="I2082" s="14">
        <v>1681.333333333333</v>
      </c>
    </row>
    <row r="2083" spans="1:11" ht="16.5" x14ac:dyDescent="0.2">
      <c r="A2083" s="4" t="s">
        <v>93</v>
      </c>
      <c r="B2083">
        <v>2016</v>
      </c>
      <c r="C2083" s="14">
        <v>1032</v>
      </c>
      <c r="D2083" s="14">
        <v>76</v>
      </c>
      <c r="E2083" s="14">
        <v>58690.666666666664</v>
      </c>
      <c r="F2083" s="14">
        <v>69202.666666666657</v>
      </c>
      <c r="G2083" s="14">
        <v>256.66666666666663</v>
      </c>
      <c r="H2083" s="14">
        <v>176.66666666666666</v>
      </c>
      <c r="I2083" s="14">
        <v>1680.6666666666665</v>
      </c>
      <c r="K2083" s="15"/>
    </row>
    <row r="2084" spans="1:11" ht="16.5" x14ac:dyDescent="0.2">
      <c r="A2084" s="4" t="s">
        <v>92</v>
      </c>
      <c r="B2084">
        <v>2009</v>
      </c>
      <c r="C2084" s="14">
        <v>5828.6666666666661</v>
      </c>
      <c r="D2084" s="14">
        <v>1099.3333333333333</v>
      </c>
      <c r="E2084" s="14">
        <v>36297.999999999993</v>
      </c>
      <c r="F2084" s="14">
        <v>12986</v>
      </c>
      <c r="G2084" s="14">
        <v>704.66666666666663</v>
      </c>
      <c r="H2084" s="14">
        <v>302.66666666666663</v>
      </c>
      <c r="I2084" s="14">
        <v>959.33333333333326</v>
      </c>
    </row>
    <row r="2085" spans="1:11" ht="16.5" x14ac:dyDescent="0.2">
      <c r="A2085" s="4" t="s">
        <v>92</v>
      </c>
      <c r="B2085">
        <v>2010</v>
      </c>
      <c r="C2085" s="14">
        <v>5828</v>
      </c>
      <c r="D2085" s="14">
        <v>1098.6666666666667</v>
      </c>
      <c r="E2085" s="14">
        <v>36295.999999999993</v>
      </c>
      <c r="F2085" s="14">
        <v>12983.333333333332</v>
      </c>
      <c r="G2085" s="14">
        <v>708.66666666666663</v>
      </c>
      <c r="H2085" s="14">
        <v>303.33333333333331</v>
      </c>
      <c r="I2085" s="14">
        <v>959.99999999999989</v>
      </c>
    </row>
    <row r="2086" spans="1:11" ht="16.5" x14ac:dyDescent="0.2">
      <c r="A2086" s="4" t="s">
        <v>92</v>
      </c>
      <c r="B2086">
        <v>2011</v>
      </c>
      <c r="C2086" s="14">
        <v>5825.9999999999991</v>
      </c>
      <c r="D2086" s="14">
        <v>1097.3333333333333</v>
      </c>
      <c r="E2086" s="14">
        <v>36291.333333333328</v>
      </c>
      <c r="F2086" s="14">
        <v>12978</v>
      </c>
      <c r="G2086" s="14">
        <v>713.99999999999989</v>
      </c>
      <c r="H2086" s="14">
        <v>303.33333333333331</v>
      </c>
      <c r="I2086" s="14">
        <v>967.99999999999989</v>
      </c>
      <c r="K2086" s="15"/>
    </row>
    <row r="2087" spans="1:11" ht="16.5" x14ac:dyDescent="0.2">
      <c r="A2087" s="4" t="s">
        <v>92</v>
      </c>
      <c r="B2087">
        <v>2012</v>
      </c>
      <c r="C2087" s="14">
        <v>5818.6666666666661</v>
      </c>
      <c r="D2087" s="14">
        <v>1096</v>
      </c>
      <c r="E2087" s="14">
        <v>36288.666666666664</v>
      </c>
      <c r="F2087" s="14">
        <v>12969.999999999998</v>
      </c>
      <c r="G2087" s="14">
        <v>717.33333333333337</v>
      </c>
      <c r="H2087" s="14">
        <v>304</v>
      </c>
      <c r="I2087" s="14">
        <v>965.33333333333337</v>
      </c>
    </row>
    <row r="2088" spans="1:11" ht="16.5" x14ac:dyDescent="0.2">
      <c r="A2088" s="4" t="s">
        <v>92</v>
      </c>
      <c r="B2088">
        <v>2013</v>
      </c>
      <c r="C2088" s="14">
        <v>5818.6666666666661</v>
      </c>
      <c r="D2088" s="14">
        <v>1094.6666666666665</v>
      </c>
      <c r="E2088" s="14">
        <v>36288.666666666664</v>
      </c>
      <c r="F2088" s="14">
        <v>12964.666666666666</v>
      </c>
      <c r="G2088" s="14">
        <v>723.99999999999989</v>
      </c>
      <c r="H2088" s="14">
        <v>304.66666666666669</v>
      </c>
      <c r="I2088" s="14">
        <v>965.33333333333337</v>
      </c>
      <c r="K2088" s="15"/>
    </row>
    <row r="2089" spans="1:11" ht="16.5" x14ac:dyDescent="0.2">
      <c r="A2089" s="4" t="s">
        <v>92</v>
      </c>
      <c r="B2089">
        <v>2014</v>
      </c>
      <c r="C2089" s="14">
        <v>5806.6666666666661</v>
      </c>
      <c r="D2089" s="14">
        <v>1093.3333333333333</v>
      </c>
      <c r="E2089" s="14">
        <v>36268.666666666664</v>
      </c>
      <c r="F2089" s="14">
        <v>12950.666666666664</v>
      </c>
      <c r="G2089" s="14">
        <v>738.66666666666652</v>
      </c>
      <c r="H2089" s="14">
        <v>305.33333333333331</v>
      </c>
      <c r="I2089" s="14">
        <v>999.33333333333326</v>
      </c>
    </row>
    <row r="2090" spans="1:11" ht="16.5" x14ac:dyDescent="0.2">
      <c r="A2090" s="4" t="s">
        <v>92</v>
      </c>
      <c r="B2090">
        <v>2015</v>
      </c>
      <c r="C2090" s="14">
        <v>5805.3333333333321</v>
      </c>
      <c r="D2090" s="14">
        <v>1092</v>
      </c>
      <c r="E2090" s="14">
        <v>36267.333333333336</v>
      </c>
      <c r="F2090" s="14">
        <v>12949.333333333332</v>
      </c>
      <c r="G2090" s="14">
        <v>748.66666666666663</v>
      </c>
      <c r="H2090" s="14">
        <v>306.66666666666663</v>
      </c>
      <c r="I2090" s="14">
        <v>999.33333333333326</v>
      </c>
    </row>
    <row r="2091" spans="1:11" ht="16.5" x14ac:dyDescent="0.2">
      <c r="A2091" s="4" t="s">
        <v>92</v>
      </c>
      <c r="B2091">
        <v>2016</v>
      </c>
      <c r="C2091" s="14">
        <v>5789.9999999999991</v>
      </c>
      <c r="D2091" s="14">
        <v>1089.3333333333333</v>
      </c>
      <c r="E2091" s="14">
        <v>36247.333333333336</v>
      </c>
      <c r="F2091" s="14">
        <v>12918.666666666666</v>
      </c>
      <c r="G2091" s="14">
        <v>786.66666666666652</v>
      </c>
      <c r="H2091" s="14">
        <v>309.33333333333331</v>
      </c>
      <c r="I2091" s="14">
        <v>1031.3333333333333</v>
      </c>
      <c r="K2091" s="15"/>
    </row>
    <row r="2092" spans="1:11" ht="16.5" x14ac:dyDescent="0.2">
      <c r="A2092" s="4" t="s">
        <v>91</v>
      </c>
      <c r="B2092">
        <v>2009</v>
      </c>
      <c r="C2092" s="14">
        <v>2737.9999999999995</v>
      </c>
      <c r="D2092" s="14">
        <v>124.66666666666666</v>
      </c>
      <c r="E2092" s="14">
        <v>3412.6666666666661</v>
      </c>
      <c r="F2092" s="14">
        <v>580</v>
      </c>
      <c r="G2092" s="14">
        <v>473.33333333333331</v>
      </c>
      <c r="H2092" s="14">
        <v>108.66666666666666</v>
      </c>
      <c r="I2092" s="14">
        <v>185.99999999999997</v>
      </c>
    </row>
    <row r="2093" spans="1:11" ht="16.5" x14ac:dyDescent="0.2">
      <c r="A2093" s="4" t="s">
        <v>91</v>
      </c>
      <c r="B2093">
        <v>2010</v>
      </c>
      <c r="C2093" s="14">
        <v>2714.6666666666665</v>
      </c>
      <c r="D2093" s="14">
        <v>122</v>
      </c>
      <c r="E2093" s="14">
        <v>3404.6666666666665</v>
      </c>
      <c r="F2093" s="14">
        <v>576</v>
      </c>
      <c r="G2093" s="14">
        <v>503.33333333333331</v>
      </c>
      <c r="H2093" s="14">
        <v>117.99999999999999</v>
      </c>
      <c r="I2093" s="14">
        <v>185.99999999999997</v>
      </c>
      <c r="K2093" s="15"/>
    </row>
    <row r="2094" spans="1:11" ht="16.5" x14ac:dyDescent="0.2">
      <c r="A2094" s="4" t="s">
        <v>91</v>
      </c>
      <c r="B2094">
        <v>2011</v>
      </c>
      <c r="C2094" s="14">
        <v>2695.9999999999995</v>
      </c>
      <c r="D2094" s="14">
        <v>117.99999999999999</v>
      </c>
      <c r="E2094" s="14">
        <v>3394.6666666666665</v>
      </c>
      <c r="F2094" s="14">
        <v>578</v>
      </c>
      <c r="G2094" s="14">
        <v>525.33333333333326</v>
      </c>
      <c r="H2094" s="14">
        <v>126.66666666666666</v>
      </c>
      <c r="I2094" s="14">
        <v>185.99999999999997</v>
      </c>
    </row>
    <row r="2095" spans="1:11" ht="16.5" x14ac:dyDescent="0.2">
      <c r="A2095" s="4" t="s">
        <v>91</v>
      </c>
      <c r="B2095">
        <v>2012</v>
      </c>
      <c r="C2095" s="14">
        <v>2670.6666666666665</v>
      </c>
      <c r="D2095" s="14">
        <v>115.33333333333333</v>
      </c>
      <c r="E2095" s="14">
        <v>3386.6666666666665</v>
      </c>
      <c r="F2095" s="14">
        <v>576</v>
      </c>
      <c r="G2095" s="14">
        <v>558.66666666666663</v>
      </c>
      <c r="H2095" s="14">
        <v>132.66666666666666</v>
      </c>
      <c r="I2095" s="14">
        <v>185.33333333333331</v>
      </c>
    </row>
    <row r="2096" spans="1:11" ht="16.5" x14ac:dyDescent="0.2">
      <c r="A2096" s="4" t="s">
        <v>91</v>
      </c>
      <c r="B2096">
        <v>2013</v>
      </c>
      <c r="C2096" s="14">
        <v>2654</v>
      </c>
      <c r="D2096" s="14">
        <v>114.66666666666666</v>
      </c>
      <c r="E2096" s="14">
        <v>3382</v>
      </c>
      <c r="F2096" s="14">
        <v>572.66666666666663</v>
      </c>
      <c r="G2096" s="14">
        <v>575.33333333333337</v>
      </c>
      <c r="H2096" s="14">
        <v>142.66666666666666</v>
      </c>
      <c r="I2096" s="14">
        <v>185.33333333333331</v>
      </c>
      <c r="K2096" s="15"/>
    </row>
    <row r="2097" spans="1:11" ht="16.5" x14ac:dyDescent="0.2">
      <c r="A2097" s="4" t="s">
        <v>91</v>
      </c>
      <c r="B2097">
        <v>2014</v>
      </c>
      <c r="C2097" s="14">
        <v>2622</v>
      </c>
      <c r="D2097" s="14">
        <v>112.66666666666664</v>
      </c>
      <c r="E2097" s="14">
        <v>3372</v>
      </c>
      <c r="F2097" s="14">
        <v>567.33333333333326</v>
      </c>
      <c r="G2097" s="14">
        <v>606</v>
      </c>
      <c r="H2097" s="14">
        <v>162</v>
      </c>
      <c r="I2097" s="14">
        <v>185.33333333333331</v>
      </c>
    </row>
    <row r="2098" spans="1:11" ht="16.5" x14ac:dyDescent="0.2">
      <c r="A2098" s="4" t="s">
        <v>91</v>
      </c>
      <c r="B2098">
        <v>2015</v>
      </c>
      <c r="C2098" s="14">
        <v>2607.333333333333</v>
      </c>
      <c r="D2098" s="14">
        <v>110.66666666666667</v>
      </c>
      <c r="E2098" s="14">
        <v>3365.333333333333</v>
      </c>
      <c r="F2098" s="14">
        <v>562.66666666666663</v>
      </c>
      <c r="G2098" s="14">
        <v>629.33333333333337</v>
      </c>
      <c r="H2098" s="14">
        <v>167.33333333333331</v>
      </c>
      <c r="I2098" s="14">
        <v>185.99999999999997</v>
      </c>
      <c r="K2098" s="15"/>
    </row>
    <row r="2099" spans="1:11" ht="16.5" x14ac:dyDescent="0.2">
      <c r="A2099" s="4" t="s">
        <v>91</v>
      </c>
      <c r="B2099">
        <v>2016</v>
      </c>
      <c r="C2099" s="14">
        <v>2587.9999999999995</v>
      </c>
      <c r="D2099" s="14">
        <v>109.99999999999999</v>
      </c>
      <c r="E2099" s="14">
        <v>3358.6666666666665</v>
      </c>
      <c r="F2099" s="14">
        <v>560.66666666666663</v>
      </c>
      <c r="G2099" s="14">
        <v>650.66666666666652</v>
      </c>
      <c r="H2099" s="14">
        <v>175.99999999999997</v>
      </c>
      <c r="I2099" s="14">
        <v>185.33333333333331</v>
      </c>
    </row>
    <row r="2100" spans="1:11" ht="16.5" x14ac:dyDescent="0.2">
      <c r="A2100" s="4" t="s">
        <v>90</v>
      </c>
      <c r="B2100">
        <v>2009</v>
      </c>
      <c r="C2100" s="14">
        <v>3112</v>
      </c>
      <c r="D2100" s="14">
        <v>46</v>
      </c>
      <c r="E2100" s="14">
        <v>3769.9999999999995</v>
      </c>
      <c r="F2100" s="14">
        <v>1085.3333333333333</v>
      </c>
      <c r="G2100" s="14">
        <v>384</v>
      </c>
      <c r="H2100" s="14">
        <v>111.33333333333331</v>
      </c>
      <c r="I2100" s="14">
        <v>95.333333333333329</v>
      </c>
    </row>
    <row r="2101" spans="1:11" ht="16.5" x14ac:dyDescent="0.2">
      <c r="A2101" s="4" t="s">
        <v>90</v>
      </c>
      <c r="B2101">
        <v>2010</v>
      </c>
      <c r="C2101" s="14">
        <v>3106.6666666666665</v>
      </c>
      <c r="D2101" s="14">
        <v>46</v>
      </c>
      <c r="E2101" s="14">
        <v>3764</v>
      </c>
      <c r="F2101" s="14">
        <v>1087.9999999999998</v>
      </c>
      <c r="G2101" s="14">
        <v>389.33333333333331</v>
      </c>
      <c r="H2101" s="14">
        <v>113.33333333333333</v>
      </c>
      <c r="I2101" s="14">
        <v>96</v>
      </c>
      <c r="K2101" s="15"/>
    </row>
    <row r="2102" spans="1:11" ht="16.5" x14ac:dyDescent="0.2">
      <c r="A2102" s="4" t="s">
        <v>90</v>
      </c>
      <c r="B2102">
        <v>2011</v>
      </c>
      <c r="C2102" s="14">
        <v>3104</v>
      </c>
      <c r="D2102" s="14">
        <v>46</v>
      </c>
      <c r="E2102" s="14">
        <v>3755.9999999999995</v>
      </c>
      <c r="F2102" s="14">
        <v>1080</v>
      </c>
      <c r="G2102" s="14">
        <v>401.99999999999994</v>
      </c>
      <c r="H2102" s="14">
        <v>117.99999999999999</v>
      </c>
      <c r="I2102" s="14">
        <v>100.66666666666666</v>
      </c>
    </row>
    <row r="2103" spans="1:11" ht="16.5" x14ac:dyDescent="0.2">
      <c r="A2103" s="4" t="s">
        <v>90</v>
      </c>
      <c r="B2103">
        <v>2012</v>
      </c>
      <c r="C2103" s="14">
        <v>3097.333333333333</v>
      </c>
      <c r="D2103" s="14">
        <v>46</v>
      </c>
      <c r="E2103" s="14">
        <v>3754</v>
      </c>
      <c r="F2103" s="14">
        <v>1076.6666666666665</v>
      </c>
      <c r="G2103" s="14">
        <v>414</v>
      </c>
      <c r="H2103" s="14">
        <v>119.99999999999999</v>
      </c>
      <c r="I2103" s="14">
        <v>100.66666666666666</v>
      </c>
      <c r="K2103" s="15"/>
    </row>
    <row r="2104" spans="1:11" ht="16.5" x14ac:dyDescent="0.2">
      <c r="A2104" s="4" t="s">
        <v>90</v>
      </c>
      <c r="B2104">
        <v>2013</v>
      </c>
      <c r="C2104" s="14">
        <v>3089.333333333333</v>
      </c>
      <c r="D2104" s="14">
        <v>48.666666666666664</v>
      </c>
      <c r="E2104" s="14">
        <v>3751.3333333333335</v>
      </c>
      <c r="F2104" s="14">
        <v>1075.3333333333333</v>
      </c>
      <c r="G2104" s="14">
        <v>421.33333333333331</v>
      </c>
      <c r="H2104" s="14">
        <v>124</v>
      </c>
      <c r="I2104" s="14">
        <v>99.999999999999986</v>
      </c>
    </row>
    <row r="2105" spans="1:11" ht="16.5" x14ac:dyDescent="0.2">
      <c r="A2105" s="4" t="s">
        <v>90</v>
      </c>
      <c r="B2105">
        <v>2014</v>
      </c>
      <c r="C2105" s="14">
        <v>3079.333333333333</v>
      </c>
      <c r="D2105" s="14">
        <v>48</v>
      </c>
      <c r="E2105" s="14">
        <v>3748</v>
      </c>
      <c r="F2105" s="14">
        <v>1073.3333333333333</v>
      </c>
      <c r="G2105" s="14">
        <v>431.99999999999994</v>
      </c>
      <c r="H2105" s="14">
        <v>130.66666666666666</v>
      </c>
      <c r="I2105" s="14">
        <v>99.999999999999986</v>
      </c>
    </row>
    <row r="2106" spans="1:11" ht="16.5" x14ac:dyDescent="0.2">
      <c r="A2106" s="4" t="s">
        <v>90</v>
      </c>
      <c r="B2106">
        <v>2015</v>
      </c>
      <c r="C2106" s="14">
        <v>3075.333333333333</v>
      </c>
      <c r="D2106" s="14">
        <v>48</v>
      </c>
      <c r="E2106" s="14">
        <v>3745.9999999999995</v>
      </c>
      <c r="F2106" s="14">
        <v>1072</v>
      </c>
      <c r="G2106" s="14">
        <v>438.66666666666663</v>
      </c>
      <c r="H2106" s="14">
        <v>133.33333333333331</v>
      </c>
      <c r="I2106" s="14">
        <v>99.999999999999986</v>
      </c>
      <c r="K2106" s="15"/>
    </row>
    <row r="2107" spans="1:11" ht="16.5" x14ac:dyDescent="0.2">
      <c r="A2107" s="4" t="s">
        <v>90</v>
      </c>
      <c r="B2107">
        <v>2016</v>
      </c>
      <c r="C2107" s="14">
        <v>3064</v>
      </c>
      <c r="D2107" s="14">
        <v>47.333333333333329</v>
      </c>
      <c r="E2107" s="14">
        <v>3740.6666666666665</v>
      </c>
      <c r="F2107" s="14">
        <v>1069.3333333333333</v>
      </c>
      <c r="G2107" s="14">
        <v>454.66666666666663</v>
      </c>
      <c r="H2107" s="14">
        <v>140</v>
      </c>
      <c r="I2107" s="14">
        <v>99.999999999999986</v>
      </c>
    </row>
    <row r="2108" spans="1:11" ht="16.5" x14ac:dyDescent="0.2">
      <c r="A2108" s="4" t="s">
        <v>89</v>
      </c>
      <c r="B2108">
        <v>2009</v>
      </c>
      <c r="C2108" s="14">
        <v>8473.3333333333321</v>
      </c>
      <c r="D2108" s="14">
        <v>278</v>
      </c>
      <c r="E2108" s="14">
        <v>16384.666666666664</v>
      </c>
      <c r="F2108" s="14">
        <v>1727.9999999999998</v>
      </c>
      <c r="G2108" s="14">
        <v>843.33333333333337</v>
      </c>
      <c r="H2108" s="14">
        <v>236.66666666666666</v>
      </c>
      <c r="I2108" s="14">
        <v>349.33333333333331</v>
      </c>
      <c r="K2108" s="15"/>
    </row>
    <row r="2109" spans="1:11" ht="16.5" x14ac:dyDescent="0.2">
      <c r="A2109" s="4" t="s">
        <v>89</v>
      </c>
      <c r="B2109">
        <v>2010</v>
      </c>
      <c r="C2109" s="14">
        <v>8473.9999999999982</v>
      </c>
      <c r="D2109" s="14">
        <v>276.66666666666663</v>
      </c>
      <c r="E2109" s="14">
        <v>16373.999999999998</v>
      </c>
      <c r="F2109" s="14">
        <v>1719.333333333333</v>
      </c>
      <c r="G2109" s="14">
        <v>853.33333333333326</v>
      </c>
      <c r="H2109" s="14">
        <v>245.99999999999997</v>
      </c>
      <c r="I2109" s="14">
        <v>350.66666666666663</v>
      </c>
    </row>
    <row r="2110" spans="1:11" ht="16.5" x14ac:dyDescent="0.2">
      <c r="A2110" s="4" t="s">
        <v>89</v>
      </c>
      <c r="B2110">
        <v>2011</v>
      </c>
      <c r="C2110" s="14">
        <v>8462.6666666666661</v>
      </c>
      <c r="D2110" s="14">
        <v>275.33333333333331</v>
      </c>
      <c r="E2110" s="14">
        <v>16356</v>
      </c>
      <c r="F2110" s="14">
        <v>1706.6666666666665</v>
      </c>
      <c r="G2110" s="14">
        <v>879.99999999999989</v>
      </c>
      <c r="H2110" s="14">
        <v>265.33333333333331</v>
      </c>
      <c r="I2110" s="14">
        <v>350.66666666666663</v>
      </c>
    </row>
    <row r="2111" spans="1:11" ht="16.5" x14ac:dyDescent="0.2">
      <c r="A2111" s="4" t="s">
        <v>89</v>
      </c>
      <c r="B2111">
        <v>2012</v>
      </c>
      <c r="C2111" s="14">
        <v>8460</v>
      </c>
      <c r="D2111" s="14">
        <v>271.33333333333331</v>
      </c>
      <c r="E2111" s="14">
        <v>16343.999999999998</v>
      </c>
      <c r="F2111" s="14">
        <v>1689.3333333333333</v>
      </c>
      <c r="G2111" s="14">
        <v>909.99999999999989</v>
      </c>
      <c r="H2111" s="14">
        <v>272.66666666666663</v>
      </c>
      <c r="I2111" s="14">
        <v>350.66666666666663</v>
      </c>
      <c r="K2111" s="15"/>
    </row>
    <row r="2112" spans="1:11" ht="16.5" x14ac:dyDescent="0.2">
      <c r="A2112" s="4" t="s">
        <v>89</v>
      </c>
      <c r="B2112">
        <v>2013</v>
      </c>
      <c r="C2112" s="14">
        <v>8456.6666666666661</v>
      </c>
      <c r="D2112" s="14">
        <v>270</v>
      </c>
      <c r="E2112" s="14">
        <v>16336</v>
      </c>
      <c r="F2112" s="14">
        <v>1675.3333333333333</v>
      </c>
      <c r="G2112" s="14">
        <v>929.33333333333326</v>
      </c>
      <c r="H2112" s="14">
        <v>280.66666666666663</v>
      </c>
      <c r="I2112" s="14">
        <v>350.66666666666663</v>
      </c>
    </row>
    <row r="2113" spans="1:11" ht="16.5" x14ac:dyDescent="0.2">
      <c r="A2113" s="4" t="s">
        <v>89</v>
      </c>
      <c r="B2113">
        <v>2014</v>
      </c>
      <c r="C2113" s="14">
        <v>8433.3333333333321</v>
      </c>
      <c r="D2113" s="14">
        <v>268</v>
      </c>
      <c r="E2113" s="14">
        <v>16322</v>
      </c>
      <c r="F2113" s="14">
        <v>1667.3333333333333</v>
      </c>
      <c r="G2113" s="14">
        <v>963.33333333333326</v>
      </c>
      <c r="H2113" s="14">
        <v>299.33333333333331</v>
      </c>
      <c r="I2113" s="14">
        <v>349.99999999999994</v>
      </c>
      <c r="K2113" s="15"/>
    </row>
    <row r="2114" spans="1:11" ht="16.5" x14ac:dyDescent="0.2">
      <c r="A2114" s="4" t="s">
        <v>89</v>
      </c>
      <c r="B2114">
        <v>2015</v>
      </c>
      <c r="C2114" s="14">
        <v>8427.3333333333321</v>
      </c>
      <c r="D2114" s="14">
        <v>266.66666666666663</v>
      </c>
      <c r="E2114" s="14">
        <v>16314.666666666664</v>
      </c>
      <c r="F2114" s="14">
        <v>1654.6666666666665</v>
      </c>
      <c r="G2114" s="14">
        <v>987.99999999999989</v>
      </c>
      <c r="H2114" s="14">
        <v>304</v>
      </c>
      <c r="I2114" s="14">
        <v>349.33333333333331</v>
      </c>
    </row>
    <row r="2115" spans="1:11" ht="16.5" x14ac:dyDescent="0.2">
      <c r="A2115" s="4" t="s">
        <v>89</v>
      </c>
      <c r="B2115">
        <v>2016</v>
      </c>
      <c r="C2115" s="14">
        <v>8406</v>
      </c>
      <c r="D2115" s="14">
        <v>264.66666666666669</v>
      </c>
      <c r="E2115" s="14">
        <v>16303.999999999998</v>
      </c>
      <c r="F2115" s="14">
        <v>1649.9999999999998</v>
      </c>
      <c r="G2115" s="14">
        <v>1017.3333333333333</v>
      </c>
      <c r="H2115" s="14">
        <v>317.33333333333331</v>
      </c>
      <c r="I2115" s="14">
        <v>350.66666666666663</v>
      </c>
    </row>
    <row r="2116" spans="1:11" ht="16.5" x14ac:dyDescent="0.2">
      <c r="A2116" s="4" t="s">
        <v>88</v>
      </c>
      <c r="B2116">
        <v>2009</v>
      </c>
      <c r="C2116" s="14">
        <v>2954</v>
      </c>
      <c r="D2116" s="14">
        <v>72.666666666666657</v>
      </c>
      <c r="E2116" s="14">
        <v>3177.9999999999995</v>
      </c>
      <c r="F2116" s="14">
        <v>1054.6666666666665</v>
      </c>
      <c r="G2116" s="14">
        <v>234</v>
      </c>
      <c r="H2116" s="14">
        <v>80</v>
      </c>
      <c r="I2116" s="14">
        <v>137.99999999999997</v>
      </c>
      <c r="K2116" s="15"/>
    </row>
    <row r="2117" spans="1:11" ht="16.5" x14ac:dyDescent="0.2">
      <c r="A2117" s="4" t="s">
        <v>88</v>
      </c>
      <c r="B2117">
        <v>2010</v>
      </c>
      <c r="C2117" s="14">
        <v>2956.6666666666665</v>
      </c>
      <c r="D2117" s="14">
        <v>72.666666666666657</v>
      </c>
      <c r="E2117" s="14">
        <v>3176.6666666666665</v>
      </c>
      <c r="F2117" s="14">
        <v>1045.3333333333333</v>
      </c>
      <c r="G2117" s="14">
        <v>236.66666666666666</v>
      </c>
      <c r="H2117" s="14">
        <v>83.999999999999986</v>
      </c>
      <c r="I2117" s="14">
        <v>137.99999999999997</v>
      </c>
    </row>
    <row r="2118" spans="1:11" ht="16.5" x14ac:dyDescent="0.2">
      <c r="A2118" s="4" t="s">
        <v>88</v>
      </c>
      <c r="B2118">
        <v>2011</v>
      </c>
      <c r="C2118" s="14">
        <v>2964</v>
      </c>
      <c r="D2118" s="14">
        <v>72.666666666666657</v>
      </c>
      <c r="E2118" s="14">
        <v>3152.6666666666661</v>
      </c>
      <c r="F2118" s="14">
        <v>1052.6666666666665</v>
      </c>
      <c r="G2118" s="14">
        <v>241.99999999999997</v>
      </c>
      <c r="H2118" s="14">
        <v>87.999999999999986</v>
      </c>
      <c r="I2118" s="14">
        <v>136.66666666666666</v>
      </c>
      <c r="K2118" s="15"/>
    </row>
    <row r="2119" spans="1:11" ht="16.5" x14ac:dyDescent="0.2">
      <c r="A2119" s="4" t="s">
        <v>88</v>
      </c>
      <c r="B2119">
        <v>2012</v>
      </c>
      <c r="C2119" s="14">
        <v>2959.9999999999995</v>
      </c>
      <c r="D2119" s="14">
        <v>71.333333333333329</v>
      </c>
      <c r="E2119" s="14">
        <v>3142</v>
      </c>
      <c r="F2119" s="14">
        <v>1046.6666666666665</v>
      </c>
      <c r="G2119" s="14">
        <v>257.99999999999994</v>
      </c>
      <c r="H2119" s="14">
        <v>93.999999999999986</v>
      </c>
      <c r="I2119" s="14">
        <v>136.66666666666666</v>
      </c>
    </row>
    <row r="2120" spans="1:11" ht="16.5" x14ac:dyDescent="0.2">
      <c r="A2120" s="4" t="s">
        <v>88</v>
      </c>
      <c r="B2120">
        <v>2013</v>
      </c>
      <c r="C2120" s="14">
        <v>2967.333333333333</v>
      </c>
      <c r="D2120" s="14">
        <v>71.333333333333329</v>
      </c>
      <c r="E2120" s="14">
        <v>3137.333333333333</v>
      </c>
      <c r="F2120" s="14">
        <v>1035.3333333333333</v>
      </c>
      <c r="G2120" s="14">
        <v>269.33333333333331</v>
      </c>
      <c r="H2120" s="14">
        <v>96.666666666666657</v>
      </c>
      <c r="I2120" s="14">
        <v>136.66666666666666</v>
      </c>
    </row>
    <row r="2121" spans="1:11" ht="16.5" x14ac:dyDescent="0.2">
      <c r="A2121" s="4" t="s">
        <v>88</v>
      </c>
      <c r="B2121">
        <v>2014</v>
      </c>
      <c r="C2121" s="14">
        <v>2957.333333333333</v>
      </c>
      <c r="D2121" s="14">
        <v>70</v>
      </c>
      <c r="E2121" s="14">
        <v>3134.6666666666665</v>
      </c>
      <c r="F2121" s="14">
        <v>1022.6666666666666</v>
      </c>
      <c r="G2121" s="14">
        <v>288</v>
      </c>
      <c r="H2121" s="14">
        <v>105.33333333333333</v>
      </c>
      <c r="I2121" s="14">
        <v>137.33333333333334</v>
      </c>
      <c r="K2121" s="15"/>
    </row>
    <row r="2122" spans="1:11" ht="16.5" x14ac:dyDescent="0.2">
      <c r="A2122" s="4" t="s">
        <v>88</v>
      </c>
      <c r="B2122">
        <v>2015</v>
      </c>
      <c r="C2122" s="14">
        <v>2946.6666666666665</v>
      </c>
      <c r="D2122" s="14">
        <v>70</v>
      </c>
      <c r="E2122" s="14">
        <v>3133.333333333333</v>
      </c>
      <c r="F2122" s="14">
        <v>1018.6666666666666</v>
      </c>
      <c r="G2122" s="14">
        <v>304</v>
      </c>
      <c r="H2122" s="14">
        <v>108.66666666666666</v>
      </c>
      <c r="I2122" s="14">
        <v>137.33333333333334</v>
      </c>
    </row>
    <row r="2123" spans="1:11" ht="16.5" x14ac:dyDescent="0.2">
      <c r="A2123" s="4" t="s">
        <v>88</v>
      </c>
      <c r="B2123">
        <v>2016</v>
      </c>
      <c r="C2123" s="14">
        <v>2938.6666666666665</v>
      </c>
      <c r="D2123" s="14">
        <v>69.333333333333329</v>
      </c>
      <c r="E2123" s="14">
        <v>3131.333333333333</v>
      </c>
      <c r="F2123" s="14">
        <v>1013.9999999999999</v>
      </c>
      <c r="G2123" s="14">
        <v>316.66666666666663</v>
      </c>
      <c r="H2123" s="14">
        <v>112.66666666666664</v>
      </c>
      <c r="I2123" s="14">
        <v>136.66666666666666</v>
      </c>
      <c r="K2123" s="15"/>
    </row>
    <row r="2124" spans="1:11" ht="16.5" x14ac:dyDescent="0.2">
      <c r="A2124" s="4" t="s">
        <v>87</v>
      </c>
      <c r="B2124">
        <v>2011</v>
      </c>
      <c r="C2124" s="14">
        <v>4805.9999999999991</v>
      </c>
      <c r="D2124" s="14">
        <v>130.66666666666666</v>
      </c>
      <c r="E2124" s="14">
        <v>9181.3333333333321</v>
      </c>
      <c r="F2124" s="14">
        <v>1881.333333333333</v>
      </c>
      <c r="G2124" s="14">
        <v>493.33333333333331</v>
      </c>
      <c r="H2124" s="14">
        <v>161.33333333333331</v>
      </c>
      <c r="I2124" s="14">
        <v>238.66666666666663</v>
      </c>
    </row>
    <row r="2125" spans="1:11" ht="16.5" x14ac:dyDescent="0.2">
      <c r="A2125" s="4" t="s">
        <v>87</v>
      </c>
      <c r="B2125">
        <v>2012</v>
      </c>
      <c r="C2125" s="14">
        <v>4861.9999999999991</v>
      </c>
      <c r="D2125" s="14">
        <v>129.33333333333331</v>
      </c>
      <c r="E2125" s="14">
        <v>9142.6666666666661</v>
      </c>
      <c r="F2125" s="14">
        <v>1836.6666666666665</v>
      </c>
      <c r="G2125" s="14">
        <v>513.99999999999989</v>
      </c>
      <c r="H2125" s="14">
        <v>162.66666666666663</v>
      </c>
      <c r="I2125" s="14">
        <v>238.66666666666663</v>
      </c>
    </row>
    <row r="2126" spans="1:11" ht="16.5" x14ac:dyDescent="0.2">
      <c r="A2126" s="4" t="s">
        <v>87</v>
      </c>
      <c r="B2126">
        <v>2013</v>
      </c>
      <c r="C2126" s="14">
        <v>4861.9999999999991</v>
      </c>
      <c r="D2126" s="14">
        <v>128.66666666666666</v>
      </c>
      <c r="E2126" s="14">
        <v>9133.9999999999982</v>
      </c>
      <c r="F2126" s="14">
        <v>1826.6666666666665</v>
      </c>
      <c r="G2126" s="14">
        <v>528</v>
      </c>
      <c r="H2126" s="14">
        <v>166.66666666666666</v>
      </c>
      <c r="I2126" s="14">
        <v>238</v>
      </c>
      <c r="K2126" s="15"/>
    </row>
    <row r="2127" spans="1:11" ht="16.5" x14ac:dyDescent="0.2">
      <c r="A2127" s="4" t="s">
        <v>87</v>
      </c>
      <c r="B2127">
        <v>2014</v>
      </c>
      <c r="C2127" s="14">
        <v>4855.9999999999991</v>
      </c>
      <c r="D2127" s="14">
        <v>127.33333333333333</v>
      </c>
      <c r="E2127" s="14">
        <v>9120.6666666666661</v>
      </c>
      <c r="F2127" s="14">
        <v>1814.6666666666665</v>
      </c>
      <c r="G2127" s="14">
        <v>548.66666666666674</v>
      </c>
      <c r="H2127" s="14">
        <v>179.99999999999997</v>
      </c>
      <c r="I2127" s="14">
        <v>238</v>
      </c>
    </row>
    <row r="2128" spans="1:11" ht="16.5" x14ac:dyDescent="0.2">
      <c r="A2128" s="4" t="s">
        <v>87</v>
      </c>
      <c r="B2128">
        <v>2015</v>
      </c>
      <c r="C2128" s="14">
        <v>4850</v>
      </c>
      <c r="D2128" s="14">
        <v>126.66666666666666</v>
      </c>
      <c r="E2128" s="14">
        <v>9115.3333333333321</v>
      </c>
      <c r="F2128" s="14">
        <v>1805.3333333333333</v>
      </c>
      <c r="G2128" s="14">
        <v>568</v>
      </c>
      <c r="H2128" s="14">
        <v>182.66666666666663</v>
      </c>
      <c r="I2128" s="14">
        <v>237.33333333333331</v>
      </c>
      <c r="K2128" s="15"/>
    </row>
    <row r="2129" spans="1:11" ht="16.5" x14ac:dyDescent="0.2">
      <c r="A2129" s="4" t="s">
        <v>87</v>
      </c>
      <c r="B2129">
        <v>2016</v>
      </c>
      <c r="C2129" s="14">
        <v>4835.333333333333</v>
      </c>
      <c r="D2129" s="14">
        <v>125.33333333333333</v>
      </c>
      <c r="E2129" s="14">
        <v>9108</v>
      </c>
      <c r="F2129" s="14">
        <v>1799.333333333333</v>
      </c>
      <c r="G2129" s="14">
        <v>591.33333333333337</v>
      </c>
      <c r="H2129" s="14">
        <v>185.99999999999997</v>
      </c>
      <c r="I2129" s="14">
        <v>236.66666666666666</v>
      </c>
    </row>
    <row r="2130" spans="1:11" ht="16.5" x14ac:dyDescent="0.2">
      <c r="A2130" s="4" t="s">
        <v>86</v>
      </c>
      <c r="B2130">
        <v>2009</v>
      </c>
      <c r="C2130" s="14">
        <v>4761.9999999999991</v>
      </c>
      <c r="D2130" s="14">
        <v>132.66666666666666</v>
      </c>
      <c r="E2130" s="14">
        <v>9266</v>
      </c>
      <c r="F2130" s="14">
        <v>1891.333333333333</v>
      </c>
      <c r="G2130" s="14">
        <v>469.99999999999994</v>
      </c>
      <c r="H2130" s="14">
        <v>138.66666666666666</v>
      </c>
      <c r="I2130" s="14">
        <v>237.33333333333331</v>
      </c>
    </row>
    <row r="2131" spans="1:11" ht="16.5" x14ac:dyDescent="0.2">
      <c r="A2131" s="4" t="s">
        <v>86</v>
      </c>
      <c r="B2131">
        <v>2010</v>
      </c>
      <c r="C2131" s="14">
        <v>4790.6666666666661</v>
      </c>
      <c r="D2131" s="14">
        <v>131.33333333333331</v>
      </c>
      <c r="E2131" s="14">
        <v>9219.3333333333339</v>
      </c>
      <c r="F2131" s="14">
        <v>1895.3333333333333</v>
      </c>
      <c r="G2131" s="14">
        <v>476</v>
      </c>
      <c r="H2131" s="14">
        <v>145.33333333333331</v>
      </c>
      <c r="I2131" s="14">
        <v>238</v>
      </c>
      <c r="K2131" s="15"/>
    </row>
    <row r="2132" spans="1:11" ht="16.5" x14ac:dyDescent="0.2">
      <c r="A2132" s="4" t="s">
        <v>85</v>
      </c>
      <c r="B2132">
        <v>2009</v>
      </c>
      <c r="C2132" s="14">
        <v>4538.6666666666661</v>
      </c>
      <c r="D2132" s="14">
        <v>312.66666666666663</v>
      </c>
      <c r="E2132" s="14">
        <v>6983.333333333333</v>
      </c>
      <c r="F2132" s="14">
        <v>2655.333333333333</v>
      </c>
      <c r="G2132" s="14">
        <v>417.33333333333326</v>
      </c>
      <c r="H2132" s="14">
        <v>143.33333333333331</v>
      </c>
      <c r="I2132" s="14">
        <v>331.33333333333331</v>
      </c>
    </row>
    <row r="2133" spans="1:11" ht="16.5" x14ac:dyDescent="0.2">
      <c r="A2133" s="4" t="s">
        <v>85</v>
      </c>
      <c r="B2133">
        <v>2010</v>
      </c>
      <c r="C2133" s="14">
        <v>4543.333333333333</v>
      </c>
      <c r="D2133" s="14">
        <v>311.33333333333331</v>
      </c>
      <c r="E2133" s="14">
        <v>6979.9999999999991</v>
      </c>
      <c r="F2133" s="14">
        <v>2642.6666666666661</v>
      </c>
      <c r="G2133" s="14">
        <v>422.66666666666663</v>
      </c>
      <c r="H2133" s="14">
        <v>151.33333333333331</v>
      </c>
      <c r="I2133" s="14">
        <v>331.99999999999994</v>
      </c>
      <c r="K2133" s="15"/>
    </row>
    <row r="2134" spans="1:11" ht="16.5" x14ac:dyDescent="0.2">
      <c r="A2134" s="4" t="s">
        <v>85</v>
      </c>
      <c r="B2134">
        <v>2011</v>
      </c>
      <c r="C2134" s="14">
        <v>4525.9999999999991</v>
      </c>
      <c r="D2134" s="14">
        <v>309.33333333333331</v>
      </c>
      <c r="E2134" s="14">
        <v>6973.333333333333</v>
      </c>
      <c r="F2134" s="14">
        <v>2623.333333333333</v>
      </c>
      <c r="G2134" s="14">
        <v>440.66666666666669</v>
      </c>
      <c r="H2134" s="14">
        <v>154.66666666666666</v>
      </c>
      <c r="I2134" s="14">
        <v>349.33333333333331</v>
      </c>
    </row>
    <row r="2135" spans="1:11" ht="16.5" x14ac:dyDescent="0.2">
      <c r="A2135" s="4" t="s">
        <v>85</v>
      </c>
      <c r="B2135">
        <v>2012</v>
      </c>
      <c r="C2135" s="14">
        <v>4448</v>
      </c>
      <c r="D2135" s="14">
        <v>394</v>
      </c>
      <c r="E2135" s="14">
        <v>6970.6666666666652</v>
      </c>
      <c r="F2135" s="14">
        <v>2610.6666666666665</v>
      </c>
      <c r="G2135" s="14">
        <v>454</v>
      </c>
      <c r="H2135" s="14">
        <v>160</v>
      </c>
      <c r="I2135" s="14">
        <v>348.66666666666663</v>
      </c>
    </row>
    <row r="2136" spans="1:11" ht="16.5" x14ac:dyDescent="0.2">
      <c r="A2136" s="4" t="s">
        <v>85</v>
      </c>
      <c r="B2136">
        <v>2013</v>
      </c>
      <c r="C2136" s="14">
        <v>4439.333333333333</v>
      </c>
      <c r="D2136" s="14">
        <v>418.66666666666663</v>
      </c>
      <c r="E2136" s="14">
        <v>6969.333333333333</v>
      </c>
      <c r="F2136" s="14">
        <v>2586.6666666666665</v>
      </c>
      <c r="G2136" s="14">
        <v>460.66666666666669</v>
      </c>
      <c r="H2136" s="14">
        <v>164.66666666666666</v>
      </c>
      <c r="I2136" s="14">
        <v>348.66666666666663</v>
      </c>
      <c r="K2136" s="15"/>
    </row>
    <row r="2137" spans="1:11" ht="16.5" x14ac:dyDescent="0.2">
      <c r="A2137" s="4" t="s">
        <v>85</v>
      </c>
      <c r="B2137">
        <v>2014</v>
      </c>
      <c r="C2137" s="14">
        <v>4451.9999999999991</v>
      </c>
      <c r="D2137" s="14">
        <v>411.99999999999994</v>
      </c>
      <c r="E2137" s="14">
        <v>6961.9999999999991</v>
      </c>
      <c r="F2137" s="14">
        <v>2567.333333333333</v>
      </c>
      <c r="G2137" s="14">
        <v>475.33333333333326</v>
      </c>
      <c r="H2137" s="14">
        <v>175.33333333333331</v>
      </c>
      <c r="I2137" s="14">
        <v>348</v>
      </c>
    </row>
    <row r="2138" spans="1:11" ht="16.5" x14ac:dyDescent="0.2">
      <c r="A2138" s="4" t="s">
        <v>85</v>
      </c>
      <c r="B2138">
        <v>2015</v>
      </c>
      <c r="C2138" s="14">
        <v>4463.333333333333</v>
      </c>
      <c r="D2138" s="14">
        <v>408.66666666666663</v>
      </c>
      <c r="E2138" s="14">
        <v>6960.6666666666652</v>
      </c>
      <c r="F2138" s="14">
        <v>2553.333333333333</v>
      </c>
      <c r="G2138" s="14">
        <v>486.66666666666663</v>
      </c>
      <c r="H2138" s="14">
        <v>176.66666666666666</v>
      </c>
      <c r="I2138" s="14">
        <v>346.66666666666663</v>
      </c>
      <c r="K2138" s="15"/>
    </row>
    <row r="2139" spans="1:11" ht="16.5" x14ac:dyDescent="0.2">
      <c r="A2139" s="4" t="s">
        <v>85</v>
      </c>
      <c r="B2139">
        <v>2016</v>
      </c>
      <c r="C2139" s="14">
        <v>4473.333333333333</v>
      </c>
      <c r="D2139" s="14">
        <v>404.66666666666663</v>
      </c>
      <c r="E2139" s="14">
        <v>6957.3333333333321</v>
      </c>
      <c r="F2139" s="14">
        <v>2537.9999999999995</v>
      </c>
      <c r="G2139" s="14">
        <v>499.33333333333331</v>
      </c>
      <c r="H2139" s="14">
        <v>179.99999999999997</v>
      </c>
      <c r="I2139" s="14">
        <v>346.66666666666663</v>
      </c>
    </row>
    <row r="2140" spans="1:11" ht="16.5" x14ac:dyDescent="0.2">
      <c r="A2140" s="4" t="s">
        <v>84</v>
      </c>
      <c r="B2140">
        <v>2009</v>
      </c>
      <c r="C2140" s="14">
        <v>10000.666666666666</v>
      </c>
      <c r="D2140" s="14">
        <v>66.666666666666657</v>
      </c>
      <c r="E2140" s="14">
        <v>11683.999999999998</v>
      </c>
      <c r="F2140" s="14">
        <v>1636.6666666666665</v>
      </c>
      <c r="G2140" s="14">
        <v>654.66666666666663</v>
      </c>
      <c r="H2140" s="14">
        <v>245.33333333333329</v>
      </c>
      <c r="I2140" s="14">
        <v>325.99999999999994</v>
      </c>
    </row>
    <row r="2141" spans="1:11" ht="16.5" x14ac:dyDescent="0.2">
      <c r="A2141" s="4" t="s">
        <v>84</v>
      </c>
      <c r="B2141">
        <v>2010</v>
      </c>
      <c r="C2141" s="14">
        <v>10008</v>
      </c>
      <c r="D2141" s="14">
        <v>66.666666666666657</v>
      </c>
      <c r="E2141" s="14">
        <v>11670.666666666664</v>
      </c>
      <c r="F2141" s="14">
        <v>1617.9999999999998</v>
      </c>
      <c r="G2141" s="14">
        <v>662.66666666666652</v>
      </c>
      <c r="H2141" s="14">
        <v>260</v>
      </c>
      <c r="I2141" s="14">
        <v>325.99999999999994</v>
      </c>
      <c r="K2141" s="15"/>
    </row>
    <row r="2142" spans="1:11" ht="16.5" x14ac:dyDescent="0.2">
      <c r="A2142" s="4" t="s">
        <v>83</v>
      </c>
      <c r="B2142">
        <v>2011</v>
      </c>
      <c r="C2142" s="14">
        <v>9991.9999999999982</v>
      </c>
      <c r="D2142" s="14">
        <v>66</v>
      </c>
      <c r="E2142" s="14">
        <v>11647.333333333332</v>
      </c>
      <c r="F2142" s="14">
        <v>1620.6666666666665</v>
      </c>
      <c r="G2142" s="14">
        <v>692.66666666666663</v>
      </c>
      <c r="H2142" s="14">
        <v>271.33333333333331</v>
      </c>
      <c r="I2142" s="14">
        <v>325.33333333333326</v>
      </c>
    </row>
    <row r="2143" spans="1:11" ht="16.5" x14ac:dyDescent="0.2">
      <c r="A2143" s="4" t="s">
        <v>83</v>
      </c>
      <c r="B2143">
        <v>2012</v>
      </c>
      <c r="C2143" s="14">
        <v>9964.6666666666661</v>
      </c>
      <c r="D2143" s="14">
        <v>68.666666666666671</v>
      </c>
      <c r="E2143" s="14">
        <v>11638</v>
      </c>
      <c r="F2143" s="14">
        <v>1617.3333333333333</v>
      </c>
      <c r="G2143" s="14">
        <v>719.99999999999989</v>
      </c>
      <c r="H2143" s="14">
        <v>281.33333333333331</v>
      </c>
      <c r="I2143" s="14">
        <v>325.33333333333326</v>
      </c>
      <c r="K2143" s="15"/>
    </row>
    <row r="2144" spans="1:11" ht="16.5" x14ac:dyDescent="0.2">
      <c r="A2144" s="4" t="s">
        <v>83</v>
      </c>
      <c r="B2144">
        <v>2013</v>
      </c>
      <c r="C2144" s="14">
        <v>9948.6666666666661</v>
      </c>
      <c r="D2144" s="14">
        <v>70</v>
      </c>
      <c r="E2144" s="14">
        <v>11631.333333333332</v>
      </c>
      <c r="F2144" s="14">
        <v>1614.6666666666665</v>
      </c>
      <c r="G2144" s="14">
        <v>737.33333333333337</v>
      </c>
      <c r="H2144" s="14">
        <v>291.33333333333331</v>
      </c>
      <c r="I2144" s="14">
        <v>325.33333333333326</v>
      </c>
    </row>
    <row r="2145" spans="1:11" ht="16.5" x14ac:dyDescent="0.2">
      <c r="A2145" s="4" t="s">
        <v>83</v>
      </c>
      <c r="B2145">
        <v>2014</v>
      </c>
      <c r="C2145" s="14">
        <v>9926.6666666666661</v>
      </c>
      <c r="D2145" s="14">
        <v>68.666666666666671</v>
      </c>
      <c r="E2145" s="14">
        <v>11619.333333333332</v>
      </c>
      <c r="F2145" s="14">
        <v>1606</v>
      </c>
      <c r="G2145" s="14">
        <v>761.99999999999989</v>
      </c>
      <c r="H2145" s="14">
        <v>304</v>
      </c>
      <c r="I2145" s="14">
        <v>334.66666666666663</v>
      </c>
    </row>
    <row r="2146" spans="1:11" ht="16.5" x14ac:dyDescent="0.2">
      <c r="A2146" s="4" t="s">
        <v>83</v>
      </c>
      <c r="B2146">
        <v>2015</v>
      </c>
      <c r="C2146" s="14">
        <v>9912.6666666666661</v>
      </c>
      <c r="D2146" s="14">
        <v>67.333333333333329</v>
      </c>
      <c r="E2146" s="14">
        <v>11615.333333333332</v>
      </c>
      <c r="F2146" s="14">
        <v>1602.6666666666665</v>
      </c>
      <c r="G2146" s="14">
        <v>781.99999999999989</v>
      </c>
      <c r="H2146" s="14">
        <v>308</v>
      </c>
      <c r="I2146" s="14">
        <v>334.66666666666663</v>
      </c>
      <c r="K2146" s="15"/>
    </row>
    <row r="2147" spans="1:11" ht="16.5" x14ac:dyDescent="0.2">
      <c r="A2147" s="4" t="s">
        <v>83</v>
      </c>
      <c r="B2147">
        <v>2016</v>
      </c>
      <c r="C2147" s="14">
        <v>9909.3333333333339</v>
      </c>
      <c r="D2147" s="14">
        <v>66.666666666666657</v>
      </c>
      <c r="E2147" s="14">
        <v>11598</v>
      </c>
      <c r="F2147" s="14">
        <v>1597.9999999999998</v>
      </c>
      <c r="G2147" s="14">
        <v>797.99999999999989</v>
      </c>
      <c r="H2147" s="14">
        <v>318.66666666666663</v>
      </c>
      <c r="I2147" s="14">
        <v>334.66666666666663</v>
      </c>
    </row>
    <row r="2148" spans="1:11" ht="16.5" x14ac:dyDescent="0.2">
      <c r="A2148" s="4" t="s">
        <v>82</v>
      </c>
      <c r="B2148">
        <v>2009</v>
      </c>
      <c r="C2148" s="14">
        <v>4240.6666666666661</v>
      </c>
      <c r="D2148" s="14">
        <v>278.66666666666663</v>
      </c>
      <c r="E2148" s="14">
        <v>20579.999999999996</v>
      </c>
      <c r="F2148" s="14">
        <v>2227.9999999999995</v>
      </c>
      <c r="G2148" s="14">
        <v>476</v>
      </c>
      <c r="H2148" s="14">
        <v>219.33333333333331</v>
      </c>
      <c r="I2148" s="14">
        <v>457.33333333333326</v>
      </c>
      <c r="K2148" s="15"/>
    </row>
    <row r="2149" spans="1:11" ht="16.5" x14ac:dyDescent="0.2">
      <c r="A2149" s="4" t="s">
        <v>82</v>
      </c>
      <c r="B2149">
        <v>2010</v>
      </c>
      <c r="C2149" s="14">
        <v>4260.6666666666661</v>
      </c>
      <c r="D2149" s="14">
        <v>280.66666666666663</v>
      </c>
      <c r="E2149" s="14">
        <v>20549.999999999996</v>
      </c>
      <c r="F2149" s="14">
        <v>2214.6666666666665</v>
      </c>
      <c r="G2149" s="14">
        <v>483.33333333333331</v>
      </c>
      <c r="H2149" s="14">
        <v>228</v>
      </c>
      <c r="I2149" s="14">
        <v>458</v>
      </c>
    </row>
    <row r="2150" spans="1:11" ht="16.5" x14ac:dyDescent="0.2">
      <c r="A2150" s="4" t="s">
        <v>82</v>
      </c>
      <c r="B2150">
        <v>2011</v>
      </c>
      <c r="C2150" s="14">
        <v>4252.6666666666661</v>
      </c>
      <c r="D2150" s="14">
        <v>284</v>
      </c>
      <c r="E2150" s="14">
        <v>20516.666666666664</v>
      </c>
      <c r="F2150" s="14">
        <v>2220.6666666666665</v>
      </c>
      <c r="G2150" s="14">
        <v>508.66666666666663</v>
      </c>
      <c r="H2150" s="14">
        <v>233.33333333333331</v>
      </c>
      <c r="I2150" s="14">
        <v>461.33333333333331</v>
      </c>
    </row>
    <row r="2151" spans="1:11" ht="16.5" x14ac:dyDescent="0.2">
      <c r="A2151" s="4" t="s">
        <v>82</v>
      </c>
      <c r="B2151">
        <v>2012</v>
      </c>
      <c r="C2151" s="14">
        <v>4250.6666666666661</v>
      </c>
      <c r="D2151" s="14">
        <v>284.66666666666669</v>
      </c>
      <c r="E2151" s="14">
        <v>20496</v>
      </c>
      <c r="F2151" s="14">
        <v>2210.6666666666665</v>
      </c>
      <c r="G2151" s="14">
        <v>528.66666666666663</v>
      </c>
      <c r="H2151" s="14">
        <v>244</v>
      </c>
      <c r="I2151" s="14">
        <v>461.99999999999994</v>
      </c>
      <c r="K2151" s="15"/>
    </row>
    <row r="2152" spans="1:11" ht="16.5" x14ac:dyDescent="0.2">
      <c r="A2152" s="4" t="s">
        <v>82</v>
      </c>
      <c r="B2152">
        <v>2013</v>
      </c>
      <c r="C2152" s="14">
        <v>4258.6666666666661</v>
      </c>
      <c r="D2152" s="14">
        <v>281.99999999999994</v>
      </c>
      <c r="E2152" s="14">
        <v>20471.333333333328</v>
      </c>
      <c r="F2152" s="14">
        <v>2204</v>
      </c>
      <c r="G2152" s="14">
        <v>540.66666666666663</v>
      </c>
      <c r="H2152" s="14">
        <v>256.66666666666663</v>
      </c>
      <c r="I2152" s="14">
        <v>461.33333333333331</v>
      </c>
    </row>
    <row r="2153" spans="1:11" ht="16.5" x14ac:dyDescent="0.2">
      <c r="A2153" s="4" t="s">
        <v>82</v>
      </c>
      <c r="B2153">
        <v>2014</v>
      </c>
      <c r="C2153" s="14">
        <v>4268.6666666666661</v>
      </c>
      <c r="D2153" s="14">
        <v>277.33333333333331</v>
      </c>
      <c r="E2153" s="14">
        <v>20450.666666666664</v>
      </c>
      <c r="F2153" s="14">
        <v>2195.9999999999995</v>
      </c>
      <c r="G2153" s="14">
        <v>556.66666666666663</v>
      </c>
      <c r="H2153" s="14">
        <v>262.66666666666663</v>
      </c>
      <c r="I2153" s="14">
        <v>460.66666666666657</v>
      </c>
      <c r="K2153" s="15"/>
    </row>
    <row r="2154" spans="1:11" ht="16.5" x14ac:dyDescent="0.2">
      <c r="A2154" s="4" t="s">
        <v>82</v>
      </c>
      <c r="B2154">
        <v>2015</v>
      </c>
      <c r="C2154" s="14">
        <v>4278</v>
      </c>
      <c r="D2154" s="14">
        <v>274.66666666666669</v>
      </c>
      <c r="E2154" s="14">
        <v>20431.333333333332</v>
      </c>
      <c r="F2154" s="14">
        <v>2189.333333333333</v>
      </c>
      <c r="G2154" s="14">
        <v>570</v>
      </c>
      <c r="H2154" s="14">
        <v>264</v>
      </c>
      <c r="I2154" s="14">
        <v>460.66666666666657</v>
      </c>
    </row>
    <row r="2155" spans="1:11" ht="16.5" x14ac:dyDescent="0.2">
      <c r="A2155" s="4" t="s">
        <v>82</v>
      </c>
      <c r="B2155">
        <v>2016</v>
      </c>
      <c r="C2155" s="14">
        <v>4274</v>
      </c>
      <c r="D2155" s="14">
        <v>273.33333333333331</v>
      </c>
      <c r="E2155" s="14">
        <v>20422.666666666664</v>
      </c>
      <c r="F2155" s="14">
        <v>2186.6666666666665</v>
      </c>
      <c r="G2155" s="14">
        <v>582.66666666666663</v>
      </c>
      <c r="H2155" s="14">
        <v>267.33333333333331</v>
      </c>
      <c r="I2155" s="14">
        <v>460.66666666666657</v>
      </c>
    </row>
    <row r="2156" spans="1:11" ht="16.5" x14ac:dyDescent="0.2">
      <c r="A2156" s="4" t="s">
        <v>81</v>
      </c>
      <c r="B2156">
        <v>2009</v>
      </c>
      <c r="C2156" s="14">
        <v>4804.666666666667</v>
      </c>
      <c r="D2156" s="14">
        <v>265.99999999999994</v>
      </c>
      <c r="E2156" s="14">
        <v>14827.333333333332</v>
      </c>
      <c r="F2156" s="14">
        <v>3454</v>
      </c>
      <c r="G2156" s="14">
        <v>491.99999999999994</v>
      </c>
      <c r="H2156" s="14">
        <v>203.33333333333331</v>
      </c>
      <c r="I2156" s="14">
        <v>324</v>
      </c>
      <c r="K2156" s="15"/>
    </row>
    <row r="2157" spans="1:11" ht="16.5" x14ac:dyDescent="0.2">
      <c r="A2157" s="4" t="s">
        <v>81</v>
      </c>
      <c r="B2157">
        <v>2010</v>
      </c>
      <c r="C2157" s="14">
        <v>4807.333333333333</v>
      </c>
      <c r="D2157" s="14">
        <v>267.33333333333331</v>
      </c>
      <c r="E2157" s="14">
        <v>14819.999999999998</v>
      </c>
      <c r="F2157" s="14">
        <v>3445.9999999999995</v>
      </c>
      <c r="G2157" s="14">
        <v>497.33333333333337</v>
      </c>
      <c r="H2157" s="14">
        <v>207.99999999999997</v>
      </c>
      <c r="I2157" s="14">
        <v>324</v>
      </c>
    </row>
    <row r="2158" spans="1:11" ht="16.5" x14ac:dyDescent="0.2">
      <c r="A2158" s="4" t="s">
        <v>81</v>
      </c>
      <c r="B2158">
        <v>2011</v>
      </c>
      <c r="C2158" s="14">
        <v>4803.333333333333</v>
      </c>
      <c r="D2158" s="14">
        <v>275.33333333333331</v>
      </c>
      <c r="E2158" s="14">
        <v>14756</v>
      </c>
      <c r="F2158" s="14">
        <v>3485.9999999999995</v>
      </c>
      <c r="G2158" s="14">
        <v>508</v>
      </c>
      <c r="H2158" s="14">
        <v>211.33333333333331</v>
      </c>
      <c r="I2158" s="14">
        <v>324.66666666666663</v>
      </c>
      <c r="K2158" s="15"/>
    </row>
    <row r="2159" spans="1:11" ht="16.5" x14ac:dyDescent="0.2">
      <c r="A2159" s="4" t="s">
        <v>81</v>
      </c>
      <c r="B2159">
        <v>2012</v>
      </c>
      <c r="C2159" s="14">
        <v>4808.6666666666661</v>
      </c>
      <c r="D2159" s="14">
        <v>274.66666666666669</v>
      </c>
      <c r="E2159" s="14">
        <v>14740.666666666664</v>
      </c>
      <c r="F2159" s="14">
        <v>3471.9999999999995</v>
      </c>
      <c r="G2159" s="14">
        <v>529.33333333333326</v>
      </c>
      <c r="H2159" s="14">
        <v>217.33333333333331</v>
      </c>
      <c r="I2159" s="14">
        <v>324</v>
      </c>
    </row>
    <row r="2160" spans="1:11" ht="16.5" x14ac:dyDescent="0.2">
      <c r="A2160" s="4" t="s">
        <v>81</v>
      </c>
      <c r="B2160">
        <v>2013</v>
      </c>
      <c r="C2160" s="14">
        <v>4808.6666666666661</v>
      </c>
      <c r="D2160" s="14">
        <v>277.33333333333331</v>
      </c>
      <c r="E2160" s="14">
        <v>14729.999999999998</v>
      </c>
      <c r="F2160" s="14">
        <v>3458</v>
      </c>
      <c r="G2160" s="14">
        <v>545.33333333333326</v>
      </c>
      <c r="H2160" s="14">
        <v>224</v>
      </c>
      <c r="I2160" s="14">
        <v>324</v>
      </c>
    </row>
    <row r="2161" spans="1:11" ht="16.5" x14ac:dyDescent="0.2">
      <c r="A2161" s="4" t="s">
        <v>81</v>
      </c>
      <c r="B2161">
        <v>2014</v>
      </c>
      <c r="C2161" s="14">
        <v>4805.333333333333</v>
      </c>
      <c r="D2161" s="14">
        <v>275.33333333333331</v>
      </c>
      <c r="E2161" s="14">
        <v>14719.333333333332</v>
      </c>
      <c r="F2161" s="14">
        <v>3445.9999999999995</v>
      </c>
      <c r="G2161" s="14">
        <v>561.99999999999989</v>
      </c>
      <c r="H2161" s="14">
        <v>235.33333333333329</v>
      </c>
      <c r="I2161" s="14">
        <v>324</v>
      </c>
      <c r="K2161" s="15"/>
    </row>
    <row r="2162" spans="1:11" ht="16.5" x14ac:dyDescent="0.2">
      <c r="A2162" s="4" t="s">
        <v>81</v>
      </c>
      <c r="B2162">
        <v>2015</v>
      </c>
      <c r="C2162" s="14">
        <v>4813.333333333333</v>
      </c>
      <c r="D2162" s="14">
        <v>274</v>
      </c>
      <c r="E2162" s="14">
        <v>14709.999999999998</v>
      </c>
      <c r="F2162" s="14">
        <v>3429.333333333333</v>
      </c>
      <c r="G2162" s="14">
        <v>578.66666666666663</v>
      </c>
      <c r="H2162" s="14">
        <v>238</v>
      </c>
      <c r="I2162" s="14">
        <v>323.33333333333331</v>
      </c>
    </row>
    <row r="2163" spans="1:11" ht="16.5" x14ac:dyDescent="0.2">
      <c r="A2163" s="4" t="s">
        <v>81</v>
      </c>
      <c r="B2163">
        <v>2016</v>
      </c>
      <c r="C2163" s="14">
        <v>4813.333333333333</v>
      </c>
      <c r="D2163" s="14">
        <v>271.33333333333331</v>
      </c>
      <c r="E2163" s="14">
        <v>14697.333333333332</v>
      </c>
      <c r="F2163" s="14">
        <v>3414.6666666666665</v>
      </c>
      <c r="G2163" s="14">
        <v>600</v>
      </c>
      <c r="H2163" s="14">
        <v>246.66666666666666</v>
      </c>
      <c r="I2163" s="14">
        <v>322.66666666666663</v>
      </c>
      <c r="K2163" s="15"/>
    </row>
    <row r="2164" spans="1:11" ht="16.5" x14ac:dyDescent="0.2">
      <c r="A2164" s="4" t="s">
        <v>80</v>
      </c>
      <c r="B2164">
        <v>2009</v>
      </c>
      <c r="C2164" s="14">
        <v>4390.6666666666661</v>
      </c>
      <c r="D2164" s="14">
        <v>551.33333333333326</v>
      </c>
      <c r="E2164" s="14">
        <v>10235.333333333332</v>
      </c>
      <c r="F2164" s="14">
        <v>2394.6666666666665</v>
      </c>
      <c r="G2164" s="14">
        <v>1067.9999999999998</v>
      </c>
      <c r="H2164" s="14">
        <v>338.66666666666663</v>
      </c>
      <c r="I2164" s="14">
        <v>673.33333333333326</v>
      </c>
    </row>
    <row r="2165" spans="1:11" ht="16.5" x14ac:dyDescent="0.2">
      <c r="A2165" s="4" t="s">
        <v>80</v>
      </c>
      <c r="B2165">
        <v>2010</v>
      </c>
      <c r="C2165" s="14">
        <v>4367.333333333333</v>
      </c>
      <c r="D2165" s="14">
        <v>545.33333333333326</v>
      </c>
      <c r="E2165" s="14">
        <v>10228.666666666666</v>
      </c>
      <c r="F2165" s="14">
        <v>2391.333333333333</v>
      </c>
      <c r="G2165" s="14">
        <v>1094.6666666666667</v>
      </c>
      <c r="H2165" s="14">
        <v>349.99999999999994</v>
      </c>
      <c r="I2165" s="14">
        <v>672.66666666666663</v>
      </c>
    </row>
    <row r="2166" spans="1:11" ht="16.5" x14ac:dyDescent="0.2">
      <c r="A2166" s="4" t="s">
        <v>80</v>
      </c>
      <c r="B2166">
        <v>2011</v>
      </c>
      <c r="C2166" s="14">
        <v>4339.333333333333</v>
      </c>
      <c r="D2166" s="14">
        <v>540</v>
      </c>
      <c r="E2166" s="14">
        <v>10218.666666666666</v>
      </c>
      <c r="F2166" s="14">
        <v>2387.3333333333335</v>
      </c>
      <c r="G2166" s="14">
        <v>1126.6666666666665</v>
      </c>
      <c r="H2166" s="14">
        <v>366.66666666666663</v>
      </c>
      <c r="I2166" s="14">
        <v>670.66666666666652</v>
      </c>
      <c r="K2166" s="15"/>
    </row>
    <row r="2167" spans="1:11" ht="16.5" x14ac:dyDescent="0.2">
      <c r="A2167" s="4" t="s">
        <v>80</v>
      </c>
      <c r="B2167">
        <v>2012</v>
      </c>
      <c r="C2167" s="14">
        <v>4311.333333333333</v>
      </c>
      <c r="D2167" s="14">
        <v>533.33333333333326</v>
      </c>
      <c r="E2167" s="14">
        <v>10210</v>
      </c>
      <c r="F2167" s="14">
        <v>2384</v>
      </c>
      <c r="G2167" s="14">
        <v>1170.6666666666665</v>
      </c>
      <c r="H2167" s="14">
        <v>371.33333333333331</v>
      </c>
      <c r="I2167" s="14">
        <v>669.33333333333326</v>
      </c>
    </row>
    <row r="2168" spans="1:11" ht="16.5" x14ac:dyDescent="0.2">
      <c r="A2168" s="4" t="s">
        <v>80</v>
      </c>
      <c r="B2168">
        <v>2013</v>
      </c>
      <c r="C2168" s="14">
        <v>4288.6666666666661</v>
      </c>
      <c r="D2168" s="14">
        <v>526.66666666666663</v>
      </c>
      <c r="E2168" s="14">
        <v>10201.999999999998</v>
      </c>
      <c r="F2168" s="14">
        <v>2380.6666666666665</v>
      </c>
      <c r="G2168" s="14">
        <v>1205.3333333333333</v>
      </c>
      <c r="H2168" s="14">
        <v>375.99999999999994</v>
      </c>
      <c r="I2168" s="14">
        <v>668.66666666666663</v>
      </c>
      <c r="K2168" s="15"/>
    </row>
    <row r="2169" spans="1:11" ht="16.5" x14ac:dyDescent="0.2">
      <c r="A2169" s="4" t="s">
        <v>80</v>
      </c>
      <c r="B2169">
        <v>2014</v>
      </c>
      <c r="C2169" s="14">
        <v>4275.333333333333</v>
      </c>
      <c r="D2169" s="14">
        <v>520.66666666666663</v>
      </c>
      <c r="E2169" s="14">
        <v>10193.333333333332</v>
      </c>
      <c r="F2169" s="14">
        <v>2372.6666666666665</v>
      </c>
      <c r="G2169" s="14">
        <v>1232.6666666666665</v>
      </c>
      <c r="H2169" s="14">
        <v>385.99999999999994</v>
      </c>
      <c r="I2169" s="14">
        <v>669.33333333333326</v>
      </c>
    </row>
    <row r="2170" spans="1:11" ht="16.5" x14ac:dyDescent="0.2">
      <c r="A2170" s="4" t="s">
        <v>80</v>
      </c>
      <c r="B2170">
        <v>2015</v>
      </c>
      <c r="C2170" s="14">
        <v>4279.333333333333</v>
      </c>
      <c r="D2170" s="14">
        <v>516.66666666666663</v>
      </c>
      <c r="E2170" s="14">
        <v>10181.999999999998</v>
      </c>
      <c r="F2170" s="14">
        <v>2360</v>
      </c>
      <c r="G2170" s="14">
        <v>1264</v>
      </c>
      <c r="H2170" s="14">
        <v>388.66666666666663</v>
      </c>
      <c r="I2170" s="14">
        <v>667.33333333333326</v>
      </c>
    </row>
    <row r="2171" spans="1:11" ht="16.5" x14ac:dyDescent="0.2">
      <c r="A2171" s="4" t="s">
        <v>80</v>
      </c>
      <c r="B2171">
        <v>2016</v>
      </c>
      <c r="C2171" s="14">
        <v>4275.333333333333</v>
      </c>
      <c r="D2171" s="14">
        <v>510.66666666666657</v>
      </c>
      <c r="E2171" s="14">
        <v>10171.333333333332</v>
      </c>
      <c r="F2171" s="14">
        <v>2354</v>
      </c>
      <c r="G2171" s="14">
        <v>1292.6666666666665</v>
      </c>
      <c r="H2171" s="14">
        <v>394.66666666666663</v>
      </c>
      <c r="I2171" s="14">
        <v>666.66666666666663</v>
      </c>
      <c r="K2171" s="15"/>
    </row>
    <row r="2172" spans="1:11" ht="16.5" x14ac:dyDescent="0.2">
      <c r="A2172" s="4" t="s">
        <v>79</v>
      </c>
      <c r="B2172">
        <v>2009</v>
      </c>
      <c r="C2172" s="14">
        <v>8321.9999999999982</v>
      </c>
      <c r="D2172" s="14">
        <v>325.99999999999994</v>
      </c>
      <c r="E2172" s="14">
        <v>13311.333333333332</v>
      </c>
      <c r="F2172" s="14">
        <v>2552</v>
      </c>
      <c r="G2172" s="14">
        <v>925.33333333333314</v>
      </c>
      <c r="H2172" s="14">
        <v>379.33333333333331</v>
      </c>
      <c r="I2172" s="14">
        <v>414</v>
      </c>
    </row>
    <row r="2173" spans="1:11" ht="16.5" x14ac:dyDescent="0.2">
      <c r="A2173" s="4" t="s">
        <v>79</v>
      </c>
      <c r="B2173">
        <v>2010</v>
      </c>
      <c r="C2173" s="14">
        <v>8313.3333333333321</v>
      </c>
      <c r="D2173" s="14">
        <v>325.33333333333326</v>
      </c>
      <c r="E2173" s="14">
        <v>13308.666666666666</v>
      </c>
      <c r="F2173" s="14">
        <v>2550.6666666666665</v>
      </c>
      <c r="G2173" s="14">
        <v>936</v>
      </c>
      <c r="H2173" s="14">
        <v>379.33333333333331</v>
      </c>
      <c r="I2173" s="14">
        <v>414</v>
      </c>
      <c r="K2173" s="15"/>
    </row>
    <row r="2174" spans="1:11" ht="16.5" x14ac:dyDescent="0.2">
      <c r="A2174" s="4" t="s">
        <v>79</v>
      </c>
      <c r="B2174">
        <v>2011</v>
      </c>
      <c r="C2174" s="14">
        <v>8306</v>
      </c>
      <c r="D2174" s="14">
        <v>324.66666666666663</v>
      </c>
      <c r="E2174" s="14">
        <v>13301.999999999998</v>
      </c>
      <c r="F2174" s="14">
        <v>2547.9999999999995</v>
      </c>
      <c r="G2174" s="14">
        <v>952.66666666666663</v>
      </c>
      <c r="H2174" s="14">
        <v>381.33333333333331</v>
      </c>
      <c r="I2174" s="14">
        <v>414</v>
      </c>
    </row>
    <row r="2175" spans="1:11" ht="16.5" x14ac:dyDescent="0.2">
      <c r="A2175" s="4" t="s">
        <v>79</v>
      </c>
      <c r="B2175">
        <v>2012</v>
      </c>
      <c r="C2175" s="14">
        <v>8297.3333333333321</v>
      </c>
      <c r="D2175" s="14">
        <v>324</v>
      </c>
      <c r="E2175" s="14">
        <v>13299.333333333332</v>
      </c>
      <c r="F2175" s="14">
        <v>2547.9999999999995</v>
      </c>
      <c r="G2175" s="14">
        <v>963.99999999999989</v>
      </c>
      <c r="H2175" s="14">
        <v>381.99999999999994</v>
      </c>
      <c r="I2175" s="14">
        <v>414</v>
      </c>
    </row>
    <row r="2176" spans="1:11" ht="16.5" x14ac:dyDescent="0.2">
      <c r="A2176" s="4" t="s">
        <v>79</v>
      </c>
      <c r="B2176">
        <v>2013</v>
      </c>
      <c r="C2176" s="14">
        <v>8297.3333333333321</v>
      </c>
      <c r="D2176" s="14">
        <v>320</v>
      </c>
      <c r="E2176" s="14">
        <v>13297.333333333332</v>
      </c>
      <c r="F2176" s="14">
        <v>2542.6666666666665</v>
      </c>
      <c r="G2176" s="14">
        <v>973.33333333333326</v>
      </c>
      <c r="H2176" s="14">
        <v>385.33333333333326</v>
      </c>
      <c r="I2176" s="14">
        <v>414</v>
      </c>
      <c r="K2176" s="15"/>
    </row>
    <row r="2177" spans="1:11" ht="16.5" x14ac:dyDescent="0.2">
      <c r="A2177" s="4" t="s">
        <v>79</v>
      </c>
      <c r="B2177">
        <v>2014</v>
      </c>
      <c r="C2177" s="14">
        <v>8290.6666666666661</v>
      </c>
      <c r="D2177" s="14">
        <v>318</v>
      </c>
      <c r="E2177" s="14">
        <v>13291.333333333332</v>
      </c>
      <c r="F2177" s="14">
        <v>2540</v>
      </c>
      <c r="G2177" s="14">
        <v>984.00000000000011</v>
      </c>
      <c r="H2177" s="14">
        <v>392.66666666666663</v>
      </c>
      <c r="I2177" s="14">
        <v>413.33333333333331</v>
      </c>
    </row>
    <row r="2178" spans="1:11" ht="16.5" x14ac:dyDescent="0.2">
      <c r="A2178" s="4" t="s">
        <v>79</v>
      </c>
      <c r="B2178">
        <v>2015</v>
      </c>
      <c r="C2178" s="14">
        <v>8281.3333333333321</v>
      </c>
      <c r="D2178" s="14">
        <v>315.99999999999994</v>
      </c>
      <c r="E2178" s="14">
        <v>13286.666666666666</v>
      </c>
      <c r="F2178" s="14">
        <v>2538.6666666666665</v>
      </c>
      <c r="G2178" s="14">
        <v>993.33333333333326</v>
      </c>
      <c r="H2178" s="14">
        <v>399.33333333333331</v>
      </c>
      <c r="I2178" s="14">
        <v>413.33333333333331</v>
      </c>
      <c r="K2178" s="15"/>
    </row>
    <row r="2179" spans="1:11" ht="16.5" x14ac:dyDescent="0.2">
      <c r="A2179" s="4" t="s">
        <v>79</v>
      </c>
      <c r="B2179">
        <v>2016</v>
      </c>
      <c r="C2179" s="14">
        <v>8265.3333333333321</v>
      </c>
      <c r="D2179" s="14">
        <v>314.66666666666669</v>
      </c>
      <c r="E2179" s="14">
        <v>13281.333333333332</v>
      </c>
      <c r="F2179" s="14">
        <v>2535.9999999999995</v>
      </c>
      <c r="G2179" s="14">
        <v>1012.6666666666666</v>
      </c>
      <c r="H2179" s="14">
        <v>406.66666666666663</v>
      </c>
      <c r="I2179" s="14">
        <v>413.33333333333331</v>
      </c>
    </row>
    <row r="2180" spans="1:11" ht="16.5" x14ac:dyDescent="0.2">
      <c r="A2180" s="4" t="s">
        <v>78</v>
      </c>
      <c r="B2180">
        <v>2009</v>
      </c>
      <c r="C2180" s="14">
        <v>2538.6666666666665</v>
      </c>
      <c r="D2180" s="14">
        <v>271.99999999999994</v>
      </c>
      <c r="E2180" s="14">
        <v>9065.3333333333321</v>
      </c>
      <c r="F2180" s="14">
        <v>1116</v>
      </c>
      <c r="G2180" s="14">
        <v>378.66666666666663</v>
      </c>
      <c r="H2180" s="14">
        <v>187.99999999999997</v>
      </c>
      <c r="I2180" s="14">
        <v>505.33333333333326</v>
      </c>
    </row>
    <row r="2181" spans="1:11" ht="16.5" x14ac:dyDescent="0.2">
      <c r="A2181" s="4" t="s">
        <v>78</v>
      </c>
      <c r="B2181">
        <v>2010</v>
      </c>
      <c r="C2181" s="14">
        <v>2536.6666666666665</v>
      </c>
      <c r="D2181" s="14">
        <v>270.66666666666663</v>
      </c>
      <c r="E2181" s="14">
        <v>9060.6666666666661</v>
      </c>
      <c r="F2181" s="14">
        <v>1114.6666666666665</v>
      </c>
      <c r="G2181" s="14">
        <v>387.33333333333331</v>
      </c>
      <c r="H2181" s="14">
        <v>188.66666666666666</v>
      </c>
      <c r="I2181" s="14">
        <v>505.33333333333326</v>
      </c>
      <c r="K2181" s="15"/>
    </row>
    <row r="2182" spans="1:11" ht="16.5" x14ac:dyDescent="0.2">
      <c r="A2182" s="4" t="s">
        <v>78</v>
      </c>
      <c r="B2182">
        <v>2011</v>
      </c>
      <c r="C2182" s="14">
        <v>2534</v>
      </c>
      <c r="D2182" s="14">
        <v>270</v>
      </c>
      <c r="E2182" s="14">
        <v>9054.6666666666661</v>
      </c>
      <c r="F2182" s="14">
        <v>1111.3333333333333</v>
      </c>
      <c r="G2182" s="14">
        <v>396</v>
      </c>
      <c r="H2182" s="14">
        <v>192.66666666666663</v>
      </c>
      <c r="I2182" s="14">
        <v>505.33333333333326</v>
      </c>
    </row>
    <row r="2183" spans="1:11" ht="16.5" x14ac:dyDescent="0.2">
      <c r="A2183" s="4" t="s">
        <v>78</v>
      </c>
      <c r="B2183">
        <v>2012</v>
      </c>
      <c r="C2183" s="14">
        <v>2530</v>
      </c>
      <c r="D2183" s="14">
        <v>270</v>
      </c>
      <c r="E2183" s="14">
        <v>9053.9999999999982</v>
      </c>
      <c r="F2183" s="14">
        <v>1111.3333333333333</v>
      </c>
      <c r="G2183" s="14">
        <v>401.33333333333331</v>
      </c>
      <c r="H2183" s="14">
        <v>192.66666666666663</v>
      </c>
      <c r="I2183" s="14">
        <v>504.66666666666663</v>
      </c>
      <c r="K2183" s="15"/>
    </row>
    <row r="2184" spans="1:11" ht="16.5" x14ac:dyDescent="0.2">
      <c r="A2184" s="4" t="s">
        <v>78</v>
      </c>
      <c r="B2184">
        <v>2013</v>
      </c>
      <c r="C2184" s="14">
        <v>2523.333333333333</v>
      </c>
      <c r="D2184" s="14">
        <v>269.33333333333331</v>
      </c>
      <c r="E2184" s="14">
        <v>9053.3333333333321</v>
      </c>
      <c r="F2184" s="14">
        <v>1110.6666666666665</v>
      </c>
      <c r="G2184" s="14">
        <v>409.99999999999994</v>
      </c>
      <c r="H2184" s="14">
        <v>193.33333333333331</v>
      </c>
      <c r="I2184" s="14">
        <v>504.66666666666663</v>
      </c>
    </row>
    <row r="2185" spans="1:11" ht="16.5" x14ac:dyDescent="0.2">
      <c r="A2185" s="4" t="s">
        <v>78</v>
      </c>
      <c r="B2185">
        <v>2014</v>
      </c>
      <c r="C2185" s="14">
        <v>2517.9999999999995</v>
      </c>
      <c r="D2185" s="14">
        <v>268.66666666666663</v>
      </c>
      <c r="E2185" s="14">
        <v>9051.3333333333321</v>
      </c>
      <c r="F2185" s="14">
        <v>1110.6666666666665</v>
      </c>
      <c r="G2185" s="14">
        <v>416.66666666666663</v>
      </c>
      <c r="H2185" s="14">
        <v>195.99999999999997</v>
      </c>
      <c r="I2185" s="14">
        <v>504.66666666666663</v>
      </c>
    </row>
    <row r="2186" spans="1:11" ht="16.5" x14ac:dyDescent="0.2">
      <c r="A2186" s="4" t="s">
        <v>78</v>
      </c>
      <c r="B2186">
        <v>2015</v>
      </c>
      <c r="C2186" s="14">
        <v>2513.333333333333</v>
      </c>
      <c r="D2186" s="14">
        <v>268</v>
      </c>
      <c r="E2186" s="14">
        <v>9050</v>
      </c>
      <c r="F2186" s="14">
        <v>1110</v>
      </c>
      <c r="G2186" s="14">
        <v>421.99999999999994</v>
      </c>
      <c r="H2186" s="14">
        <v>197.33333333333331</v>
      </c>
      <c r="I2186" s="14">
        <v>504.66666666666663</v>
      </c>
      <c r="K2186" s="15"/>
    </row>
    <row r="2187" spans="1:11" ht="16.5" x14ac:dyDescent="0.2">
      <c r="A2187" s="4" t="s">
        <v>78</v>
      </c>
      <c r="B2187">
        <v>2016</v>
      </c>
      <c r="C2187" s="14">
        <v>2515.333333333333</v>
      </c>
      <c r="D2187" s="14">
        <v>267.33333333333331</v>
      </c>
      <c r="E2187" s="14">
        <v>9048.6666666666661</v>
      </c>
      <c r="F2187" s="14">
        <v>1104.6666666666665</v>
      </c>
      <c r="G2187" s="14">
        <v>427.33333333333326</v>
      </c>
      <c r="H2187" s="14">
        <v>198.66666666666666</v>
      </c>
      <c r="I2187" s="14">
        <v>504.66666666666663</v>
      </c>
    </row>
    <row r="2188" spans="1:11" ht="16.5" x14ac:dyDescent="0.2">
      <c r="A2188" s="4" t="s">
        <v>77</v>
      </c>
      <c r="B2188">
        <v>2009</v>
      </c>
      <c r="C2188" s="14">
        <v>3324.6666666666665</v>
      </c>
      <c r="D2188" s="14">
        <v>608</v>
      </c>
      <c r="E2188" s="14">
        <v>11986.666666666666</v>
      </c>
      <c r="F2188" s="14">
        <v>1261.3333333333333</v>
      </c>
      <c r="G2188" s="14">
        <v>454.66666666666657</v>
      </c>
      <c r="H2188" s="14">
        <v>194</v>
      </c>
      <c r="I2188" s="14">
        <v>267.33333333333331</v>
      </c>
      <c r="K2188" s="15"/>
    </row>
    <row r="2189" spans="1:11" ht="16.5" x14ac:dyDescent="0.2">
      <c r="A2189" s="4" t="s">
        <v>77</v>
      </c>
      <c r="B2189">
        <v>2010</v>
      </c>
      <c r="C2189" s="14">
        <v>3323.333333333333</v>
      </c>
      <c r="D2189" s="14">
        <v>608</v>
      </c>
      <c r="E2189" s="14">
        <v>11984.666666666666</v>
      </c>
      <c r="F2189" s="14">
        <v>1259.3333333333333</v>
      </c>
      <c r="G2189" s="14">
        <v>461.33333333333331</v>
      </c>
      <c r="H2189" s="14">
        <v>194</v>
      </c>
      <c r="I2189" s="14">
        <v>267.33333333333331</v>
      </c>
    </row>
    <row r="2190" spans="1:11" ht="16.5" x14ac:dyDescent="0.2">
      <c r="A2190" s="4" t="s">
        <v>77</v>
      </c>
      <c r="B2190">
        <v>2011</v>
      </c>
      <c r="C2190" s="14">
        <v>3323.333333333333</v>
      </c>
      <c r="D2190" s="14">
        <v>606.66666666666663</v>
      </c>
      <c r="E2190" s="14">
        <v>11981.333333333332</v>
      </c>
      <c r="F2190" s="14">
        <v>1255.3333333333333</v>
      </c>
      <c r="G2190" s="14">
        <v>466.66666666666663</v>
      </c>
      <c r="H2190" s="14">
        <v>196.66666666666666</v>
      </c>
      <c r="I2190" s="14">
        <v>267.33333333333331</v>
      </c>
    </row>
    <row r="2191" spans="1:11" ht="16.5" x14ac:dyDescent="0.2">
      <c r="A2191" s="4" t="s">
        <v>77</v>
      </c>
      <c r="B2191">
        <v>2012</v>
      </c>
      <c r="C2191" s="14">
        <v>3325.9999999999995</v>
      </c>
      <c r="D2191" s="14">
        <v>606</v>
      </c>
      <c r="E2191" s="14">
        <v>11978</v>
      </c>
      <c r="F2191" s="14">
        <v>1249.3333333333333</v>
      </c>
      <c r="G2191" s="14">
        <v>474.66666666666663</v>
      </c>
      <c r="H2191" s="14">
        <v>197.99999999999997</v>
      </c>
      <c r="I2191" s="14">
        <v>267.33333333333331</v>
      </c>
      <c r="K2191" s="15"/>
    </row>
    <row r="2192" spans="1:11" ht="16.5" x14ac:dyDescent="0.2">
      <c r="A2192" s="4" t="s">
        <v>77</v>
      </c>
      <c r="B2192">
        <v>2013</v>
      </c>
      <c r="C2192" s="14">
        <v>3320.6666666666665</v>
      </c>
      <c r="D2192" s="14">
        <v>605.33333333333326</v>
      </c>
      <c r="E2192" s="14">
        <v>11976</v>
      </c>
      <c r="F2192" s="14">
        <v>1247.9999999999998</v>
      </c>
      <c r="G2192" s="14">
        <v>481.99999999999994</v>
      </c>
      <c r="H2192" s="14">
        <v>199.99999999999997</v>
      </c>
      <c r="I2192" s="14">
        <v>267.33333333333331</v>
      </c>
    </row>
    <row r="2193" spans="1:11" ht="16.5" x14ac:dyDescent="0.2">
      <c r="A2193" s="4" t="s">
        <v>77</v>
      </c>
      <c r="B2193">
        <v>2014</v>
      </c>
      <c r="C2193" s="14">
        <v>3314.6666666666665</v>
      </c>
      <c r="D2193" s="14">
        <v>603.99999999999989</v>
      </c>
      <c r="E2193" s="14">
        <v>11973.999999999998</v>
      </c>
      <c r="F2193" s="14">
        <v>1247.3333333333333</v>
      </c>
      <c r="G2193" s="14">
        <v>488.66666666666663</v>
      </c>
      <c r="H2193" s="14">
        <v>203.33333333333331</v>
      </c>
      <c r="I2193" s="14">
        <v>267.33333333333331</v>
      </c>
      <c r="K2193" s="15"/>
    </row>
    <row r="2194" spans="1:11" ht="16.5" x14ac:dyDescent="0.2">
      <c r="A2194" s="4" t="s">
        <v>77</v>
      </c>
      <c r="B2194">
        <v>2015</v>
      </c>
      <c r="C2194" s="14">
        <v>3319.9999999999995</v>
      </c>
      <c r="D2194" s="14">
        <v>601.99999999999989</v>
      </c>
      <c r="E2194" s="14">
        <v>11971.333333333332</v>
      </c>
      <c r="F2194" s="14">
        <v>1237.9999999999998</v>
      </c>
      <c r="G2194" s="14">
        <v>494.66666666666663</v>
      </c>
      <c r="H2194" s="14">
        <v>205.99999999999997</v>
      </c>
      <c r="I2194" s="14">
        <v>265.99999999999994</v>
      </c>
    </row>
    <row r="2195" spans="1:11" ht="16.5" x14ac:dyDescent="0.2">
      <c r="A2195" s="4" t="s">
        <v>77</v>
      </c>
      <c r="B2195">
        <v>2016</v>
      </c>
      <c r="C2195" s="14">
        <v>3306.6666666666665</v>
      </c>
      <c r="D2195" s="14">
        <v>600</v>
      </c>
      <c r="E2195" s="14">
        <v>11963.999999999998</v>
      </c>
      <c r="F2195" s="14">
        <v>1236</v>
      </c>
      <c r="G2195" s="14">
        <v>511.99999999999994</v>
      </c>
      <c r="H2195" s="14">
        <v>206.66666666666666</v>
      </c>
      <c r="I2195" s="14">
        <v>273.33333333333331</v>
      </c>
    </row>
    <row r="2196" spans="1:11" ht="16.5" x14ac:dyDescent="0.2">
      <c r="A2196" s="4" t="s">
        <v>76</v>
      </c>
      <c r="B2196">
        <v>2009</v>
      </c>
      <c r="C2196" s="14">
        <v>6178.6666666666661</v>
      </c>
      <c r="D2196" s="14">
        <v>379.99999999999994</v>
      </c>
      <c r="E2196" s="14">
        <v>10338</v>
      </c>
      <c r="F2196" s="14">
        <v>2714.6666666666665</v>
      </c>
      <c r="G2196" s="14">
        <v>531.99999999999989</v>
      </c>
      <c r="H2196" s="14">
        <v>170.66666666666666</v>
      </c>
      <c r="I2196" s="14">
        <v>248</v>
      </c>
      <c r="K2196" s="15"/>
    </row>
    <row r="2197" spans="1:11" ht="16.5" x14ac:dyDescent="0.2">
      <c r="A2197" s="4" t="s">
        <v>76</v>
      </c>
      <c r="B2197">
        <v>2010</v>
      </c>
      <c r="C2197" s="14">
        <v>6174.6666666666661</v>
      </c>
      <c r="D2197" s="14">
        <v>379.33333333333331</v>
      </c>
      <c r="E2197" s="14">
        <v>10336.666666666666</v>
      </c>
      <c r="F2197" s="14">
        <v>2713.333333333333</v>
      </c>
      <c r="G2197" s="14">
        <v>537.33333333333337</v>
      </c>
      <c r="H2197" s="14">
        <v>170.66666666666666</v>
      </c>
      <c r="I2197" s="14">
        <v>249.33333333333331</v>
      </c>
    </row>
    <row r="2198" spans="1:11" ht="16.5" x14ac:dyDescent="0.2">
      <c r="A2198" s="4" t="s">
        <v>76</v>
      </c>
      <c r="B2198">
        <v>2011</v>
      </c>
      <c r="C2198" s="14">
        <v>6171.333333333333</v>
      </c>
      <c r="D2198" s="14">
        <v>381.33333333333331</v>
      </c>
      <c r="E2198" s="14">
        <v>10335.333333333332</v>
      </c>
      <c r="F2198" s="14">
        <v>2712.6666666666661</v>
      </c>
      <c r="G2198" s="14">
        <v>541.33333333333326</v>
      </c>
      <c r="H2198" s="14">
        <v>172.66666666666663</v>
      </c>
      <c r="I2198" s="14">
        <v>249.33333333333331</v>
      </c>
      <c r="K2198" s="15"/>
    </row>
    <row r="2199" spans="1:11" ht="16.5" x14ac:dyDescent="0.2">
      <c r="A2199" s="4" t="s">
        <v>76</v>
      </c>
      <c r="B2199">
        <v>2012</v>
      </c>
      <c r="C2199" s="14">
        <v>6154.6666666666661</v>
      </c>
      <c r="D2199" s="14">
        <v>378.66666666666663</v>
      </c>
      <c r="E2199" s="14">
        <v>10332.666666666666</v>
      </c>
      <c r="F2199" s="14">
        <v>2711.333333333333</v>
      </c>
      <c r="G2199" s="14">
        <v>549.33333333333337</v>
      </c>
      <c r="H2199" s="14">
        <v>172.66666666666663</v>
      </c>
      <c r="I2199" s="14">
        <v>249.99999999999997</v>
      </c>
    </row>
    <row r="2200" spans="1:11" ht="16.5" x14ac:dyDescent="0.2">
      <c r="A2200" s="4" t="s">
        <v>76</v>
      </c>
      <c r="B2200">
        <v>2013</v>
      </c>
      <c r="C2200" s="14">
        <v>6143.333333333333</v>
      </c>
      <c r="D2200" s="14">
        <v>374</v>
      </c>
      <c r="E2200" s="14">
        <v>10326</v>
      </c>
      <c r="F2200" s="14">
        <v>2709.333333333333</v>
      </c>
      <c r="G2200" s="14">
        <v>552</v>
      </c>
      <c r="H2200" s="14">
        <v>174</v>
      </c>
      <c r="I2200" s="14">
        <v>273.33333333333331</v>
      </c>
    </row>
    <row r="2201" spans="1:11" ht="16.5" x14ac:dyDescent="0.2">
      <c r="A2201" s="4" t="s">
        <v>76</v>
      </c>
      <c r="B2201">
        <v>2014</v>
      </c>
      <c r="C2201" s="14">
        <v>6125.9999999999991</v>
      </c>
      <c r="D2201" s="14">
        <v>370.66666666666663</v>
      </c>
      <c r="E2201" s="14">
        <v>10311.999999999998</v>
      </c>
      <c r="F2201" s="14">
        <v>2707.9999999999995</v>
      </c>
      <c r="G2201" s="14">
        <v>558.00000000000011</v>
      </c>
      <c r="H2201" s="14">
        <v>177.99999999999997</v>
      </c>
      <c r="I2201" s="14">
        <v>273.33333333333331</v>
      </c>
      <c r="K2201" s="15"/>
    </row>
    <row r="2202" spans="1:11" ht="16.5" x14ac:dyDescent="0.2">
      <c r="A2202" s="4" t="s">
        <v>76</v>
      </c>
      <c r="B2202">
        <v>2015</v>
      </c>
      <c r="C2202" s="14">
        <v>6125.9999999999991</v>
      </c>
      <c r="D2202" s="14">
        <v>369.99999999999994</v>
      </c>
      <c r="E2202" s="14">
        <v>10311.333333333332</v>
      </c>
      <c r="F2202" s="14">
        <v>2702.6666666666661</v>
      </c>
      <c r="G2202" s="14">
        <v>564.66666666666674</v>
      </c>
      <c r="H2202" s="14">
        <v>177.99999999999997</v>
      </c>
      <c r="I2202" s="14">
        <v>273.33333333333331</v>
      </c>
    </row>
    <row r="2203" spans="1:11" ht="16.5" x14ac:dyDescent="0.2">
      <c r="A2203" s="4" t="s">
        <v>76</v>
      </c>
      <c r="B2203">
        <v>2016</v>
      </c>
      <c r="C2203" s="14">
        <v>6144.6666666666661</v>
      </c>
      <c r="D2203" s="14">
        <v>367.33333333333331</v>
      </c>
      <c r="E2203" s="14">
        <v>10306.666666666666</v>
      </c>
      <c r="F2203" s="14">
        <v>2679.333333333333</v>
      </c>
      <c r="G2203" s="14">
        <v>576</v>
      </c>
      <c r="H2203" s="14">
        <v>178.66666666666666</v>
      </c>
      <c r="I2203" s="14">
        <v>272.66666666666663</v>
      </c>
      <c r="K2203" s="15"/>
    </row>
    <row r="2204" spans="1:11" ht="16.5" x14ac:dyDescent="0.2">
      <c r="A2204" s="4" t="s">
        <v>75</v>
      </c>
      <c r="B2204">
        <v>2009</v>
      </c>
      <c r="C2204" s="14">
        <v>2055.9999999999995</v>
      </c>
      <c r="D2204" s="14">
        <v>173.33333333333331</v>
      </c>
      <c r="E2204" s="14">
        <v>14261.33333333333</v>
      </c>
      <c r="F2204" s="14">
        <v>2424</v>
      </c>
      <c r="G2204" s="14">
        <v>242.66666666666663</v>
      </c>
      <c r="H2204" s="14">
        <v>122</v>
      </c>
      <c r="I2204" s="14">
        <v>357.33333333333331</v>
      </c>
    </row>
    <row r="2205" spans="1:11" ht="16.5" x14ac:dyDescent="0.2">
      <c r="A2205" s="4" t="s">
        <v>75</v>
      </c>
      <c r="B2205">
        <v>2010</v>
      </c>
      <c r="C2205" s="14">
        <v>2054</v>
      </c>
      <c r="D2205" s="14">
        <v>173.33333333333331</v>
      </c>
      <c r="E2205" s="14">
        <v>14259.999999999998</v>
      </c>
      <c r="F2205" s="14">
        <v>2423.333333333333</v>
      </c>
      <c r="G2205" s="14">
        <v>247.33333333333329</v>
      </c>
      <c r="H2205" s="14">
        <v>122.66666666666664</v>
      </c>
      <c r="I2205" s="14">
        <v>357.33333333333331</v>
      </c>
    </row>
    <row r="2206" spans="1:11" ht="16.5" x14ac:dyDescent="0.2">
      <c r="A2206" s="4" t="s">
        <v>75</v>
      </c>
      <c r="B2206">
        <v>2011</v>
      </c>
      <c r="C2206" s="14">
        <v>2050.6666666666665</v>
      </c>
      <c r="D2206" s="14">
        <v>173.33333333333331</v>
      </c>
      <c r="E2206" s="14">
        <v>14257.333333333332</v>
      </c>
      <c r="F2206" s="14">
        <v>2420.6666666666665</v>
      </c>
      <c r="G2206" s="14">
        <v>251.33333333333329</v>
      </c>
      <c r="H2206" s="14">
        <v>128.66666666666666</v>
      </c>
      <c r="I2206" s="14">
        <v>356.66666666666663</v>
      </c>
      <c r="K2206" s="15"/>
    </row>
    <row r="2207" spans="1:11" ht="16.5" x14ac:dyDescent="0.2">
      <c r="A2207" s="4" t="s">
        <v>75</v>
      </c>
      <c r="B2207">
        <v>2012</v>
      </c>
      <c r="C2207" s="14">
        <v>2047.3333333333333</v>
      </c>
      <c r="D2207" s="14">
        <v>172.66666666666663</v>
      </c>
      <c r="E2207" s="14">
        <v>14255.333333333334</v>
      </c>
      <c r="F2207" s="14">
        <v>2418.6666666666665</v>
      </c>
      <c r="G2207" s="14">
        <v>255.99999999999997</v>
      </c>
      <c r="H2207" s="14">
        <v>130</v>
      </c>
      <c r="I2207" s="14">
        <v>356.66666666666663</v>
      </c>
    </row>
    <row r="2208" spans="1:11" ht="16.5" x14ac:dyDescent="0.2">
      <c r="A2208" s="4" t="s">
        <v>75</v>
      </c>
      <c r="B2208">
        <v>2013</v>
      </c>
      <c r="C2208" s="14">
        <v>2044.6666666666665</v>
      </c>
      <c r="D2208" s="14">
        <v>171.33333333333331</v>
      </c>
      <c r="E2208" s="14">
        <v>14253.333333333332</v>
      </c>
      <c r="F2208" s="14">
        <v>2412</v>
      </c>
      <c r="G2208" s="14">
        <v>260</v>
      </c>
      <c r="H2208" s="14">
        <v>132</v>
      </c>
      <c r="I2208" s="14">
        <v>356.66666666666663</v>
      </c>
      <c r="K2208" s="15"/>
    </row>
    <row r="2209" spans="1:11" ht="16.5" x14ac:dyDescent="0.2">
      <c r="A2209" s="4" t="s">
        <v>75</v>
      </c>
      <c r="B2209">
        <v>2014</v>
      </c>
      <c r="C2209" s="14">
        <v>2042.6666666666663</v>
      </c>
      <c r="D2209" s="14">
        <v>171.33333333333331</v>
      </c>
      <c r="E2209" s="14">
        <v>14252</v>
      </c>
      <c r="F2209" s="14">
        <v>2409.333333333333</v>
      </c>
      <c r="G2209" s="14">
        <v>264.66666666666669</v>
      </c>
      <c r="H2209" s="14">
        <v>133.33333333333331</v>
      </c>
      <c r="I2209" s="14">
        <v>357.33333333333331</v>
      </c>
    </row>
    <row r="2210" spans="1:11" ht="16.5" x14ac:dyDescent="0.2">
      <c r="A2210" s="4" t="s">
        <v>75</v>
      </c>
      <c r="B2210">
        <v>2015</v>
      </c>
      <c r="C2210" s="14">
        <v>2040.6666666666667</v>
      </c>
      <c r="D2210" s="14">
        <v>169.99999999999997</v>
      </c>
      <c r="E2210" s="14">
        <v>14243.333333333332</v>
      </c>
      <c r="F2210" s="14">
        <v>2402</v>
      </c>
      <c r="G2210" s="14">
        <v>267.33333333333326</v>
      </c>
      <c r="H2210" s="14">
        <v>133.33333333333331</v>
      </c>
      <c r="I2210" s="14">
        <v>373.33333333333331</v>
      </c>
    </row>
    <row r="2211" spans="1:11" ht="16.5" x14ac:dyDescent="0.2">
      <c r="A2211" s="4" t="s">
        <v>75</v>
      </c>
      <c r="B2211">
        <v>2016</v>
      </c>
      <c r="C2211" s="14">
        <v>2037.9999999999998</v>
      </c>
      <c r="D2211" s="14">
        <v>169.99999999999997</v>
      </c>
      <c r="E2211" s="14">
        <v>14239.999999999998</v>
      </c>
      <c r="F2211" s="14">
        <v>2400</v>
      </c>
      <c r="G2211" s="14">
        <v>270</v>
      </c>
      <c r="H2211" s="14">
        <v>134.66666666666666</v>
      </c>
      <c r="I2211" s="14">
        <v>378</v>
      </c>
      <c r="K2211" s="15"/>
    </row>
    <row r="2212" spans="1:11" ht="16.5" x14ac:dyDescent="0.2">
      <c r="A2212" s="4" t="s">
        <v>74</v>
      </c>
      <c r="B2212">
        <v>2009</v>
      </c>
      <c r="C2212" s="14">
        <v>5464.6666666666661</v>
      </c>
      <c r="D2212" s="14">
        <v>2727.9999999999995</v>
      </c>
      <c r="E2212" s="14">
        <v>31477.999999999996</v>
      </c>
      <c r="F2212" s="14">
        <v>1337.9999999999998</v>
      </c>
      <c r="G2212" s="14">
        <v>475.33333333333326</v>
      </c>
      <c r="H2212" s="14">
        <v>342.66666666666663</v>
      </c>
      <c r="I2212" s="14">
        <v>448</v>
      </c>
    </row>
    <row r="2213" spans="1:11" ht="16.5" x14ac:dyDescent="0.2">
      <c r="A2213" s="4" t="s">
        <v>74</v>
      </c>
      <c r="B2213">
        <v>2010</v>
      </c>
      <c r="C2213" s="14">
        <v>5475.3333333333321</v>
      </c>
      <c r="D2213" s="14">
        <v>2724</v>
      </c>
      <c r="E2213" s="14">
        <v>31467.999999999996</v>
      </c>
      <c r="F2213" s="14">
        <v>1336</v>
      </c>
      <c r="G2213" s="14">
        <v>479.99999999999994</v>
      </c>
      <c r="H2213" s="14">
        <v>342.66666666666663</v>
      </c>
      <c r="I2213" s="14">
        <v>448.66666666666663</v>
      </c>
      <c r="K2213" s="15"/>
    </row>
    <row r="2214" spans="1:11" ht="16.5" x14ac:dyDescent="0.2">
      <c r="A2214" s="4" t="s">
        <v>74</v>
      </c>
      <c r="B2214">
        <v>2011</v>
      </c>
      <c r="C2214" s="14">
        <v>5474</v>
      </c>
      <c r="D2214" s="14">
        <v>2723.333333333333</v>
      </c>
      <c r="E2214" s="14">
        <v>31465.333333333332</v>
      </c>
      <c r="F2214" s="14">
        <v>1335.3333333333333</v>
      </c>
      <c r="G2214" s="14">
        <v>483.33333333333331</v>
      </c>
      <c r="H2214" s="14">
        <v>344</v>
      </c>
      <c r="I2214" s="14">
        <v>449.33333333333331</v>
      </c>
    </row>
    <row r="2215" spans="1:11" ht="16.5" x14ac:dyDescent="0.2">
      <c r="A2215" s="4" t="s">
        <v>74</v>
      </c>
      <c r="B2215">
        <v>2012</v>
      </c>
      <c r="C2215" s="14">
        <v>5470.6666666666661</v>
      </c>
      <c r="D2215" s="14">
        <v>2722</v>
      </c>
      <c r="E2215" s="14">
        <v>31463.333333333332</v>
      </c>
      <c r="F2215" s="14">
        <v>1335.3333333333333</v>
      </c>
      <c r="G2215" s="14">
        <v>488.66666666666663</v>
      </c>
      <c r="H2215" s="14">
        <v>344.66666666666663</v>
      </c>
      <c r="I2215" s="14">
        <v>448.66666666666663</v>
      </c>
    </row>
    <row r="2216" spans="1:11" ht="16.5" x14ac:dyDescent="0.2">
      <c r="A2216" s="4" t="s">
        <v>73</v>
      </c>
      <c r="B2216">
        <v>2013</v>
      </c>
      <c r="C2216" s="14">
        <v>5466.6666666666661</v>
      </c>
      <c r="D2216" s="14">
        <v>2720.6666666666665</v>
      </c>
      <c r="E2216" s="14">
        <v>31462</v>
      </c>
      <c r="F2216" s="14">
        <v>1335.3333333333333</v>
      </c>
      <c r="G2216" s="14">
        <v>495.99999999999989</v>
      </c>
      <c r="H2216" s="14">
        <v>344.66666666666663</v>
      </c>
      <c r="I2216" s="14">
        <v>448</v>
      </c>
      <c r="K2216" s="15"/>
    </row>
    <row r="2217" spans="1:11" ht="16.5" x14ac:dyDescent="0.2">
      <c r="A2217" s="4" t="s">
        <v>73</v>
      </c>
      <c r="B2217">
        <v>2014</v>
      </c>
      <c r="C2217" s="14">
        <v>5431.333333333333</v>
      </c>
      <c r="D2217" s="14">
        <v>2682</v>
      </c>
      <c r="E2217" s="14">
        <v>31307.333333333332</v>
      </c>
      <c r="F2217" s="14">
        <v>1319.9999999999998</v>
      </c>
      <c r="G2217" s="14">
        <v>500.66666666666669</v>
      </c>
      <c r="H2217" s="14">
        <v>345.99999999999994</v>
      </c>
      <c r="I2217" s="14">
        <v>698.66666666666663</v>
      </c>
    </row>
    <row r="2218" spans="1:11" ht="16.5" x14ac:dyDescent="0.2">
      <c r="A2218" s="4" t="s">
        <v>73</v>
      </c>
      <c r="B2218">
        <v>2015</v>
      </c>
      <c r="C2218" s="14">
        <v>5449.9999999999991</v>
      </c>
      <c r="D2218" s="14">
        <v>2678.6666666666665</v>
      </c>
      <c r="E2218" s="14">
        <v>31299.333333333328</v>
      </c>
      <c r="F2218" s="14">
        <v>1297.9999999999998</v>
      </c>
      <c r="G2218" s="14">
        <v>505.33333333333326</v>
      </c>
      <c r="H2218" s="14">
        <v>348.66666666666663</v>
      </c>
      <c r="I2218" s="14">
        <v>698</v>
      </c>
      <c r="K2218" s="15"/>
    </row>
    <row r="2219" spans="1:11" ht="16.5" x14ac:dyDescent="0.2">
      <c r="A2219" s="4" t="s">
        <v>73</v>
      </c>
      <c r="B2219">
        <v>2016</v>
      </c>
      <c r="C2219" s="14">
        <v>5461.9999999999991</v>
      </c>
      <c r="D2219" s="14">
        <v>2675.333333333333</v>
      </c>
      <c r="E2219" s="14">
        <v>31290.666666666668</v>
      </c>
      <c r="F2219" s="14">
        <v>1283.3333333333333</v>
      </c>
      <c r="G2219" s="14">
        <v>513.33333333333326</v>
      </c>
      <c r="H2219" s="14">
        <v>350.66666666666663</v>
      </c>
      <c r="I2219" s="14">
        <v>698</v>
      </c>
    </row>
    <row r="2220" spans="1:11" ht="16.5" x14ac:dyDescent="0.2">
      <c r="A2220" s="4" t="s">
        <v>72</v>
      </c>
      <c r="B2220">
        <v>2009</v>
      </c>
      <c r="C2220" s="14">
        <v>4791.333333333333</v>
      </c>
      <c r="D2220" s="14">
        <v>1672.6666666666665</v>
      </c>
      <c r="E2220" s="14">
        <v>13174.666666666666</v>
      </c>
      <c r="F2220" s="14">
        <v>1307.3333333333333</v>
      </c>
      <c r="G2220" s="14">
        <v>348.66666666666663</v>
      </c>
      <c r="H2220" s="14">
        <v>225.33333333333329</v>
      </c>
      <c r="I2220" s="14">
        <v>294.66666666666669</v>
      </c>
    </row>
    <row r="2221" spans="1:11" ht="16.5" x14ac:dyDescent="0.2">
      <c r="A2221" s="4" t="s">
        <v>72</v>
      </c>
      <c r="B2221">
        <v>2010</v>
      </c>
      <c r="C2221" s="14">
        <v>4789.333333333333</v>
      </c>
      <c r="D2221" s="14">
        <v>1672.6666666666665</v>
      </c>
      <c r="E2221" s="14">
        <v>13174.666666666666</v>
      </c>
      <c r="F2221" s="14">
        <v>1306.6666666666665</v>
      </c>
      <c r="G2221" s="14">
        <v>351.33333333333331</v>
      </c>
      <c r="H2221" s="14">
        <v>225.33333333333329</v>
      </c>
      <c r="I2221" s="14">
        <v>294.66666666666669</v>
      </c>
      <c r="K2221" s="15"/>
    </row>
    <row r="2222" spans="1:11" ht="16.5" x14ac:dyDescent="0.2">
      <c r="A2222" s="4" t="s">
        <v>72</v>
      </c>
      <c r="B2222">
        <v>2011</v>
      </c>
      <c r="C2222" s="14">
        <v>4787.333333333333</v>
      </c>
      <c r="D2222" s="14">
        <v>1671.333333333333</v>
      </c>
      <c r="E2222" s="14">
        <v>13172.666666666666</v>
      </c>
      <c r="F2222" s="14">
        <v>1305.3333333333333</v>
      </c>
      <c r="G2222" s="14">
        <v>357.33333333333331</v>
      </c>
      <c r="H2222" s="14">
        <v>225.99999999999997</v>
      </c>
      <c r="I2222" s="14">
        <v>294</v>
      </c>
    </row>
    <row r="2223" spans="1:11" ht="16.5" x14ac:dyDescent="0.2">
      <c r="A2223" s="4" t="s">
        <v>72</v>
      </c>
      <c r="B2223">
        <v>2012</v>
      </c>
      <c r="C2223" s="14">
        <v>4781.9999999999991</v>
      </c>
      <c r="D2223" s="14">
        <v>1670.6666666666665</v>
      </c>
      <c r="E2223" s="14">
        <v>13171.999999999998</v>
      </c>
      <c r="F2223" s="14">
        <v>1304.6666666666665</v>
      </c>
      <c r="G2223" s="14">
        <v>364</v>
      </c>
      <c r="H2223" s="14">
        <v>226.66666666666666</v>
      </c>
      <c r="I2223" s="14">
        <v>294</v>
      </c>
      <c r="K2223" s="15"/>
    </row>
    <row r="2224" spans="1:11" ht="16.5" x14ac:dyDescent="0.2">
      <c r="A2224" s="4" t="s">
        <v>72</v>
      </c>
      <c r="B2224">
        <v>2013</v>
      </c>
      <c r="C2224" s="14">
        <v>4776.6666666666661</v>
      </c>
      <c r="D2224" s="14">
        <v>1669.9999999999998</v>
      </c>
      <c r="E2224" s="14">
        <v>13171.333333333332</v>
      </c>
      <c r="F2224" s="14">
        <v>1303.9999999999998</v>
      </c>
      <c r="G2224" s="14">
        <v>369.33333333333331</v>
      </c>
      <c r="H2224" s="14">
        <v>227.33333333333331</v>
      </c>
      <c r="I2224" s="14">
        <v>294.66666666666669</v>
      </c>
    </row>
    <row r="2225" spans="1:11" ht="16.5" x14ac:dyDescent="0.2">
      <c r="A2225" s="4" t="s">
        <v>72</v>
      </c>
      <c r="B2225">
        <v>2014</v>
      </c>
      <c r="C2225" s="14">
        <v>4768</v>
      </c>
      <c r="D2225" s="14">
        <v>1667.3333333333333</v>
      </c>
      <c r="E2225" s="14">
        <v>13154.666666666666</v>
      </c>
      <c r="F2225" s="14">
        <v>1298.6666666666665</v>
      </c>
      <c r="G2225" s="14">
        <v>376.66666666666669</v>
      </c>
      <c r="H2225" s="14">
        <v>232.66666666666663</v>
      </c>
      <c r="I2225" s="14">
        <v>316.66666666666663</v>
      </c>
    </row>
    <row r="2226" spans="1:11" ht="16.5" x14ac:dyDescent="0.2">
      <c r="A2226" s="4" t="s">
        <v>72</v>
      </c>
      <c r="B2226">
        <v>2015</v>
      </c>
      <c r="C2226" s="14">
        <v>4767.333333333333</v>
      </c>
      <c r="D2226" s="14">
        <v>1666</v>
      </c>
      <c r="E2226" s="14">
        <v>13151.333333333332</v>
      </c>
      <c r="F2226" s="14">
        <v>1291.333333333333</v>
      </c>
      <c r="G2226" s="14">
        <v>382.66666666666669</v>
      </c>
      <c r="H2226" s="14">
        <v>239.99999999999997</v>
      </c>
      <c r="I2226" s="14">
        <v>315.99999999999994</v>
      </c>
      <c r="K2226" s="15"/>
    </row>
    <row r="2227" spans="1:11" ht="16.5" x14ac:dyDescent="0.2">
      <c r="A2227" s="4" t="s">
        <v>72</v>
      </c>
      <c r="B2227">
        <v>2016</v>
      </c>
      <c r="C2227" s="14">
        <v>4768.6666666666661</v>
      </c>
      <c r="D2227" s="14">
        <v>1663.9999999999998</v>
      </c>
      <c r="E2227" s="14">
        <v>13146</v>
      </c>
      <c r="F2227" s="14">
        <v>1285.3333333333333</v>
      </c>
      <c r="G2227" s="14">
        <v>392.66666666666669</v>
      </c>
      <c r="H2227" s="14">
        <v>239.99999999999997</v>
      </c>
      <c r="I2227" s="14">
        <v>315.99999999999994</v>
      </c>
    </row>
    <row r="2228" spans="1:11" ht="16.5" x14ac:dyDescent="0.2">
      <c r="A2228" s="4" t="s">
        <v>71</v>
      </c>
      <c r="B2228">
        <v>2009</v>
      </c>
      <c r="C2228" s="14">
        <v>3654.6666666666665</v>
      </c>
      <c r="D2228" s="14">
        <v>379.99999999999994</v>
      </c>
      <c r="E2228" s="14">
        <v>18849.333333333332</v>
      </c>
      <c r="F2228" s="14">
        <v>2857.333333333333</v>
      </c>
      <c r="G2228" s="14">
        <v>499.99999999999994</v>
      </c>
      <c r="H2228" s="14">
        <v>269.33333333333331</v>
      </c>
      <c r="I2228" s="14">
        <v>408.66666666666663</v>
      </c>
      <c r="K2228" s="15"/>
    </row>
    <row r="2229" spans="1:11" ht="16.5" x14ac:dyDescent="0.2">
      <c r="A2229" s="4" t="s">
        <v>71</v>
      </c>
      <c r="B2229">
        <v>2010</v>
      </c>
      <c r="C2229" s="14">
        <v>3651.9999999999995</v>
      </c>
      <c r="D2229" s="14">
        <v>379.33333333333331</v>
      </c>
      <c r="E2229" s="14">
        <v>18841.333333333332</v>
      </c>
      <c r="F2229" s="14">
        <v>2848.6666666666665</v>
      </c>
      <c r="G2229" s="14">
        <v>512.66666666666663</v>
      </c>
      <c r="H2229" s="14">
        <v>275.33333333333331</v>
      </c>
      <c r="I2229" s="14">
        <v>409.33333333333331</v>
      </c>
    </row>
    <row r="2230" spans="1:11" ht="16.5" x14ac:dyDescent="0.2">
      <c r="A2230" s="4" t="s">
        <v>71</v>
      </c>
      <c r="B2230">
        <v>2011</v>
      </c>
      <c r="C2230" s="14">
        <v>3655.3333333333326</v>
      </c>
      <c r="D2230" s="14">
        <v>379.33333333333331</v>
      </c>
      <c r="E2230" s="14">
        <v>18833.333333333332</v>
      </c>
      <c r="F2230" s="14">
        <v>2846.6666666666665</v>
      </c>
      <c r="G2230" s="14">
        <v>516</v>
      </c>
      <c r="H2230" s="14">
        <v>275.99999999999994</v>
      </c>
      <c r="I2230" s="14">
        <v>408.66666666666663</v>
      </c>
    </row>
    <row r="2231" spans="1:11" ht="16.5" x14ac:dyDescent="0.2">
      <c r="A2231" s="4" t="s">
        <v>71</v>
      </c>
      <c r="B2231">
        <v>2012</v>
      </c>
      <c r="C2231" s="14">
        <v>3652.6666666666661</v>
      </c>
      <c r="D2231" s="14">
        <v>379.33333333333331</v>
      </c>
      <c r="E2231" s="14">
        <v>18832.666666666664</v>
      </c>
      <c r="F2231" s="14">
        <v>2846.6666666666665</v>
      </c>
      <c r="G2231" s="14">
        <v>520.66666666666663</v>
      </c>
      <c r="H2231" s="14">
        <v>275.99999999999994</v>
      </c>
      <c r="I2231" s="14">
        <v>408.66666666666663</v>
      </c>
      <c r="K2231" s="15"/>
    </row>
    <row r="2232" spans="1:11" ht="16.5" x14ac:dyDescent="0.2">
      <c r="A2232" s="4" t="s">
        <v>71</v>
      </c>
      <c r="B2232">
        <v>2013</v>
      </c>
      <c r="C2232" s="14">
        <v>3660.6666666666665</v>
      </c>
      <c r="D2232" s="14">
        <v>377.33333333333331</v>
      </c>
      <c r="E2232" s="14">
        <v>18826</v>
      </c>
      <c r="F2232" s="14">
        <v>2838.6666666666665</v>
      </c>
      <c r="G2232" s="14">
        <v>528.66666666666663</v>
      </c>
      <c r="H2232" s="14">
        <v>277.33333333333331</v>
      </c>
      <c r="I2232" s="14">
        <v>408</v>
      </c>
    </row>
    <row r="2233" spans="1:11" ht="16.5" x14ac:dyDescent="0.2">
      <c r="A2233" s="4" t="s">
        <v>71</v>
      </c>
      <c r="B2233">
        <v>2014</v>
      </c>
      <c r="C2233" s="14">
        <v>3663.333333333333</v>
      </c>
      <c r="D2233" s="14">
        <v>376.66666666666663</v>
      </c>
      <c r="E2233" s="14">
        <v>18817.999999999996</v>
      </c>
      <c r="F2233" s="14">
        <v>2830.6666666666665</v>
      </c>
      <c r="G2233" s="14">
        <v>537.99999999999989</v>
      </c>
      <c r="H2233" s="14">
        <v>279.33333333333331</v>
      </c>
      <c r="I2233" s="14">
        <v>408</v>
      </c>
      <c r="K2233" s="15"/>
    </row>
    <row r="2234" spans="1:11" ht="16.5" x14ac:dyDescent="0.2">
      <c r="A2234" s="4" t="s">
        <v>71</v>
      </c>
      <c r="B2234">
        <v>2015</v>
      </c>
      <c r="C2234" s="14">
        <v>3665.9999999999995</v>
      </c>
      <c r="D2234" s="14">
        <v>375.33333333333326</v>
      </c>
      <c r="E2234" s="14">
        <v>18813.999999999996</v>
      </c>
      <c r="F2234" s="14">
        <v>2828.6666666666665</v>
      </c>
      <c r="G2234" s="14">
        <v>543.33333333333326</v>
      </c>
      <c r="H2234" s="14">
        <v>280</v>
      </c>
      <c r="I2234" s="14">
        <v>405.99999999999994</v>
      </c>
    </row>
    <row r="2235" spans="1:11" ht="16.5" x14ac:dyDescent="0.2">
      <c r="A2235" s="4" t="s">
        <v>71</v>
      </c>
      <c r="B2235">
        <v>2016</v>
      </c>
      <c r="C2235" s="14">
        <v>3664.6666666666665</v>
      </c>
      <c r="D2235" s="14">
        <v>374.66666666666663</v>
      </c>
      <c r="E2235" s="14">
        <v>18809.333333333332</v>
      </c>
      <c r="F2235" s="14">
        <v>2826.6666666666665</v>
      </c>
      <c r="G2235" s="14">
        <v>553.33333333333326</v>
      </c>
      <c r="H2235" s="14">
        <v>281.33333333333331</v>
      </c>
      <c r="I2235" s="14">
        <v>406.66666666666663</v>
      </c>
    </row>
    <row r="2236" spans="1:11" ht="16.5" x14ac:dyDescent="0.2">
      <c r="A2236" s="4" t="s">
        <v>70</v>
      </c>
      <c r="B2236">
        <v>2009</v>
      </c>
      <c r="C2236" s="14">
        <v>6684.6666666666661</v>
      </c>
      <c r="D2236" s="14">
        <v>1740.6666666666667</v>
      </c>
      <c r="E2236" s="14">
        <v>16917.333333333332</v>
      </c>
      <c r="F2236" s="14">
        <v>3031.333333333333</v>
      </c>
      <c r="G2236" s="14">
        <v>714.66666666666652</v>
      </c>
      <c r="H2236" s="14">
        <v>341.99999999999994</v>
      </c>
      <c r="I2236" s="14">
        <v>404.66666666666663</v>
      </c>
      <c r="K2236" s="15"/>
    </row>
    <row r="2237" spans="1:11" ht="16.5" x14ac:dyDescent="0.2">
      <c r="A2237" s="4" t="s">
        <v>70</v>
      </c>
      <c r="B2237">
        <v>2010</v>
      </c>
      <c r="C2237" s="14">
        <v>6681.333333333333</v>
      </c>
      <c r="D2237" s="14">
        <v>1738.6666666666665</v>
      </c>
      <c r="E2237" s="14">
        <v>16916</v>
      </c>
      <c r="F2237" s="14">
        <v>3030.6666666666665</v>
      </c>
      <c r="G2237" s="14">
        <v>719.33333333333326</v>
      </c>
      <c r="H2237" s="14">
        <v>344</v>
      </c>
      <c r="I2237" s="14">
        <v>404</v>
      </c>
    </row>
    <row r="2238" spans="1:11" ht="16.5" x14ac:dyDescent="0.2">
      <c r="A2238" s="4" t="s">
        <v>70</v>
      </c>
      <c r="B2238">
        <v>2011</v>
      </c>
      <c r="C2238" s="14">
        <v>6677.333333333333</v>
      </c>
      <c r="D2238" s="14">
        <v>1733.3333333333333</v>
      </c>
      <c r="E2238" s="14">
        <v>16911.333333333332</v>
      </c>
      <c r="F2238" s="14">
        <v>3029.333333333333</v>
      </c>
      <c r="G2238" s="14">
        <v>728</v>
      </c>
      <c r="H2238" s="14">
        <v>351.33333333333331</v>
      </c>
      <c r="I2238" s="14">
        <v>402.66666666666663</v>
      </c>
      <c r="K2238" s="15"/>
    </row>
    <row r="2239" spans="1:11" ht="16.5" x14ac:dyDescent="0.2">
      <c r="A2239" s="4" t="s">
        <v>70</v>
      </c>
      <c r="B2239">
        <v>2012</v>
      </c>
      <c r="C2239" s="14">
        <v>6674.6666666666661</v>
      </c>
      <c r="D2239" s="14">
        <v>1729.333333333333</v>
      </c>
      <c r="E2239" s="14">
        <v>16906.666666666664</v>
      </c>
      <c r="F2239" s="14">
        <v>3027.9999999999995</v>
      </c>
      <c r="G2239" s="14">
        <v>737.99999999999989</v>
      </c>
      <c r="H2239" s="14">
        <v>355.33333333333326</v>
      </c>
      <c r="I2239" s="14">
        <v>402.66666666666663</v>
      </c>
    </row>
    <row r="2240" spans="1:11" ht="16.5" x14ac:dyDescent="0.2">
      <c r="A2240" s="4" t="s">
        <v>70</v>
      </c>
      <c r="B2240">
        <v>2013</v>
      </c>
      <c r="C2240" s="14">
        <v>6685.9999999999991</v>
      </c>
      <c r="D2240" s="14">
        <v>1726.6666666666665</v>
      </c>
      <c r="E2240" s="14">
        <v>16901.333333333332</v>
      </c>
      <c r="F2240" s="14">
        <v>3019.333333333333</v>
      </c>
      <c r="G2240" s="14">
        <v>745.99999999999989</v>
      </c>
      <c r="H2240" s="14">
        <v>355.99999999999994</v>
      </c>
      <c r="I2240" s="14">
        <v>402.66666666666663</v>
      </c>
    </row>
    <row r="2241" spans="1:11" ht="16.5" x14ac:dyDescent="0.2">
      <c r="A2241" s="4" t="s">
        <v>70</v>
      </c>
      <c r="B2241">
        <v>2014</v>
      </c>
      <c r="C2241" s="14">
        <v>6678.6666666666661</v>
      </c>
      <c r="D2241" s="14">
        <v>1718.6666666666665</v>
      </c>
      <c r="E2241" s="14">
        <v>16896.666666666664</v>
      </c>
      <c r="F2241" s="14">
        <v>3012.6666666666661</v>
      </c>
      <c r="G2241" s="14">
        <v>762</v>
      </c>
      <c r="H2241" s="14">
        <v>360.66666666666663</v>
      </c>
      <c r="I2241" s="14">
        <v>408</v>
      </c>
      <c r="K2241" s="15"/>
    </row>
    <row r="2242" spans="1:11" ht="16.5" x14ac:dyDescent="0.2">
      <c r="A2242" s="4" t="s">
        <v>70</v>
      </c>
      <c r="B2242">
        <v>2015</v>
      </c>
      <c r="C2242" s="14">
        <v>6678.6666666666661</v>
      </c>
      <c r="D2242" s="14">
        <v>1716.6666666666665</v>
      </c>
      <c r="E2242" s="14">
        <v>16893.999999999996</v>
      </c>
      <c r="F2242" s="14">
        <v>3007.9999999999995</v>
      </c>
      <c r="G2242" s="14">
        <v>769.33333333333326</v>
      </c>
      <c r="H2242" s="14">
        <v>361.99999999999994</v>
      </c>
      <c r="I2242" s="14">
        <v>409.33333333333331</v>
      </c>
    </row>
    <row r="2243" spans="1:11" ht="16.5" x14ac:dyDescent="0.2">
      <c r="A2243" s="4" t="s">
        <v>70</v>
      </c>
      <c r="B2243">
        <v>2016</v>
      </c>
      <c r="C2243" s="14">
        <v>6676.6666666666661</v>
      </c>
      <c r="D2243" s="14">
        <v>1712.6666666666663</v>
      </c>
      <c r="E2243" s="14">
        <v>16890</v>
      </c>
      <c r="F2243" s="14">
        <v>3002.6666666666661</v>
      </c>
      <c r="G2243" s="14">
        <v>779.33333333333326</v>
      </c>
      <c r="H2243" s="14">
        <v>366.66666666666663</v>
      </c>
      <c r="I2243" s="14">
        <v>408.66666666666663</v>
      </c>
      <c r="K2243" s="15"/>
    </row>
    <row r="2244" spans="1:11" ht="16.5" x14ac:dyDescent="0.2">
      <c r="A2244" s="4" t="s">
        <v>69</v>
      </c>
      <c r="B2244">
        <v>2009</v>
      </c>
      <c r="C2244" s="14">
        <v>6809.333333333333</v>
      </c>
      <c r="D2244" s="14">
        <v>668.66666666666663</v>
      </c>
      <c r="E2244" s="14">
        <v>16430</v>
      </c>
      <c r="F2244" s="14">
        <v>1970.6666666666667</v>
      </c>
      <c r="G2244" s="14">
        <v>522.66666666666663</v>
      </c>
      <c r="H2244" s="14">
        <v>281.33333333333331</v>
      </c>
      <c r="I2244" s="14">
        <v>266.66666666666663</v>
      </c>
    </row>
    <row r="2245" spans="1:11" ht="16.5" x14ac:dyDescent="0.2">
      <c r="A2245" s="4" t="s">
        <v>69</v>
      </c>
      <c r="B2245">
        <v>2010</v>
      </c>
      <c r="C2245" s="14">
        <v>6805.3333333333321</v>
      </c>
      <c r="D2245" s="14">
        <v>668.66666666666663</v>
      </c>
      <c r="E2245" s="14">
        <v>16430</v>
      </c>
      <c r="F2245" s="14">
        <v>1970.6666666666667</v>
      </c>
      <c r="G2245" s="14">
        <v>527.33333333333326</v>
      </c>
      <c r="H2245" s="14">
        <v>281.33333333333331</v>
      </c>
      <c r="I2245" s="14">
        <v>266.66666666666663</v>
      </c>
    </row>
    <row r="2246" spans="1:11" ht="16.5" x14ac:dyDescent="0.2">
      <c r="A2246" s="4" t="s">
        <v>69</v>
      </c>
      <c r="B2246">
        <v>2011</v>
      </c>
      <c r="C2246" s="14">
        <v>6803.333333333333</v>
      </c>
      <c r="D2246" s="14">
        <v>668</v>
      </c>
      <c r="E2246" s="14">
        <v>16427.999999999996</v>
      </c>
      <c r="F2246" s="14">
        <v>1968.6666666666665</v>
      </c>
      <c r="G2246" s="14">
        <v>534</v>
      </c>
      <c r="H2246" s="14">
        <v>282.66666666666663</v>
      </c>
      <c r="I2246" s="14">
        <v>266.66666666666663</v>
      </c>
      <c r="K2246" s="15"/>
    </row>
    <row r="2247" spans="1:11" ht="16.5" x14ac:dyDescent="0.2">
      <c r="A2247" s="4" t="s">
        <v>69</v>
      </c>
      <c r="B2247">
        <v>2012</v>
      </c>
      <c r="C2247" s="14">
        <v>6800.6666666666661</v>
      </c>
      <c r="D2247" s="14">
        <v>668</v>
      </c>
      <c r="E2247" s="14">
        <v>16427.333333333332</v>
      </c>
      <c r="F2247" s="14">
        <v>1967.3333333333333</v>
      </c>
      <c r="G2247" s="14">
        <v>539.33333333333337</v>
      </c>
      <c r="H2247" s="14">
        <v>283.33333333333331</v>
      </c>
      <c r="I2247" s="14">
        <v>266.66666666666663</v>
      </c>
    </row>
    <row r="2248" spans="1:11" ht="16.5" x14ac:dyDescent="0.2">
      <c r="A2248" s="4" t="s">
        <v>69</v>
      </c>
      <c r="B2248">
        <v>2013</v>
      </c>
      <c r="C2248" s="14">
        <v>6791.9999999999991</v>
      </c>
      <c r="D2248" s="14">
        <v>667.33333333333326</v>
      </c>
      <c r="E2248" s="14">
        <v>16426</v>
      </c>
      <c r="F2248" s="14">
        <v>1967.3333333333333</v>
      </c>
      <c r="G2248" s="14">
        <v>547.33333333333326</v>
      </c>
      <c r="H2248" s="14">
        <v>285.33333333333331</v>
      </c>
      <c r="I2248" s="14">
        <v>266.66666666666663</v>
      </c>
      <c r="K2248" s="15"/>
    </row>
    <row r="2249" spans="1:11" ht="16.5" x14ac:dyDescent="0.2">
      <c r="A2249" s="4" t="s">
        <v>69</v>
      </c>
      <c r="B2249">
        <v>2014</v>
      </c>
      <c r="C2249" s="14">
        <v>6785.3333333333321</v>
      </c>
      <c r="D2249" s="14">
        <v>666.66666666666663</v>
      </c>
      <c r="E2249" s="14">
        <v>16425.333333333332</v>
      </c>
      <c r="F2249" s="14">
        <v>1966.6666666666665</v>
      </c>
      <c r="G2249" s="14">
        <v>553.99999999999989</v>
      </c>
      <c r="H2249" s="14">
        <v>288.66666666666663</v>
      </c>
      <c r="I2249" s="14">
        <v>266.66666666666663</v>
      </c>
    </row>
    <row r="2250" spans="1:11" ht="16.5" x14ac:dyDescent="0.2">
      <c r="A2250" s="4" t="s">
        <v>69</v>
      </c>
      <c r="B2250">
        <v>2015</v>
      </c>
      <c r="C2250" s="14">
        <v>6785.3333333333321</v>
      </c>
      <c r="D2250" s="14">
        <v>666</v>
      </c>
      <c r="E2250" s="14">
        <v>16423.999999999996</v>
      </c>
      <c r="F2250" s="14">
        <v>1964</v>
      </c>
      <c r="G2250" s="14">
        <v>560</v>
      </c>
      <c r="H2250" s="14">
        <v>290</v>
      </c>
      <c r="I2250" s="14">
        <v>266.66666666666663</v>
      </c>
    </row>
    <row r="2251" spans="1:11" ht="16.5" x14ac:dyDescent="0.2">
      <c r="A2251" s="4" t="s">
        <v>69</v>
      </c>
      <c r="B2251">
        <v>2016</v>
      </c>
      <c r="C2251" s="14">
        <v>6780.6666666666661</v>
      </c>
      <c r="D2251" s="14">
        <v>665.33333333333326</v>
      </c>
      <c r="E2251" s="14">
        <v>16419.333333333332</v>
      </c>
      <c r="F2251" s="14">
        <v>1961.333333333333</v>
      </c>
      <c r="G2251" s="14">
        <v>570.66666666666663</v>
      </c>
      <c r="H2251" s="14">
        <v>296.66666666666663</v>
      </c>
      <c r="I2251" s="14">
        <v>266.66666666666663</v>
      </c>
      <c r="K2251" s="15"/>
    </row>
    <row r="2252" spans="1:11" ht="16.5" x14ac:dyDescent="0.2">
      <c r="A2252" s="4" t="s">
        <v>68</v>
      </c>
      <c r="B2252">
        <v>2009</v>
      </c>
      <c r="C2252" s="14">
        <v>1376.6666666666665</v>
      </c>
      <c r="D2252" s="14">
        <v>5639.333333333333</v>
      </c>
      <c r="E2252" s="14">
        <v>10553.999999999998</v>
      </c>
      <c r="F2252" s="14">
        <v>693.33333333333326</v>
      </c>
      <c r="G2252" s="14">
        <v>233.33333333333331</v>
      </c>
      <c r="H2252" s="14">
        <v>114</v>
      </c>
      <c r="I2252" s="14">
        <v>202</v>
      </c>
    </row>
    <row r="2253" spans="1:11" ht="16.5" x14ac:dyDescent="0.2">
      <c r="A2253" s="4" t="s">
        <v>68</v>
      </c>
      <c r="B2253">
        <v>2010</v>
      </c>
      <c r="C2253" s="14">
        <v>1376</v>
      </c>
      <c r="D2253" s="14">
        <v>5636.6666666666661</v>
      </c>
      <c r="E2253" s="14">
        <v>10553.333333333332</v>
      </c>
      <c r="F2253" s="14">
        <v>692.66666666666663</v>
      </c>
      <c r="G2253" s="14">
        <v>237.33333333333331</v>
      </c>
      <c r="H2253" s="14">
        <v>114</v>
      </c>
      <c r="I2253" s="14">
        <v>202</v>
      </c>
      <c r="K2253" s="15"/>
    </row>
    <row r="2254" spans="1:11" ht="16.5" x14ac:dyDescent="0.2">
      <c r="A2254" s="4" t="s">
        <v>68</v>
      </c>
      <c r="B2254">
        <v>2011</v>
      </c>
      <c r="C2254" s="14">
        <v>1373.3333333333333</v>
      </c>
      <c r="D2254" s="14">
        <v>5633.333333333333</v>
      </c>
      <c r="E2254" s="14">
        <v>10552.666666666666</v>
      </c>
      <c r="F2254" s="14">
        <v>692.66666666666663</v>
      </c>
      <c r="G2254" s="14">
        <v>242</v>
      </c>
      <c r="H2254" s="14">
        <v>114.66666666666666</v>
      </c>
      <c r="I2254" s="14">
        <v>202</v>
      </c>
    </row>
    <row r="2255" spans="1:11" ht="16.5" x14ac:dyDescent="0.2">
      <c r="A2255" s="4" t="s">
        <v>68</v>
      </c>
      <c r="B2255">
        <v>2012</v>
      </c>
      <c r="C2255" s="14">
        <v>1370.6666666666665</v>
      </c>
      <c r="D2255" s="14">
        <v>5627.333333333333</v>
      </c>
      <c r="E2255" s="14">
        <v>10551.999999999998</v>
      </c>
      <c r="F2255" s="14">
        <v>692.66666666666663</v>
      </c>
      <c r="G2255" s="14">
        <v>252</v>
      </c>
      <c r="H2255" s="14">
        <v>114.66666666666666</v>
      </c>
      <c r="I2255" s="14">
        <v>201.33333333333331</v>
      </c>
    </row>
    <row r="2256" spans="1:11" ht="16.5" x14ac:dyDescent="0.2">
      <c r="A2256" s="4" t="s">
        <v>68</v>
      </c>
      <c r="B2256">
        <v>2013</v>
      </c>
      <c r="C2256" s="14">
        <v>1378.6666666666665</v>
      </c>
      <c r="D2256" s="14">
        <v>5624</v>
      </c>
      <c r="E2256" s="14">
        <v>10549.333333333332</v>
      </c>
      <c r="F2256" s="14">
        <v>684.66666666666663</v>
      </c>
      <c r="G2256" s="14">
        <v>257.33333333333331</v>
      </c>
      <c r="H2256" s="14">
        <v>114.66666666666666</v>
      </c>
      <c r="I2256" s="14">
        <v>201.33333333333331</v>
      </c>
      <c r="K2256" s="15"/>
    </row>
    <row r="2257" spans="1:11" ht="16.5" x14ac:dyDescent="0.2">
      <c r="A2257" s="4" t="s">
        <v>68</v>
      </c>
      <c r="B2257">
        <v>2014</v>
      </c>
      <c r="C2257" s="14">
        <v>1376</v>
      </c>
      <c r="D2257" s="14">
        <v>5621.333333333333</v>
      </c>
      <c r="E2257" s="14">
        <v>10548.666666666666</v>
      </c>
      <c r="F2257" s="14">
        <v>684.66666666666663</v>
      </c>
      <c r="G2257" s="14">
        <v>262.66666666666669</v>
      </c>
      <c r="H2257" s="14">
        <v>114.66666666666666</v>
      </c>
      <c r="I2257" s="14">
        <v>200.66666666666666</v>
      </c>
    </row>
    <row r="2258" spans="1:11" ht="16.5" x14ac:dyDescent="0.2">
      <c r="A2258" s="4" t="s">
        <v>68</v>
      </c>
      <c r="B2258">
        <v>2015</v>
      </c>
      <c r="C2258" s="14">
        <v>1382</v>
      </c>
      <c r="D2258" s="14">
        <v>5619.9999999999991</v>
      </c>
      <c r="E2258" s="14">
        <v>10548.666666666666</v>
      </c>
      <c r="F2258" s="14">
        <v>676.66666666666663</v>
      </c>
      <c r="G2258" s="14">
        <v>266</v>
      </c>
      <c r="H2258" s="14">
        <v>114.66666666666666</v>
      </c>
      <c r="I2258" s="14">
        <v>200.66666666666666</v>
      </c>
      <c r="K2258" s="15"/>
    </row>
    <row r="2259" spans="1:11" ht="16.5" x14ac:dyDescent="0.2">
      <c r="A2259" s="4" t="s">
        <v>68</v>
      </c>
      <c r="B2259">
        <v>2016</v>
      </c>
      <c r="C2259" s="14">
        <v>1396</v>
      </c>
      <c r="D2259" s="14">
        <v>5616.6666666666661</v>
      </c>
      <c r="E2259" s="14">
        <v>10548</v>
      </c>
      <c r="F2259" s="14">
        <v>658.66666666666663</v>
      </c>
      <c r="G2259" s="14">
        <v>268</v>
      </c>
      <c r="H2259" s="14">
        <v>117.33333333333333</v>
      </c>
      <c r="I2259" s="14">
        <v>200.66666666666666</v>
      </c>
    </row>
    <row r="2260" spans="1:11" ht="16.5" x14ac:dyDescent="0.2">
      <c r="A2260" s="4" t="s">
        <v>67</v>
      </c>
      <c r="B2260">
        <v>2009</v>
      </c>
      <c r="C2260" s="14">
        <v>3752.6666666666661</v>
      </c>
      <c r="D2260" s="14">
        <v>939.99999999999989</v>
      </c>
      <c r="E2260" s="14">
        <v>18946</v>
      </c>
      <c r="F2260" s="14">
        <v>2027.3333333333333</v>
      </c>
      <c r="G2260" s="14">
        <v>566.66666666666674</v>
      </c>
      <c r="H2260" s="14">
        <v>245.99999999999997</v>
      </c>
      <c r="I2260" s="14">
        <v>586</v>
      </c>
    </row>
    <row r="2261" spans="1:11" ht="16.5" x14ac:dyDescent="0.2">
      <c r="A2261" s="4" t="s">
        <v>67</v>
      </c>
      <c r="B2261">
        <v>2010</v>
      </c>
      <c r="C2261" s="14">
        <v>3747.333333333333</v>
      </c>
      <c r="D2261" s="14">
        <v>937.99999999999989</v>
      </c>
      <c r="E2261" s="14">
        <v>18940.666666666664</v>
      </c>
      <c r="F2261" s="14">
        <v>2024.6666666666665</v>
      </c>
      <c r="G2261" s="14">
        <v>575.33333333333337</v>
      </c>
      <c r="H2261" s="14">
        <v>253.33333333333331</v>
      </c>
      <c r="I2261" s="14">
        <v>586</v>
      </c>
      <c r="K2261" s="15"/>
    </row>
    <row r="2262" spans="1:11" ht="16.5" x14ac:dyDescent="0.2">
      <c r="A2262" s="4" t="s">
        <v>67</v>
      </c>
      <c r="B2262">
        <v>2011</v>
      </c>
      <c r="C2262" s="14">
        <v>3739.9999999999995</v>
      </c>
      <c r="D2262" s="14">
        <v>937.99999999999989</v>
      </c>
      <c r="E2262" s="14">
        <v>18936.666666666664</v>
      </c>
      <c r="F2262" s="14">
        <v>2022</v>
      </c>
      <c r="G2262" s="14">
        <v>582.66666666666663</v>
      </c>
      <c r="H2262" s="14">
        <v>258.66666666666663</v>
      </c>
      <c r="I2262" s="14">
        <v>586</v>
      </c>
    </row>
    <row r="2263" spans="1:11" ht="16.5" x14ac:dyDescent="0.2">
      <c r="A2263" s="4" t="s">
        <v>67</v>
      </c>
      <c r="B2263">
        <v>2012</v>
      </c>
      <c r="C2263" s="14">
        <v>3732.6666666666661</v>
      </c>
      <c r="D2263" s="14">
        <v>936.66666666666663</v>
      </c>
      <c r="E2263" s="14">
        <v>18932</v>
      </c>
      <c r="F2263" s="14">
        <v>2019.9999999999998</v>
      </c>
      <c r="G2263" s="14">
        <v>594.66666666666652</v>
      </c>
      <c r="H2263" s="14">
        <v>262.66666666666663</v>
      </c>
      <c r="I2263" s="14">
        <v>584.66666666666663</v>
      </c>
      <c r="K2263" s="15"/>
    </row>
    <row r="2264" spans="1:11" ht="16.5" x14ac:dyDescent="0.2">
      <c r="A2264" s="4" t="s">
        <v>67</v>
      </c>
      <c r="B2264">
        <v>2013</v>
      </c>
      <c r="C2264" s="14">
        <v>3729.333333333333</v>
      </c>
      <c r="D2264" s="14">
        <v>935.33333333333337</v>
      </c>
      <c r="E2264" s="14">
        <v>18928.666666666668</v>
      </c>
      <c r="F2264" s="14">
        <v>2015.9999999999998</v>
      </c>
      <c r="G2264" s="14">
        <v>603.33333333333326</v>
      </c>
      <c r="H2264" s="14">
        <v>264.66666666666669</v>
      </c>
      <c r="I2264" s="14">
        <v>584.66666666666663</v>
      </c>
    </row>
    <row r="2265" spans="1:11" ht="16.5" x14ac:dyDescent="0.2">
      <c r="A2265" s="4" t="s">
        <v>67</v>
      </c>
      <c r="B2265">
        <v>2014</v>
      </c>
      <c r="C2265" s="14">
        <v>3719.9999999999995</v>
      </c>
      <c r="D2265" s="14">
        <v>933.99999999999989</v>
      </c>
      <c r="E2265" s="14">
        <v>18921.333333333332</v>
      </c>
      <c r="F2265" s="14">
        <v>2009.333333333333</v>
      </c>
      <c r="G2265" s="14">
        <v>617.33333333333326</v>
      </c>
      <c r="H2265" s="14">
        <v>271.33333333333331</v>
      </c>
      <c r="I2265" s="14">
        <v>590</v>
      </c>
    </row>
    <row r="2266" spans="1:11" ht="16.5" x14ac:dyDescent="0.2">
      <c r="A2266" s="4" t="s">
        <v>67</v>
      </c>
      <c r="B2266">
        <v>2015</v>
      </c>
      <c r="C2266" s="14">
        <v>3713.333333333333</v>
      </c>
      <c r="D2266" s="14">
        <v>932.66666666666663</v>
      </c>
      <c r="E2266" s="14">
        <v>18917.333333333332</v>
      </c>
      <c r="F2266" s="14">
        <v>2002</v>
      </c>
      <c r="G2266" s="14">
        <v>635.33333333333326</v>
      </c>
      <c r="H2266" s="14">
        <v>271.99999999999994</v>
      </c>
      <c r="I2266" s="14">
        <v>591.33333333333326</v>
      </c>
      <c r="K2266" s="15"/>
    </row>
    <row r="2267" spans="1:11" ht="16.5" x14ac:dyDescent="0.2">
      <c r="A2267" s="4" t="s">
        <v>67</v>
      </c>
      <c r="B2267">
        <v>2016</v>
      </c>
      <c r="C2267" s="14">
        <v>3705.3333333333326</v>
      </c>
      <c r="D2267" s="14">
        <v>931.33333333333314</v>
      </c>
      <c r="E2267" s="14">
        <v>18912.666666666664</v>
      </c>
      <c r="F2267" s="14">
        <v>1999.9999999999998</v>
      </c>
      <c r="G2267" s="14">
        <v>647.33333333333326</v>
      </c>
      <c r="H2267" s="14">
        <v>274.66666666666669</v>
      </c>
      <c r="I2267" s="14">
        <v>591.33333333333326</v>
      </c>
    </row>
    <row r="2268" spans="1:11" ht="16.5" x14ac:dyDescent="0.2">
      <c r="A2268" s="4" t="s">
        <v>66</v>
      </c>
      <c r="B2268">
        <v>2009</v>
      </c>
      <c r="C2268" s="14">
        <v>1844</v>
      </c>
      <c r="D2268" s="14">
        <v>414</v>
      </c>
      <c r="E2268" s="14">
        <v>7663.333333333333</v>
      </c>
      <c r="F2268" s="14">
        <v>353.33333333333331</v>
      </c>
      <c r="G2268" s="14">
        <v>266</v>
      </c>
      <c r="H2268" s="14">
        <v>123.33333333333333</v>
      </c>
      <c r="I2268" s="14">
        <v>195.33333333333331</v>
      </c>
      <c r="K2268" s="15"/>
    </row>
    <row r="2269" spans="1:11" ht="16.5" x14ac:dyDescent="0.2">
      <c r="A2269" s="4" t="s">
        <v>66</v>
      </c>
      <c r="B2269">
        <v>2010</v>
      </c>
      <c r="C2269" s="14">
        <v>1857.3333333333333</v>
      </c>
      <c r="D2269" s="14">
        <v>404</v>
      </c>
      <c r="E2269" s="14">
        <v>7652.666666666667</v>
      </c>
      <c r="F2269" s="14">
        <v>351.99999999999994</v>
      </c>
      <c r="G2269" s="14">
        <v>270</v>
      </c>
      <c r="H2269" s="14">
        <v>123.33333333333333</v>
      </c>
      <c r="I2269" s="14">
        <v>195.33333333333331</v>
      </c>
    </row>
    <row r="2270" spans="1:11" ht="16.5" x14ac:dyDescent="0.2">
      <c r="A2270" s="4" t="s">
        <v>66</v>
      </c>
      <c r="B2270">
        <v>2011</v>
      </c>
      <c r="C2270" s="14">
        <v>1854</v>
      </c>
      <c r="D2270" s="14">
        <v>403.33333333333331</v>
      </c>
      <c r="E2270" s="14">
        <v>7651.333333333333</v>
      </c>
      <c r="F2270" s="14">
        <v>351.99999999999994</v>
      </c>
      <c r="G2270" s="14">
        <v>274.66666666666669</v>
      </c>
      <c r="H2270" s="14">
        <v>124</v>
      </c>
      <c r="I2270" s="14">
        <v>195.33333333333331</v>
      </c>
    </row>
    <row r="2271" spans="1:11" ht="16.5" x14ac:dyDescent="0.2">
      <c r="A2271" s="4" t="s">
        <v>66</v>
      </c>
      <c r="B2271">
        <v>2012</v>
      </c>
      <c r="C2271" s="14">
        <v>1852.6666666666663</v>
      </c>
      <c r="D2271" s="14">
        <v>401.99999999999994</v>
      </c>
      <c r="E2271" s="14">
        <v>7649.9999999999991</v>
      </c>
      <c r="F2271" s="14">
        <v>349.33333333333331</v>
      </c>
      <c r="G2271" s="14">
        <v>280</v>
      </c>
      <c r="H2271" s="14">
        <v>124</v>
      </c>
      <c r="I2271" s="14">
        <v>195.33333333333331</v>
      </c>
      <c r="K2271" s="15"/>
    </row>
    <row r="2272" spans="1:11" ht="16.5" x14ac:dyDescent="0.2">
      <c r="A2272" s="4" t="s">
        <v>66</v>
      </c>
      <c r="B2272">
        <v>2013</v>
      </c>
      <c r="C2272" s="14">
        <v>1845.9999999999998</v>
      </c>
      <c r="D2272" s="14">
        <v>399.33333333333331</v>
      </c>
      <c r="E2272" s="14">
        <v>7645.3333333333321</v>
      </c>
      <c r="F2272" s="14">
        <v>348</v>
      </c>
      <c r="G2272" s="14">
        <v>288.66666666666669</v>
      </c>
      <c r="H2272" s="14">
        <v>130.66666666666666</v>
      </c>
      <c r="I2272" s="14">
        <v>194.66666666666666</v>
      </c>
    </row>
    <row r="2273" spans="1:11" ht="16.5" x14ac:dyDescent="0.2">
      <c r="A2273" s="4" t="s">
        <v>66</v>
      </c>
      <c r="B2273">
        <v>2014</v>
      </c>
      <c r="C2273" s="14">
        <v>1840.6666666666667</v>
      </c>
      <c r="D2273" s="14">
        <v>397.33333333333331</v>
      </c>
      <c r="E2273" s="14">
        <v>7641.333333333333</v>
      </c>
      <c r="F2273" s="14">
        <v>348</v>
      </c>
      <c r="G2273" s="14">
        <v>295.33333333333331</v>
      </c>
      <c r="H2273" s="14">
        <v>137.33333333333334</v>
      </c>
      <c r="I2273" s="14">
        <v>194</v>
      </c>
      <c r="K2273" s="15"/>
    </row>
    <row r="2274" spans="1:11" ht="16.5" x14ac:dyDescent="0.2">
      <c r="A2274" s="4" t="s">
        <v>66</v>
      </c>
      <c r="B2274">
        <v>2015</v>
      </c>
      <c r="C2274" s="14">
        <v>1838.6666666666665</v>
      </c>
      <c r="D2274" s="14">
        <v>396.66666666666663</v>
      </c>
      <c r="E2274" s="14">
        <v>7640.6666666666652</v>
      </c>
      <c r="F2274" s="14">
        <v>348</v>
      </c>
      <c r="G2274" s="14">
        <v>297.33333333333326</v>
      </c>
      <c r="H2274" s="14">
        <v>137.33333333333334</v>
      </c>
      <c r="I2274" s="14">
        <v>194.66666666666666</v>
      </c>
    </row>
    <row r="2275" spans="1:11" ht="16.5" x14ac:dyDescent="0.2">
      <c r="A2275" s="4" t="s">
        <v>66</v>
      </c>
      <c r="B2275">
        <v>2016</v>
      </c>
      <c r="C2275" s="14">
        <v>1836.6666666666665</v>
      </c>
      <c r="D2275" s="14">
        <v>394.66666666666663</v>
      </c>
      <c r="E2275" s="14">
        <v>7637.3333333333321</v>
      </c>
      <c r="F2275" s="14">
        <v>347.33333333333331</v>
      </c>
      <c r="G2275" s="14">
        <v>308.66666666666669</v>
      </c>
      <c r="H2275" s="14">
        <v>137.99999999999997</v>
      </c>
      <c r="I2275" s="14">
        <v>194</v>
      </c>
    </row>
    <row r="2276" spans="1:11" ht="16.5" x14ac:dyDescent="0.2">
      <c r="A2276" s="4" t="s">
        <v>65</v>
      </c>
      <c r="B2276">
        <v>2009</v>
      </c>
      <c r="C2276" s="14">
        <v>693.33333333333326</v>
      </c>
      <c r="D2276" s="14">
        <v>18</v>
      </c>
      <c r="E2276" s="14">
        <v>10816.666666666666</v>
      </c>
      <c r="F2276" s="14">
        <v>1223.9999999999998</v>
      </c>
      <c r="G2276" s="14">
        <v>70</v>
      </c>
      <c r="H2276" s="14">
        <v>28</v>
      </c>
      <c r="I2276" s="14">
        <v>1204.6666666666665</v>
      </c>
      <c r="K2276" s="15"/>
    </row>
    <row r="2277" spans="1:11" ht="16.5" x14ac:dyDescent="0.2">
      <c r="A2277" s="4" t="s">
        <v>65</v>
      </c>
      <c r="B2277">
        <v>2010</v>
      </c>
      <c r="C2277" s="14">
        <v>693.33333333333326</v>
      </c>
      <c r="D2277" s="14">
        <v>17.333333333333332</v>
      </c>
      <c r="E2277" s="14">
        <v>10816.666666666666</v>
      </c>
      <c r="F2277" s="14">
        <v>1223.9999999999998</v>
      </c>
      <c r="G2277" s="14">
        <v>71.333333333333329</v>
      </c>
      <c r="H2277" s="14">
        <v>29.333333333333332</v>
      </c>
      <c r="I2277" s="14">
        <v>1204.6666666666665</v>
      </c>
    </row>
    <row r="2278" spans="1:11" ht="16.5" x14ac:dyDescent="0.2">
      <c r="A2278" s="4" t="s">
        <v>65</v>
      </c>
      <c r="B2278">
        <v>2011</v>
      </c>
      <c r="C2278" s="14">
        <v>692.66666666666663</v>
      </c>
      <c r="D2278" s="14">
        <v>17.333333333333332</v>
      </c>
      <c r="E2278" s="14">
        <v>10816</v>
      </c>
      <c r="F2278" s="14">
        <v>1223.3333333333333</v>
      </c>
      <c r="G2278" s="14">
        <v>71.333333333333329</v>
      </c>
      <c r="H2278" s="14">
        <v>29.999999999999996</v>
      </c>
      <c r="I2278" s="14">
        <v>1203.9999999999998</v>
      </c>
      <c r="K2278" s="15"/>
    </row>
    <row r="2279" spans="1:11" ht="16.5" x14ac:dyDescent="0.2">
      <c r="A2279" s="4" t="s">
        <v>65</v>
      </c>
      <c r="B2279">
        <v>2012</v>
      </c>
      <c r="C2279" s="14">
        <v>691.99999999999989</v>
      </c>
      <c r="D2279" s="14">
        <v>17.333333333333332</v>
      </c>
      <c r="E2279" s="14">
        <v>10816</v>
      </c>
      <c r="F2279" s="14">
        <v>1223.3333333333333</v>
      </c>
      <c r="G2279" s="14">
        <v>71.999999999999986</v>
      </c>
      <c r="H2279" s="14">
        <v>29.999999999999996</v>
      </c>
      <c r="I2279" s="14">
        <v>1203.9999999999998</v>
      </c>
    </row>
    <row r="2280" spans="1:11" ht="16.5" x14ac:dyDescent="0.2">
      <c r="A2280" s="4" t="s">
        <v>65</v>
      </c>
      <c r="B2280">
        <v>2013</v>
      </c>
      <c r="C2280" s="14">
        <v>691.99999999999989</v>
      </c>
      <c r="D2280" s="14">
        <v>17.333333333333332</v>
      </c>
      <c r="E2280" s="14">
        <v>10815.333333333332</v>
      </c>
      <c r="F2280" s="14">
        <v>1223.3333333333333</v>
      </c>
      <c r="G2280" s="14">
        <v>72.666666666666657</v>
      </c>
      <c r="H2280" s="14">
        <v>30.666666666666661</v>
      </c>
      <c r="I2280" s="14">
        <v>1203.9999999999998</v>
      </c>
    </row>
    <row r="2281" spans="1:11" ht="16.5" x14ac:dyDescent="0.2">
      <c r="A2281" s="4" t="s">
        <v>65</v>
      </c>
      <c r="B2281">
        <v>2014</v>
      </c>
      <c r="C2281" s="14">
        <v>691.33333333333326</v>
      </c>
      <c r="D2281" s="14">
        <v>17.333333333333332</v>
      </c>
      <c r="E2281" s="14">
        <v>10815.333333333332</v>
      </c>
      <c r="F2281" s="14">
        <v>1223.3333333333333</v>
      </c>
      <c r="G2281" s="14">
        <v>73.333333333333343</v>
      </c>
      <c r="H2281" s="14">
        <v>30.666666666666661</v>
      </c>
      <c r="I2281" s="14">
        <v>1204.6666666666665</v>
      </c>
      <c r="K2281" s="15"/>
    </row>
    <row r="2282" spans="1:11" ht="16.5" x14ac:dyDescent="0.2">
      <c r="A2282" s="4" t="s">
        <v>65</v>
      </c>
      <c r="B2282">
        <v>2015</v>
      </c>
      <c r="C2282" s="14">
        <v>691.33333333333326</v>
      </c>
      <c r="D2282" s="14">
        <v>17.333333333333332</v>
      </c>
      <c r="E2282" s="14">
        <v>10815.333333333332</v>
      </c>
      <c r="F2282" s="14">
        <v>1223.3333333333333</v>
      </c>
      <c r="G2282" s="14">
        <v>73.333333333333343</v>
      </c>
      <c r="H2282" s="14">
        <v>30.666666666666661</v>
      </c>
      <c r="I2282" s="14">
        <v>1204.6666666666665</v>
      </c>
    </row>
    <row r="2283" spans="1:11" ht="16.5" x14ac:dyDescent="0.2">
      <c r="A2283" s="4" t="s">
        <v>65</v>
      </c>
      <c r="B2283">
        <v>2016</v>
      </c>
      <c r="C2283" s="14">
        <v>689.99999999999989</v>
      </c>
      <c r="D2283" s="14">
        <v>17.333333333333332</v>
      </c>
      <c r="E2283" s="14">
        <v>10814.666666666666</v>
      </c>
      <c r="F2283" s="14">
        <v>1223.3333333333333</v>
      </c>
      <c r="G2283" s="14">
        <v>76</v>
      </c>
      <c r="H2283" s="14">
        <v>30.666666666666661</v>
      </c>
      <c r="I2283" s="14">
        <v>1204.6666666666665</v>
      </c>
      <c r="K2283" s="15"/>
    </row>
    <row r="2284" spans="1:11" ht="16.5" x14ac:dyDescent="0.2">
      <c r="A2284" s="4" t="s">
        <v>64</v>
      </c>
      <c r="B2284">
        <v>2009</v>
      </c>
      <c r="C2284" s="14">
        <v>556</v>
      </c>
      <c r="D2284" s="14">
        <v>25.333333333333329</v>
      </c>
      <c r="E2284" s="14">
        <v>16665.333333333332</v>
      </c>
      <c r="F2284" s="14">
        <v>3017.9999999999995</v>
      </c>
      <c r="G2284" s="14">
        <v>88.666666666666657</v>
      </c>
      <c r="H2284" s="14">
        <v>61.333333333333321</v>
      </c>
      <c r="I2284" s="14">
        <v>231.33333333333334</v>
      </c>
    </row>
    <row r="2285" spans="1:11" ht="16.5" x14ac:dyDescent="0.2">
      <c r="A2285" s="4" t="s">
        <v>64</v>
      </c>
      <c r="B2285">
        <v>2010</v>
      </c>
      <c r="C2285" s="14">
        <v>555.33333333333326</v>
      </c>
      <c r="D2285" s="14">
        <v>25.333333333333329</v>
      </c>
      <c r="E2285" s="14">
        <v>16662</v>
      </c>
      <c r="F2285" s="14">
        <v>3016.6666666666665</v>
      </c>
      <c r="G2285" s="14">
        <v>88.666666666666657</v>
      </c>
      <c r="H2285" s="14">
        <v>65.333333333333329</v>
      </c>
      <c r="I2285" s="14">
        <v>231.33333333333334</v>
      </c>
    </row>
    <row r="2286" spans="1:11" ht="16.5" x14ac:dyDescent="0.2">
      <c r="A2286" s="4" t="s">
        <v>64</v>
      </c>
      <c r="B2286">
        <v>2011</v>
      </c>
      <c r="C2286" s="14">
        <v>553.99999999999989</v>
      </c>
      <c r="D2286" s="14">
        <v>25.333333333333329</v>
      </c>
      <c r="E2286" s="14">
        <v>16658.666666666668</v>
      </c>
      <c r="F2286" s="14">
        <v>3015.333333333333</v>
      </c>
      <c r="G2286" s="14">
        <v>89.999999999999986</v>
      </c>
      <c r="H2286" s="14">
        <v>71.333333333333329</v>
      </c>
      <c r="I2286" s="14">
        <v>231.99999999999997</v>
      </c>
      <c r="K2286" s="15"/>
    </row>
    <row r="2287" spans="1:11" ht="16.5" x14ac:dyDescent="0.2">
      <c r="A2287" s="4" t="s">
        <v>64</v>
      </c>
      <c r="B2287">
        <v>2012</v>
      </c>
      <c r="C2287" s="14">
        <v>552.66666666666663</v>
      </c>
      <c r="D2287" s="14">
        <v>25.333333333333329</v>
      </c>
      <c r="E2287" s="14">
        <v>16657.999999999996</v>
      </c>
      <c r="F2287" s="14">
        <v>3014</v>
      </c>
      <c r="G2287" s="14">
        <v>92</v>
      </c>
      <c r="H2287" s="14">
        <v>71.333333333333329</v>
      </c>
      <c r="I2287" s="14">
        <v>231.99999999999997</v>
      </c>
    </row>
    <row r="2288" spans="1:11" ht="16.5" x14ac:dyDescent="0.2">
      <c r="A2288" s="4" t="s">
        <v>64</v>
      </c>
      <c r="B2288">
        <v>2013</v>
      </c>
      <c r="C2288" s="14">
        <v>551.33333333333326</v>
      </c>
      <c r="D2288" s="14">
        <v>25.333333333333329</v>
      </c>
      <c r="E2288" s="14">
        <v>16657.999999999996</v>
      </c>
      <c r="F2288" s="14">
        <v>3012.6666666666661</v>
      </c>
      <c r="G2288" s="14">
        <v>95.333333333333329</v>
      </c>
      <c r="H2288" s="14">
        <v>71.333333333333329</v>
      </c>
      <c r="I2288" s="14">
        <v>231.99999999999997</v>
      </c>
      <c r="K2288" s="15"/>
    </row>
    <row r="2289" spans="1:11" ht="16.5" x14ac:dyDescent="0.2">
      <c r="A2289" s="4" t="s">
        <v>64</v>
      </c>
      <c r="B2289">
        <v>2014</v>
      </c>
      <c r="C2289" s="14">
        <v>552.66666666666663</v>
      </c>
      <c r="D2289" s="14">
        <v>25.333333333333329</v>
      </c>
      <c r="E2289" s="14">
        <v>16656</v>
      </c>
      <c r="F2289" s="14">
        <v>3008.6666666666665</v>
      </c>
      <c r="G2289" s="14">
        <v>99.333333333333314</v>
      </c>
      <c r="H2289" s="14">
        <v>72</v>
      </c>
      <c r="I2289" s="14">
        <v>231.99999999999997</v>
      </c>
    </row>
    <row r="2290" spans="1:11" ht="16.5" x14ac:dyDescent="0.2">
      <c r="A2290" s="4" t="s">
        <v>64</v>
      </c>
      <c r="B2290">
        <v>2015</v>
      </c>
      <c r="C2290" s="14">
        <v>552.66666666666663</v>
      </c>
      <c r="D2290" s="14">
        <v>25.333333333333329</v>
      </c>
      <c r="E2290" s="14">
        <v>16655.333333333332</v>
      </c>
      <c r="F2290" s="14">
        <v>3007.333333333333</v>
      </c>
      <c r="G2290" s="14">
        <v>101.99999999999999</v>
      </c>
      <c r="H2290" s="14">
        <v>72</v>
      </c>
      <c r="I2290" s="14">
        <v>231.99999999999997</v>
      </c>
    </row>
    <row r="2291" spans="1:11" ht="16.5" x14ac:dyDescent="0.2">
      <c r="A2291" s="4" t="s">
        <v>64</v>
      </c>
      <c r="B2291">
        <v>2016</v>
      </c>
      <c r="C2291" s="14">
        <v>551.99999999999989</v>
      </c>
      <c r="D2291" s="14">
        <v>25.333333333333329</v>
      </c>
      <c r="E2291" s="14">
        <v>16653.333333333332</v>
      </c>
      <c r="F2291" s="14">
        <v>3005.9999999999995</v>
      </c>
      <c r="G2291" s="14">
        <v>105.33333333333333</v>
      </c>
      <c r="H2291" s="14">
        <v>72</v>
      </c>
      <c r="I2291" s="14">
        <v>231.99999999999997</v>
      </c>
      <c r="K2291" s="15"/>
    </row>
    <row r="2292" spans="1:11" ht="16.5" x14ac:dyDescent="0.2">
      <c r="A2292" s="4" t="s">
        <v>63</v>
      </c>
      <c r="B2292">
        <v>2009</v>
      </c>
      <c r="C2292" s="14">
        <v>553.33333333333326</v>
      </c>
      <c r="D2292" s="14">
        <v>0</v>
      </c>
      <c r="E2292" s="14">
        <v>3535.9999999999995</v>
      </c>
      <c r="F2292" s="14">
        <v>21259.333333333332</v>
      </c>
      <c r="G2292" s="14">
        <v>159.33333333333334</v>
      </c>
      <c r="H2292" s="14">
        <v>49.333333333333329</v>
      </c>
      <c r="I2292" s="14">
        <v>2072</v>
      </c>
    </row>
    <row r="2293" spans="1:11" ht="16.5" x14ac:dyDescent="0.2">
      <c r="A2293" s="4" t="s">
        <v>63</v>
      </c>
      <c r="B2293">
        <v>2010</v>
      </c>
      <c r="C2293" s="14">
        <v>548.66666666666663</v>
      </c>
      <c r="D2293" s="14">
        <v>0</v>
      </c>
      <c r="E2293" s="14">
        <v>3535.3333333333326</v>
      </c>
      <c r="F2293" s="14">
        <v>21255.333333333332</v>
      </c>
      <c r="G2293" s="14">
        <v>165.99999999999997</v>
      </c>
      <c r="H2293" s="14">
        <v>51.333333333333329</v>
      </c>
      <c r="I2293" s="14">
        <v>2071.333333333333</v>
      </c>
      <c r="K2293" s="15"/>
    </row>
    <row r="2294" spans="1:11" ht="16.5" x14ac:dyDescent="0.2">
      <c r="A2294" s="4" t="s">
        <v>63</v>
      </c>
      <c r="B2294">
        <v>2011</v>
      </c>
      <c r="C2294" s="14">
        <v>548</v>
      </c>
      <c r="D2294" s="14">
        <v>0</v>
      </c>
      <c r="E2294" s="14">
        <v>3533.333333333333</v>
      </c>
      <c r="F2294" s="14">
        <v>21251.333333333328</v>
      </c>
      <c r="G2294" s="14">
        <v>169.33333333333331</v>
      </c>
      <c r="H2294" s="14">
        <v>56</v>
      </c>
      <c r="I2294" s="14">
        <v>2070.6666666666665</v>
      </c>
    </row>
    <row r="2295" spans="1:11" ht="16.5" x14ac:dyDescent="0.2">
      <c r="A2295" s="4" t="s">
        <v>63</v>
      </c>
      <c r="B2295">
        <v>2012</v>
      </c>
      <c r="C2295" s="14">
        <v>548</v>
      </c>
      <c r="D2295" s="14">
        <v>0</v>
      </c>
      <c r="E2295" s="14">
        <v>3533.333333333333</v>
      </c>
      <c r="F2295" s="14">
        <v>21247.999999999996</v>
      </c>
      <c r="G2295" s="14">
        <v>171.33333333333331</v>
      </c>
      <c r="H2295" s="14">
        <v>56.666666666666664</v>
      </c>
      <c r="I2295" s="14">
        <v>2070.6666666666665</v>
      </c>
    </row>
    <row r="2296" spans="1:11" ht="16.5" x14ac:dyDescent="0.2">
      <c r="A2296" s="4" t="s">
        <v>63</v>
      </c>
      <c r="B2296">
        <v>2013</v>
      </c>
      <c r="C2296" s="14">
        <v>544.66666666666663</v>
      </c>
      <c r="D2296" s="14">
        <v>0</v>
      </c>
      <c r="E2296" s="14">
        <v>3532.6666666666661</v>
      </c>
      <c r="F2296" s="14">
        <v>21246</v>
      </c>
      <c r="G2296" s="14">
        <v>174.66666666666666</v>
      </c>
      <c r="H2296" s="14">
        <v>58.666666666666664</v>
      </c>
      <c r="I2296" s="14">
        <v>2070.6666666666665</v>
      </c>
      <c r="K2296" s="15"/>
    </row>
    <row r="2297" spans="1:11" ht="16.5" x14ac:dyDescent="0.2">
      <c r="A2297" s="4" t="s">
        <v>63</v>
      </c>
      <c r="B2297">
        <v>2014</v>
      </c>
      <c r="C2297" s="14">
        <v>545.33333333333326</v>
      </c>
      <c r="D2297" s="14">
        <v>0</v>
      </c>
      <c r="E2297" s="14">
        <v>3529.9999999999995</v>
      </c>
      <c r="F2297" s="14">
        <v>21237.999999999996</v>
      </c>
      <c r="G2297" s="14">
        <v>182.66666666666663</v>
      </c>
      <c r="H2297" s="14">
        <v>61.333333333333321</v>
      </c>
      <c r="I2297" s="14">
        <v>2069.333333333333</v>
      </c>
    </row>
    <row r="2298" spans="1:11" ht="16.5" x14ac:dyDescent="0.2">
      <c r="A2298" s="4" t="s">
        <v>63</v>
      </c>
      <c r="B2298">
        <v>2015</v>
      </c>
      <c r="C2298" s="14">
        <v>546</v>
      </c>
      <c r="D2298" s="14">
        <v>0</v>
      </c>
      <c r="E2298" s="14">
        <v>3528.6666666666661</v>
      </c>
      <c r="F2298" s="14">
        <v>21232</v>
      </c>
      <c r="G2298" s="14">
        <v>187.33333333333331</v>
      </c>
      <c r="H2298" s="14">
        <v>62.666666666666664</v>
      </c>
      <c r="I2298" s="14">
        <v>2068.6666666666665</v>
      </c>
      <c r="K2298" s="15"/>
    </row>
    <row r="2299" spans="1:11" ht="16.5" x14ac:dyDescent="0.2">
      <c r="A2299" s="4" t="s">
        <v>63</v>
      </c>
      <c r="B2299">
        <v>2016</v>
      </c>
      <c r="C2299" s="14">
        <v>566</v>
      </c>
      <c r="D2299" s="14">
        <v>0</v>
      </c>
      <c r="E2299" s="14">
        <v>3525.3333333333326</v>
      </c>
      <c r="F2299" s="14">
        <v>21196.666666666664</v>
      </c>
      <c r="G2299" s="14">
        <v>193.33333333333331</v>
      </c>
      <c r="H2299" s="14">
        <v>76.666666666666657</v>
      </c>
      <c r="I2299" s="14">
        <v>2067.3333333333335</v>
      </c>
    </row>
    <row r="2300" spans="1:11" ht="16.5" x14ac:dyDescent="0.2">
      <c r="A2300" s="4" t="s">
        <v>62</v>
      </c>
      <c r="B2300">
        <v>2014</v>
      </c>
      <c r="C2300" s="14">
        <v>1479.9999999999998</v>
      </c>
      <c r="D2300" s="14">
        <v>0.66666666666666663</v>
      </c>
      <c r="E2300" s="14">
        <v>7606</v>
      </c>
      <c r="F2300" s="14">
        <v>143696.66666666666</v>
      </c>
      <c r="G2300" s="14">
        <v>160.66666666666663</v>
      </c>
      <c r="H2300" s="14">
        <v>134</v>
      </c>
      <c r="I2300" s="14">
        <v>9451.9999999999982</v>
      </c>
    </row>
    <row r="2301" spans="1:11" ht="16.5" x14ac:dyDescent="0.2">
      <c r="A2301" s="4" t="s">
        <v>62</v>
      </c>
      <c r="B2301">
        <v>2015</v>
      </c>
      <c r="C2301" s="14">
        <v>1481.333333333333</v>
      </c>
      <c r="D2301" s="14">
        <v>0.66666666666666663</v>
      </c>
      <c r="E2301" s="14">
        <v>7605.3333333333321</v>
      </c>
      <c r="F2301" s="14">
        <v>143690</v>
      </c>
      <c r="G2301" s="14">
        <v>163.33333333333331</v>
      </c>
      <c r="H2301" s="14">
        <v>137.33333333333334</v>
      </c>
      <c r="I2301" s="14">
        <v>9451.9999999999982</v>
      </c>
      <c r="K2301" s="15"/>
    </row>
    <row r="2302" spans="1:11" ht="16.5" x14ac:dyDescent="0.2">
      <c r="A2302" s="4" t="s">
        <v>62</v>
      </c>
      <c r="B2302">
        <v>2016</v>
      </c>
      <c r="C2302" s="14">
        <v>1478.6666666666665</v>
      </c>
      <c r="D2302" s="14">
        <v>0.66666666666666663</v>
      </c>
      <c r="E2302" s="14">
        <v>7601.9999999999991</v>
      </c>
      <c r="F2302" s="14">
        <v>143680.66666666666</v>
      </c>
      <c r="G2302" s="14">
        <v>174.66666666666666</v>
      </c>
      <c r="H2302" s="14">
        <v>141.33333333333331</v>
      </c>
      <c r="I2302" s="14">
        <v>9451.9999999999982</v>
      </c>
    </row>
    <row r="2303" spans="1:11" ht="16.5" x14ac:dyDescent="0.2">
      <c r="A2303" s="4" t="s">
        <v>61</v>
      </c>
      <c r="B2303">
        <v>2014</v>
      </c>
      <c r="C2303" s="14">
        <v>725.33333333333326</v>
      </c>
      <c r="D2303" s="14">
        <v>1.3333333333333333</v>
      </c>
      <c r="E2303" s="14">
        <v>40785.333333333328</v>
      </c>
      <c r="F2303" s="14">
        <v>57709.999999999993</v>
      </c>
      <c r="G2303" s="14">
        <v>107.99999999999999</v>
      </c>
      <c r="H2303" s="14">
        <v>64.666666666666657</v>
      </c>
      <c r="I2303" s="14">
        <v>2570.6666666666665</v>
      </c>
      <c r="K2303" s="15"/>
    </row>
    <row r="2304" spans="1:11" ht="16.5" x14ac:dyDescent="0.2">
      <c r="A2304" s="4" t="s">
        <v>61</v>
      </c>
      <c r="B2304">
        <v>2015</v>
      </c>
      <c r="C2304" s="14">
        <v>728</v>
      </c>
      <c r="D2304" s="14">
        <v>1.3333333333333333</v>
      </c>
      <c r="E2304" s="14">
        <v>40784</v>
      </c>
      <c r="F2304" s="14">
        <v>57704</v>
      </c>
      <c r="G2304" s="14">
        <v>108.66666666666666</v>
      </c>
      <c r="H2304" s="14">
        <v>66.666666666666657</v>
      </c>
      <c r="I2304" s="14">
        <v>2570.6666666666665</v>
      </c>
    </row>
    <row r="2305" spans="1:11" ht="16.5" x14ac:dyDescent="0.2">
      <c r="A2305" s="4" t="s">
        <v>61</v>
      </c>
      <c r="B2305">
        <v>2016</v>
      </c>
      <c r="C2305" s="14">
        <v>726</v>
      </c>
      <c r="D2305" s="14">
        <v>1.3333333333333333</v>
      </c>
      <c r="E2305" s="14">
        <v>40782</v>
      </c>
      <c r="F2305" s="14">
        <v>57698</v>
      </c>
      <c r="G2305" s="14">
        <v>114.66666666666666</v>
      </c>
      <c r="H2305" s="14">
        <v>67.333333333333329</v>
      </c>
      <c r="I2305" s="14">
        <v>2574</v>
      </c>
    </row>
    <row r="2306" spans="1:11" ht="16.5" x14ac:dyDescent="0.2">
      <c r="A2306" s="4" t="s">
        <v>60</v>
      </c>
      <c r="B2306">
        <v>2015</v>
      </c>
      <c r="C2306" s="14">
        <v>539.33333333333337</v>
      </c>
      <c r="D2306" s="14">
        <v>10.666666666666666</v>
      </c>
      <c r="E2306" s="14">
        <v>64600.666666666664</v>
      </c>
      <c r="F2306" s="14">
        <v>21403.333333333332</v>
      </c>
      <c r="G2306" s="14">
        <v>120.66666666666667</v>
      </c>
      <c r="H2306" s="14">
        <v>57.999999999999993</v>
      </c>
      <c r="I2306" s="14">
        <v>6349.9999999999991</v>
      </c>
      <c r="K2306" s="15"/>
    </row>
    <row r="2307" spans="1:11" ht="16.5" x14ac:dyDescent="0.2">
      <c r="A2307" s="4" t="s">
        <v>60</v>
      </c>
      <c r="B2307">
        <v>2016</v>
      </c>
      <c r="C2307" s="14">
        <v>541.33333333333326</v>
      </c>
      <c r="D2307" s="14">
        <v>10.666666666666666</v>
      </c>
      <c r="E2307" s="14">
        <v>64595.333333333321</v>
      </c>
      <c r="F2307" s="14">
        <v>21398.666666666664</v>
      </c>
      <c r="G2307" s="14">
        <v>122</v>
      </c>
      <c r="H2307" s="14">
        <v>66</v>
      </c>
      <c r="I2307" s="14">
        <v>6349.333333333333</v>
      </c>
    </row>
    <row r="2308" spans="1:11" ht="16.5" x14ac:dyDescent="0.2">
      <c r="A2308" s="4" t="s">
        <v>59</v>
      </c>
      <c r="B2308">
        <v>2009</v>
      </c>
      <c r="C2308" s="14">
        <v>723.99999999999989</v>
      </c>
      <c r="D2308" s="14">
        <v>1.3333333333333333</v>
      </c>
      <c r="E2308" s="14">
        <v>40786.666666666664</v>
      </c>
      <c r="F2308" s="14">
        <v>57715.333333333321</v>
      </c>
      <c r="G2308" s="14">
        <v>103.33333333333333</v>
      </c>
      <c r="H2308" s="14">
        <v>63.999999999999993</v>
      </c>
      <c r="I2308" s="14">
        <v>2570.6666666666665</v>
      </c>
      <c r="K2308" s="15"/>
    </row>
    <row r="2309" spans="1:11" ht="16.5" x14ac:dyDescent="0.2">
      <c r="A2309" s="4" t="s">
        <v>59</v>
      </c>
      <c r="B2309">
        <v>2010</v>
      </c>
      <c r="C2309" s="14">
        <v>723.99999999999989</v>
      </c>
      <c r="D2309" s="14">
        <v>1.3333333333333333</v>
      </c>
      <c r="E2309" s="14">
        <v>40786.666666666664</v>
      </c>
      <c r="F2309" s="14">
        <v>57715.333333333321</v>
      </c>
      <c r="G2309" s="14">
        <v>104.66666666666667</v>
      </c>
      <c r="H2309" s="14">
        <v>64.666666666666657</v>
      </c>
      <c r="I2309" s="14">
        <v>2570.6666666666665</v>
      </c>
    </row>
    <row r="2310" spans="1:11" ht="16.5" x14ac:dyDescent="0.2">
      <c r="A2310" s="4" t="s">
        <v>59</v>
      </c>
      <c r="B2310">
        <v>2011</v>
      </c>
      <c r="C2310" s="14">
        <v>723.99999999999989</v>
      </c>
      <c r="D2310" s="14">
        <v>1.3333333333333333</v>
      </c>
      <c r="E2310" s="14">
        <v>40786.666666666664</v>
      </c>
      <c r="F2310" s="14">
        <v>57714.666666666664</v>
      </c>
      <c r="G2310" s="14">
        <v>104.66666666666667</v>
      </c>
      <c r="H2310" s="14">
        <v>64.666666666666657</v>
      </c>
      <c r="I2310" s="14">
        <v>2570.6666666666665</v>
      </c>
    </row>
    <row r="2311" spans="1:11" ht="16.5" x14ac:dyDescent="0.2">
      <c r="A2311" s="4" t="s">
        <v>59</v>
      </c>
      <c r="B2311">
        <v>2012</v>
      </c>
      <c r="C2311" s="14">
        <v>723.99999999999989</v>
      </c>
      <c r="D2311" s="14">
        <v>1.3333333333333333</v>
      </c>
      <c r="E2311" s="14">
        <v>40785.999999999993</v>
      </c>
      <c r="F2311" s="14">
        <v>57714.666666666664</v>
      </c>
      <c r="G2311" s="14">
        <v>104.66666666666667</v>
      </c>
      <c r="H2311" s="14">
        <v>64.666666666666657</v>
      </c>
      <c r="I2311" s="14">
        <v>2570.6666666666665</v>
      </c>
      <c r="K2311" s="15"/>
    </row>
    <row r="2312" spans="1:11" ht="16.5" x14ac:dyDescent="0.2">
      <c r="A2312" s="4" t="s">
        <v>59</v>
      </c>
      <c r="B2312">
        <v>2013</v>
      </c>
      <c r="C2312" s="14">
        <v>723.33333333333326</v>
      </c>
      <c r="D2312" s="14">
        <v>1.3333333333333333</v>
      </c>
      <c r="E2312" s="14">
        <v>40785.999999999993</v>
      </c>
      <c r="F2312" s="14">
        <v>57714</v>
      </c>
      <c r="G2312" s="14">
        <v>106</v>
      </c>
      <c r="H2312" s="14">
        <v>64.666666666666657</v>
      </c>
      <c r="I2312" s="14">
        <v>2570.6666666666665</v>
      </c>
    </row>
    <row r="2313" spans="1:11" ht="16.5" x14ac:dyDescent="0.2">
      <c r="A2313" s="4" t="s">
        <v>58</v>
      </c>
      <c r="B2313">
        <v>2009</v>
      </c>
      <c r="C2313" s="14">
        <v>1046.6666666666665</v>
      </c>
      <c r="D2313" s="14">
        <v>1.3333333333333333</v>
      </c>
      <c r="E2313" s="14">
        <v>36149.333333333328</v>
      </c>
      <c r="F2313" s="14">
        <v>30035.999999999996</v>
      </c>
      <c r="G2313" s="14">
        <v>180.66666666666663</v>
      </c>
      <c r="H2313" s="14">
        <v>66.666666666666657</v>
      </c>
      <c r="I2313" s="14">
        <v>3555.9999999999995</v>
      </c>
      <c r="K2313" s="15"/>
    </row>
    <row r="2314" spans="1:11" ht="16.5" x14ac:dyDescent="0.2">
      <c r="A2314" s="4" t="s">
        <v>58</v>
      </c>
      <c r="B2314">
        <v>2010</v>
      </c>
      <c r="C2314" s="14">
        <v>1046.6666666666665</v>
      </c>
      <c r="D2314" s="14">
        <v>1.9999999999999998</v>
      </c>
      <c r="E2314" s="14">
        <v>36148.666666666664</v>
      </c>
      <c r="F2314" s="14">
        <v>30034.666666666664</v>
      </c>
      <c r="G2314" s="14">
        <v>180.66666666666663</v>
      </c>
      <c r="H2314" s="14">
        <v>66.666666666666657</v>
      </c>
      <c r="I2314" s="14">
        <v>3555.9999999999995</v>
      </c>
    </row>
    <row r="2315" spans="1:11" ht="16.5" x14ac:dyDescent="0.2">
      <c r="A2315" s="4" t="s">
        <v>58</v>
      </c>
      <c r="B2315">
        <v>2011</v>
      </c>
      <c r="C2315" s="14">
        <v>1047.3333333333333</v>
      </c>
      <c r="D2315" s="14">
        <v>1.9999999999999998</v>
      </c>
      <c r="E2315" s="14">
        <v>36147.999999999993</v>
      </c>
      <c r="F2315" s="14">
        <v>30033.333333333332</v>
      </c>
      <c r="G2315" s="14">
        <v>182</v>
      </c>
      <c r="H2315" s="14">
        <v>67.333333333333329</v>
      </c>
      <c r="I2315" s="14">
        <v>3555.9999999999995</v>
      </c>
    </row>
    <row r="2316" spans="1:11" ht="16.5" x14ac:dyDescent="0.2">
      <c r="A2316" s="4" t="s">
        <v>58</v>
      </c>
      <c r="B2316">
        <v>2012</v>
      </c>
      <c r="C2316" s="14">
        <v>1047.3333333333333</v>
      </c>
      <c r="D2316" s="14">
        <v>1.9999999999999998</v>
      </c>
      <c r="E2316" s="14">
        <v>36147.999999999993</v>
      </c>
      <c r="F2316" s="14">
        <v>30033.333333333332</v>
      </c>
      <c r="G2316" s="14">
        <v>182</v>
      </c>
      <c r="H2316" s="14">
        <v>67.333333333333329</v>
      </c>
      <c r="I2316" s="14">
        <v>3555.9999999999995</v>
      </c>
      <c r="K2316" s="15"/>
    </row>
    <row r="2317" spans="1:11" ht="16.5" x14ac:dyDescent="0.2">
      <c r="A2317" s="4" t="s">
        <v>58</v>
      </c>
      <c r="B2317">
        <v>2013</v>
      </c>
      <c r="C2317" s="14">
        <v>1046.6666666666665</v>
      </c>
      <c r="D2317" s="14">
        <v>1.9999999999999998</v>
      </c>
      <c r="E2317" s="14">
        <v>36147.333333333336</v>
      </c>
      <c r="F2317" s="14">
        <v>30032.666666666661</v>
      </c>
      <c r="G2317" s="14">
        <v>183.33333333333331</v>
      </c>
      <c r="H2317" s="14">
        <v>67.333333333333329</v>
      </c>
      <c r="I2317" s="14">
        <v>3555.9999999999995</v>
      </c>
    </row>
    <row r="2318" spans="1:11" ht="16.5" x14ac:dyDescent="0.2">
      <c r="A2318" s="4" t="s">
        <v>58</v>
      </c>
      <c r="B2318">
        <v>2014</v>
      </c>
      <c r="C2318" s="14">
        <v>1048.6666666666667</v>
      </c>
      <c r="D2318" s="14">
        <v>1.9999999999999998</v>
      </c>
      <c r="E2318" s="14">
        <v>36145.333333333328</v>
      </c>
      <c r="F2318" s="14">
        <v>30029.333333333328</v>
      </c>
      <c r="G2318" s="14">
        <v>185.33333333333331</v>
      </c>
      <c r="H2318" s="14">
        <v>67.999999999999986</v>
      </c>
      <c r="I2318" s="14">
        <v>3555.9999999999995</v>
      </c>
      <c r="K2318" s="15"/>
    </row>
    <row r="2319" spans="1:11" ht="16.5" x14ac:dyDescent="0.2">
      <c r="A2319" s="4" t="s">
        <v>58</v>
      </c>
      <c r="B2319">
        <v>2015</v>
      </c>
      <c r="C2319" s="14">
        <v>1047.9999999999998</v>
      </c>
      <c r="D2319" s="14">
        <v>1.9999999999999998</v>
      </c>
      <c r="E2319" s="14">
        <v>36144</v>
      </c>
      <c r="F2319" s="14">
        <v>30028.666666666664</v>
      </c>
      <c r="G2319" s="14">
        <v>186.66666666666666</v>
      </c>
      <c r="H2319" s="14">
        <v>68.666666666666671</v>
      </c>
      <c r="I2319" s="14">
        <v>3557.333333333333</v>
      </c>
    </row>
    <row r="2320" spans="1:11" ht="16.5" x14ac:dyDescent="0.2">
      <c r="A2320" s="4" t="s">
        <v>58</v>
      </c>
      <c r="B2320">
        <v>2016</v>
      </c>
      <c r="C2320" s="14">
        <v>1046.6666666666665</v>
      </c>
      <c r="D2320" s="14">
        <v>1.9999999999999998</v>
      </c>
      <c r="E2320" s="14">
        <v>36140.666666666664</v>
      </c>
      <c r="F2320" s="14">
        <v>30025.333333333332</v>
      </c>
      <c r="G2320" s="14">
        <v>187.33333333333331</v>
      </c>
      <c r="H2320" s="14">
        <v>76</v>
      </c>
      <c r="I2320" s="14">
        <v>3557.333333333333</v>
      </c>
    </row>
    <row r="2321" spans="1:11" ht="16.5" x14ac:dyDescent="0.2">
      <c r="A2321" s="4" t="s">
        <v>57</v>
      </c>
      <c r="B2321">
        <v>2009</v>
      </c>
      <c r="C2321" s="14">
        <v>1477.9999999999998</v>
      </c>
      <c r="D2321" s="14">
        <v>0.66666666666666663</v>
      </c>
      <c r="E2321" s="14">
        <v>7609.333333333333</v>
      </c>
      <c r="F2321" s="14">
        <v>143707.33333333331</v>
      </c>
      <c r="G2321" s="14">
        <v>155.33333333333331</v>
      </c>
      <c r="H2321" s="14">
        <v>127.33333333333333</v>
      </c>
      <c r="I2321" s="14">
        <v>9452.6666666666661</v>
      </c>
      <c r="K2321" s="15"/>
    </row>
    <row r="2322" spans="1:11" ht="16.5" x14ac:dyDescent="0.2">
      <c r="A2322" s="4" t="s">
        <v>57</v>
      </c>
      <c r="B2322">
        <v>2010</v>
      </c>
      <c r="C2322" s="14">
        <v>1477.9999999999998</v>
      </c>
      <c r="D2322" s="14">
        <v>0.66666666666666663</v>
      </c>
      <c r="E2322" s="14">
        <v>7608.6666666666661</v>
      </c>
      <c r="F2322" s="14">
        <v>143707.33333333331</v>
      </c>
      <c r="G2322" s="14">
        <v>155.33333333333331</v>
      </c>
      <c r="H2322" s="14">
        <v>127.99999999999999</v>
      </c>
      <c r="I2322" s="14">
        <v>9452.6666666666661</v>
      </c>
    </row>
    <row r="2323" spans="1:11" ht="16.5" x14ac:dyDescent="0.2">
      <c r="A2323" s="4" t="s">
        <v>57</v>
      </c>
      <c r="B2323">
        <v>2011</v>
      </c>
      <c r="C2323" s="14">
        <v>1477.9999999999998</v>
      </c>
      <c r="D2323" s="14">
        <v>0.66666666666666663</v>
      </c>
      <c r="E2323" s="14">
        <v>7606.6666666666661</v>
      </c>
      <c r="F2323" s="14">
        <v>143703.99999999997</v>
      </c>
      <c r="G2323" s="14">
        <v>157.33333333333331</v>
      </c>
      <c r="H2323" s="14">
        <v>131.33333333333331</v>
      </c>
      <c r="I2323" s="14">
        <v>9452.6666666666661</v>
      </c>
      <c r="K2323" s="15"/>
    </row>
    <row r="2324" spans="1:11" ht="16.5" x14ac:dyDescent="0.2">
      <c r="A2324" s="4" t="s">
        <v>57</v>
      </c>
      <c r="B2324">
        <v>2012</v>
      </c>
      <c r="C2324" s="14">
        <v>1477.3333333333333</v>
      </c>
      <c r="D2324" s="14">
        <v>0.66666666666666663</v>
      </c>
      <c r="E2324" s="14">
        <v>7606.6666666666661</v>
      </c>
      <c r="F2324" s="14">
        <v>143702.66666666666</v>
      </c>
      <c r="G2324" s="14">
        <v>158.66666666666666</v>
      </c>
      <c r="H2324" s="14">
        <v>132</v>
      </c>
      <c r="I2324" s="14">
        <v>9452.6666666666661</v>
      </c>
    </row>
    <row r="2325" spans="1:11" ht="16.5" x14ac:dyDescent="0.2">
      <c r="A2325" s="4" t="s">
        <v>57</v>
      </c>
      <c r="B2325">
        <v>2013</v>
      </c>
      <c r="C2325" s="14">
        <v>1476.6666666666665</v>
      </c>
      <c r="D2325" s="14">
        <v>0.66666666666666663</v>
      </c>
      <c r="E2325" s="14">
        <v>7606.6666666666661</v>
      </c>
      <c r="F2325" s="14">
        <v>143700</v>
      </c>
      <c r="G2325" s="14">
        <v>160</v>
      </c>
      <c r="H2325" s="14">
        <v>133.33333333333331</v>
      </c>
      <c r="I2325" s="14">
        <v>9452.6666666666661</v>
      </c>
    </row>
    <row r="2326" spans="1:11" ht="16.5" x14ac:dyDescent="0.2">
      <c r="A2326" s="4" t="s">
        <v>56</v>
      </c>
      <c r="B2326">
        <v>2009</v>
      </c>
      <c r="C2326" s="14">
        <v>53.999999999999993</v>
      </c>
      <c r="D2326" s="14">
        <v>0</v>
      </c>
      <c r="E2326" s="14">
        <v>4187.333333333333</v>
      </c>
      <c r="F2326" s="14">
        <v>308953.99999999994</v>
      </c>
      <c r="G2326" s="14">
        <v>109.33333333333334</v>
      </c>
      <c r="H2326" s="14">
        <v>161.33333333333331</v>
      </c>
      <c r="I2326" s="14">
        <v>27618.666666666664</v>
      </c>
      <c r="K2326" s="15"/>
    </row>
    <row r="2327" spans="1:11" ht="16.5" x14ac:dyDescent="0.2">
      <c r="A2327" s="4" t="s">
        <v>56</v>
      </c>
      <c r="B2327">
        <v>2010</v>
      </c>
      <c r="C2327" s="14">
        <v>52.666666666666664</v>
      </c>
      <c r="D2327" s="14">
        <v>0</v>
      </c>
      <c r="E2327" s="14">
        <v>4187.333333333333</v>
      </c>
      <c r="F2327" s="14">
        <v>308953.99999999994</v>
      </c>
      <c r="G2327" s="14">
        <v>109.33333333333334</v>
      </c>
      <c r="H2327" s="14">
        <v>162</v>
      </c>
      <c r="I2327" s="14">
        <v>27618.666666666664</v>
      </c>
    </row>
    <row r="2328" spans="1:11" ht="16.5" x14ac:dyDescent="0.2">
      <c r="A2328" s="4" t="s">
        <v>56</v>
      </c>
      <c r="B2328">
        <v>2011</v>
      </c>
      <c r="C2328" s="14">
        <v>52.666666666666664</v>
      </c>
      <c r="D2328" s="14">
        <v>0</v>
      </c>
      <c r="E2328" s="14">
        <v>4187.333333333333</v>
      </c>
      <c r="F2328" s="14">
        <v>308953.33333333331</v>
      </c>
      <c r="G2328" s="14">
        <v>109.99999999999999</v>
      </c>
      <c r="H2328" s="14">
        <v>162.66666666666663</v>
      </c>
      <c r="I2328" s="14">
        <v>27618.666666666664</v>
      </c>
      <c r="K2328" s="15"/>
    </row>
    <row r="2329" spans="1:11" ht="16.5" x14ac:dyDescent="0.2">
      <c r="A2329" s="4" t="s">
        <v>56</v>
      </c>
      <c r="B2329">
        <v>2012</v>
      </c>
      <c r="C2329" s="14">
        <v>52.666666666666664</v>
      </c>
      <c r="D2329" s="14">
        <v>0</v>
      </c>
      <c r="E2329" s="14">
        <v>4161.333333333333</v>
      </c>
      <c r="F2329" s="14">
        <v>308977.99999999994</v>
      </c>
      <c r="G2329" s="14">
        <v>110.66666666666667</v>
      </c>
      <c r="H2329" s="14">
        <v>162.66666666666663</v>
      </c>
      <c r="I2329" s="14">
        <v>27618.666666666664</v>
      </c>
    </row>
    <row r="2330" spans="1:11" ht="16.5" x14ac:dyDescent="0.2">
      <c r="A2330" s="4" t="s">
        <v>56</v>
      </c>
      <c r="B2330">
        <v>2013</v>
      </c>
      <c r="C2330" s="14">
        <v>52.666666666666664</v>
      </c>
      <c r="D2330" s="14">
        <v>0</v>
      </c>
      <c r="E2330" s="14">
        <v>4161.333333333333</v>
      </c>
      <c r="F2330" s="14">
        <v>308976.66666666663</v>
      </c>
      <c r="G2330" s="14">
        <v>112</v>
      </c>
      <c r="H2330" s="14">
        <v>163.33333333333331</v>
      </c>
      <c r="I2330" s="14">
        <v>27617.999999999996</v>
      </c>
    </row>
    <row r="2331" spans="1:11" ht="16.5" x14ac:dyDescent="0.2">
      <c r="A2331" s="4" t="s">
        <v>56</v>
      </c>
      <c r="B2331">
        <v>2014</v>
      </c>
      <c r="C2331" s="14">
        <v>52.666666666666664</v>
      </c>
      <c r="D2331" s="14">
        <v>0</v>
      </c>
      <c r="E2331" s="14">
        <v>4161.333333333333</v>
      </c>
      <c r="F2331" s="14">
        <v>308972</v>
      </c>
      <c r="G2331" s="14">
        <v>114</v>
      </c>
      <c r="H2331" s="14">
        <v>165.99999999999997</v>
      </c>
      <c r="I2331" s="14">
        <v>27617.999999999996</v>
      </c>
      <c r="K2331" s="15"/>
    </row>
    <row r="2332" spans="1:11" ht="16.5" x14ac:dyDescent="0.2">
      <c r="A2332" s="4" t="s">
        <v>56</v>
      </c>
      <c r="B2332">
        <v>2015</v>
      </c>
      <c r="C2332" s="14">
        <v>52.666666666666664</v>
      </c>
      <c r="D2332" s="14">
        <v>0</v>
      </c>
      <c r="E2332" s="14">
        <v>4161.333333333333</v>
      </c>
      <c r="F2332" s="14">
        <v>308967.33333333331</v>
      </c>
      <c r="G2332" s="14">
        <v>115.99999999999999</v>
      </c>
      <c r="H2332" s="14">
        <v>167.99999999999997</v>
      </c>
      <c r="I2332" s="14">
        <v>27617.999999999996</v>
      </c>
    </row>
    <row r="2333" spans="1:11" ht="16.5" x14ac:dyDescent="0.2">
      <c r="A2333" s="4" t="s">
        <v>56</v>
      </c>
      <c r="B2333">
        <v>2016</v>
      </c>
      <c r="C2333" s="14">
        <v>51.999999999999993</v>
      </c>
      <c r="D2333" s="14">
        <v>0</v>
      </c>
      <c r="E2333" s="14">
        <v>4161.333333333333</v>
      </c>
      <c r="F2333" s="14">
        <v>308960</v>
      </c>
      <c r="G2333" s="14">
        <v>118.66666666666666</v>
      </c>
      <c r="H2333" s="14">
        <v>172</v>
      </c>
      <c r="I2333" s="14">
        <v>27617.999999999996</v>
      </c>
      <c r="K2333" s="15"/>
    </row>
    <row r="2334" spans="1:11" ht="16.5" x14ac:dyDescent="0.2">
      <c r="A2334" s="4" t="s">
        <v>55</v>
      </c>
      <c r="B2334">
        <v>2009</v>
      </c>
      <c r="C2334" s="14">
        <v>35.333333333333329</v>
      </c>
      <c r="D2334" s="14">
        <v>0.66666666666666663</v>
      </c>
      <c r="E2334" s="14">
        <v>3441.9999999999995</v>
      </c>
      <c r="F2334" s="14">
        <v>260212</v>
      </c>
      <c r="G2334" s="14">
        <v>56</v>
      </c>
      <c r="H2334" s="14">
        <v>160.66666666666666</v>
      </c>
      <c r="I2334" s="14">
        <v>17793.333333333332</v>
      </c>
    </row>
    <row r="2335" spans="1:11" ht="16.5" x14ac:dyDescent="0.2">
      <c r="A2335" s="4" t="s">
        <v>55</v>
      </c>
      <c r="B2335">
        <v>2010</v>
      </c>
      <c r="C2335" s="14">
        <v>35.333333333333329</v>
      </c>
      <c r="D2335" s="14">
        <v>0.66666666666666663</v>
      </c>
      <c r="E2335" s="14">
        <v>3441.9999999999995</v>
      </c>
      <c r="F2335" s="14">
        <v>260212</v>
      </c>
      <c r="G2335" s="14">
        <v>56.666666666666664</v>
      </c>
      <c r="H2335" s="14">
        <v>161.33333333333331</v>
      </c>
      <c r="I2335" s="14">
        <v>17793.333333333332</v>
      </c>
    </row>
    <row r="2336" spans="1:11" ht="16.5" x14ac:dyDescent="0.2">
      <c r="A2336" s="4" t="s">
        <v>55</v>
      </c>
      <c r="B2336">
        <v>2011</v>
      </c>
      <c r="C2336" s="14">
        <v>35.333333333333329</v>
      </c>
      <c r="D2336" s="14">
        <v>0.66666666666666663</v>
      </c>
      <c r="E2336" s="14">
        <v>3441.9999999999995</v>
      </c>
      <c r="F2336" s="14">
        <v>260209.99999999997</v>
      </c>
      <c r="G2336" s="14">
        <v>57.333333333333329</v>
      </c>
      <c r="H2336" s="14">
        <v>162</v>
      </c>
      <c r="I2336" s="14">
        <v>17792.666666666664</v>
      </c>
      <c r="K2336" s="15"/>
    </row>
    <row r="2337" spans="1:11" ht="16.5" x14ac:dyDescent="0.2">
      <c r="A2337" s="4" t="s">
        <v>55</v>
      </c>
      <c r="B2337">
        <v>2012</v>
      </c>
      <c r="C2337" s="14">
        <v>35.333333333333329</v>
      </c>
      <c r="D2337" s="14">
        <v>0.66666666666666663</v>
      </c>
      <c r="E2337" s="14">
        <v>3441.9999999999995</v>
      </c>
      <c r="F2337" s="14">
        <v>260209.33333333331</v>
      </c>
      <c r="G2337" s="14">
        <v>58.666666666666664</v>
      </c>
      <c r="H2337" s="14">
        <v>162</v>
      </c>
      <c r="I2337" s="14">
        <v>17792.666666666664</v>
      </c>
    </row>
    <row r="2338" spans="1:11" ht="16.5" x14ac:dyDescent="0.2">
      <c r="A2338" s="4" t="s">
        <v>55</v>
      </c>
      <c r="B2338">
        <v>2013</v>
      </c>
      <c r="C2338" s="14">
        <v>35.333333333333329</v>
      </c>
      <c r="D2338" s="14">
        <v>0.66666666666666663</v>
      </c>
      <c r="E2338" s="14">
        <v>3441.9999999999995</v>
      </c>
      <c r="F2338" s="14">
        <v>260206</v>
      </c>
      <c r="G2338" s="14">
        <v>59.333333333333321</v>
      </c>
      <c r="H2338" s="14">
        <v>164.66666666666666</v>
      </c>
      <c r="I2338" s="14">
        <v>17792.666666666664</v>
      </c>
      <c r="K2338" s="15"/>
    </row>
    <row r="2339" spans="1:11" ht="16.5" x14ac:dyDescent="0.2">
      <c r="A2339" s="4" t="s">
        <v>55</v>
      </c>
      <c r="B2339">
        <v>2014</v>
      </c>
      <c r="C2339" s="14">
        <v>35.333333333333329</v>
      </c>
      <c r="D2339" s="14">
        <v>0.66666666666666663</v>
      </c>
      <c r="E2339" s="14">
        <v>3441.9999999999995</v>
      </c>
      <c r="F2339" s="14">
        <v>260205.33333333334</v>
      </c>
      <c r="G2339" s="14">
        <v>59.999999999999993</v>
      </c>
      <c r="H2339" s="14">
        <v>164.66666666666666</v>
      </c>
      <c r="I2339" s="14">
        <v>17792.666666666664</v>
      </c>
    </row>
    <row r="2340" spans="1:11" ht="16.5" x14ac:dyDescent="0.2">
      <c r="A2340" s="4" t="s">
        <v>55</v>
      </c>
      <c r="B2340">
        <v>2015</v>
      </c>
      <c r="C2340" s="14">
        <v>35.333333333333329</v>
      </c>
      <c r="D2340" s="14">
        <v>0.66666666666666663</v>
      </c>
      <c r="E2340" s="14">
        <v>3441.3333333333335</v>
      </c>
      <c r="F2340" s="14">
        <v>260199.99999999997</v>
      </c>
      <c r="G2340" s="14">
        <v>63.333333333333329</v>
      </c>
      <c r="H2340" s="14">
        <v>165.99999999999997</v>
      </c>
      <c r="I2340" s="14">
        <v>17792.666666666664</v>
      </c>
    </row>
    <row r="2341" spans="1:11" ht="16.5" x14ac:dyDescent="0.2">
      <c r="A2341" s="4" t="s">
        <v>55</v>
      </c>
      <c r="B2341">
        <v>2016</v>
      </c>
      <c r="C2341" s="14">
        <v>35.333333333333329</v>
      </c>
      <c r="D2341" s="14">
        <v>0.66666666666666663</v>
      </c>
      <c r="E2341" s="14">
        <v>3441.3333333333335</v>
      </c>
      <c r="F2341" s="14">
        <v>260195.33333333334</v>
      </c>
      <c r="G2341" s="14">
        <v>64.666666666666657</v>
      </c>
      <c r="H2341" s="14">
        <v>166.66666666666666</v>
      </c>
      <c r="I2341" s="14">
        <v>17795.333333333332</v>
      </c>
      <c r="K2341" s="15"/>
    </row>
    <row r="2342" spans="1:11" ht="16.5" x14ac:dyDescent="0.2">
      <c r="A2342" s="4" t="s">
        <v>54</v>
      </c>
      <c r="B2342">
        <v>2009</v>
      </c>
      <c r="C2342" s="14">
        <v>538.66666666666663</v>
      </c>
      <c r="D2342" s="14">
        <v>10.666666666666666</v>
      </c>
      <c r="E2342" s="14">
        <v>64611.999999999993</v>
      </c>
      <c r="F2342" s="14">
        <v>21411.333333333328</v>
      </c>
      <c r="G2342" s="14">
        <v>115.33333333333333</v>
      </c>
      <c r="H2342" s="14">
        <v>47.333333333333329</v>
      </c>
      <c r="I2342" s="14">
        <v>6349.9999999999991</v>
      </c>
    </row>
    <row r="2343" spans="1:11" ht="16.5" x14ac:dyDescent="0.2">
      <c r="A2343" s="4" t="s">
        <v>54</v>
      </c>
      <c r="B2343">
        <v>2010</v>
      </c>
      <c r="C2343" s="14">
        <v>538</v>
      </c>
      <c r="D2343" s="14">
        <v>10.666666666666666</v>
      </c>
      <c r="E2343" s="14">
        <v>64611.333333333336</v>
      </c>
      <c r="F2343" s="14">
        <v>21410.666666666664</v>
      </c>
      <c r="G2343" s="14">
        <v>116</v>
      </c>
      <c r="H2343" s="14">
        <v>47.333333333333329</v>
      </c>
      <c r="I2343" s="14">
        <v>6349.9999999999991</v>
      </c>
      <c r="K2343" s="15"/>
    </row>
    <row r="2344" spans="1:11" ht="16.5" x14ac:dyDescent="0.2">
      <c r="A2344" s="4" t="s">
        <v>54</v>
      </c>
      <c r="B2344">
        <v>2011</v>
      </c>
      <c r="C2344" s="14">
        <v>538</v>
      </c>
      <c r="D2344" s="14">
        <v>10.666666666666666</v>
      </c>
      <c r="E2344" s="14">
        <v>64610.666666666664</v>
      </c>
      <c r="F2344" s="14">
        <v>21409.999999999996</v>
      </c>
      <c r="G2344" s="14">
        <v>116.66666666666666</v>
      </c>
      <c r="H2344" s="14">
        <v>48</v>
      </c>
      <c r="I2344" s="14">
        <v>6349.9999999999991</v>
      </c>
    </row>
    <row r="2345" spans="1:11" ht="16.5" x14ac:dyDescent="0.2">
      <c r="A2345" s="4" t="s">
        <v>54</v>
      </c>
      <c r="B2345">
        <v>2012</v>
      </c>
      <c r="C2345" s="14">
        <v>538</v>
      </c>
      <c r="D2345" s="14">
        <v>10.666666666666666</v>
      </c>
      <c r="E2345" s="14">
        <v>64609.999999999993</v>
      </c>
      <c r="F2345" s="14">
        <v>21409.999999999996</v>
      </c>
      <c r="G2345" s="14">
        <v>117.33333333333333</v>
      </c>
      <c r="H2345" s="14">
        <v>48</v>
      </c>
      <c r="I2345" s="14">
        <v>6349.9999999999991</v>
      </c>
    </row>
    <row r="2346" spans="1:11" ht="16.5" x14ac:dyDescent="0.2">
      <c r="A2346" s="4" t="s">
        <v>54</v>
      </c>
      <c r="B2346">
        <v>2013</v>
      </c>
      <c r="C2346" s="14">
        <v>538</v>
      </c>
      <c r="D2346" s="14">
        <v>10.666666666666666</v>
      </c>
      <c r="E2346" s="14">
        <v>64608.666666666657</v>
      </c>
      <c r="F2346" s="14">
        <v>21408.666666666664</v>
      </c>
      <c r="G2346" s="14">
        <v>118.00000000000001</v>
      </c>
      <c r="H2346" s="14">
        <v>49.333333333333329</v>
      </c>
      <c r="I2346" s="14">
        <v>6349.9999999999991</v>
      </c>
      <c r="K2346" s="15"/>
    </row>
    <row r="2347" spans="1:11" ht="16.5" x14ac:dyDescent="0.2">
      <c r="A2347" s="4" t="s">
        <v>54</v>
      </c>
      <c r="B2347">
        <v>2014</v>
      </c>
      <c r="C2347" s="14">
        <v>538</v>
      </c>
      <c r="D2347" s="14">
        <v>10.666666666666666</v>
      </c>
      <c r="E2347" s="14">
        <v>64604</v>
      </c>
      <c r="F2347" s="14">
        <v>21405.333333333332</v>
      </c>
      <c r="G2347" s="14">
        <v>119.99999999999999</v>
      </c>
      <c r="H2347" s="14">
        <v>57.333333333333329</v>
      </c>
      <c r="I2347" s="14">
        <v>6348</v>
      </c>
    </row>
    <row r="2348" spans="1:11" ht="16.5" x14ac:dyDescent="0.2">
      <c r="A2348" s="4" t="s">
        <v>53</v>
      </c>
      <c r="B2348">
        <v>2009</v>
      </c>
      <c r="C2348" s="14">
        <v>3021.333333333333</v>
      </c>
      <c r="D2348" s="14">
        <v>321.99999999999994</v>
      </c>
      <c r="E2348" s="14">
        <v>4830.6666666666661</v>
      </c>
      <c r="F2348" s="14">
        <v>236.66666666666666</v>
      </c>
      <c r="G2348" s="14">
        <v>1171.3333333333333</v>
      </c>
      <c r="H2348" s="14">
        <v>198.66666666666666</v>
      </c>
      <c r="I2348" s="14">
        <v>214</v>
      </c>
      <c r="K2348" s="15"/>
    </row>
    <row r="2349" spans="1:11" ht="16.5" x14ac:dyDescent="0.2">
      <c r="A2349" s="4" t="s">
        <v>53</v>
      </c>
      <c r="B2349">
        <v>2010</v>
      </c>
      <c r="C2349" s="14">
        <v>2989.9999999999995</v>
      </c>
      <c r="D2349" s="14">
        <v>315.99999999999994</v>
      </c>
      <c r="E2349" s="14">
        <v>4827.333333333333</v>
      </c>
      <c r="F2349" s="14">
        <v>236.66666666666666</v>
      </c>
      <c r="G2349" s="14">
        <v>1203.9999999999998</v>
      </c>
      <c r="H2349" s="14">
        <v>207.99999999999997</v>
      </c>
      <c r="I2349" s="14">
        <v>213.33333333333331</v>
      </c>
    </row>
    <row r="2350" spans="1:11" ht="16.5" x14ac:dyDescent="0.2">
      <c r="A2350" s="4" t="s">
        <v>53</v>
      </c>
      <c r="B2350">
        <v>2011</v>
      </c>
      <c r="C2350" s="14">
        <v>2965.333333333333</v>
      </c>
      <c r="D2350" s="14">
        <v>308</v>
      </c>
      <c r="E2350" s="14">
        <v>4815.9999999999991</v>
      </c>
      <c r="F2350" s="14">
        <v>237.33333333333331</v>
      </c>
      <c r="G2350" s="14">
        <v>1241.9999999999998</v>
      </c>
      <c r="H2350" s="14">
        <v>215.33333333333329</v>
      </c>
      <c r="I2350" s="14">
        <v>209.33333333333331</v>
      </c>
    </row>
    <row r="2351" spans="1:11" ht="16.5" x14ac:dyDescent="0.2">
      <c r="A2351" s="4" t="s">
        <v>53</v>
      </c>
      <c r="B2351">
        <v>2012</v>
      </c>
      <c r="C2351" s="14">
        <v>2924</v>
      </c>
      <c r="D2351" s="14">
        <v>297.33333333333331</v>
      </c>
      <c r="E2351" s="14">
        <v>4811.333333333333</v>
      </c>
      <c r="F2351" s="14">
        <v>237.33333333333331</v>
      </c>
      <c r="G2351" s="14">
        <v>1293.3333333333333</v>
      </c>
      <c r="H2351" s="14">
        <v>220.66666666666666</v>
      </c>
      <c r="I2351" s="14">
        <v>207.33333333333331</v>
      </c>
      <c r="K2351" s="15"/>
    </row>
    <row r="2352" spans="1:11" ht="16.5" x14ac:dyDescent="0.2">
      <c r="A2352" s="4" t="s">
        <v>53</v>
      </c>
      <c r="B2352">
        <v>2013</v>
      </c>
      <c r="C2352" s="14">
        <v>2895.9999999999995</v>
      </c>
      <c r="D2352" s="14">
        <v>294.66666666666669</v>
      </c>
      <c r="E2352" s="14">
        <v>4808.6666666666661</v>
      </c>
      <c r="F2352" s="14">
        <v>235.33333333333329</v>
      </c>
      <c r="G2352" s="14">
        <v>1322.6666666666663</v>
      </c>
      <c r="H2352" s="14">
        <v>224.66666666666666</v>
      </c>
      <c r="I2352" s="14">
        <v>206.66666666666666</v>
      </c>
    </row>
    <row r="2353" spans="1:11" ht="16.5" x14ac:dyDescent="0.2">
      <c r="A2353" s="4" t="s">
        <v>53</v>
      </c>
      <c r="B2353">
        <v>2014</v>
      </c>
      <c r="C2353" s="14">
        <v>2849.9999999999995</v>
      </c>
      <c r="D2353" s="14">
        <v>284.66666666666669</v>
      </c>
      <c r="E2353" s="14">
        <v>4807.333333333333</v>
      </c>
      <c r="F2353" s="14">
        <v>234</v>
      </c>
      <c r="G2353" s="14">
        <v>1367.3333333333333</v>
      </c>
      <c r="H2353" s="14">
        <v>234.66666666666666</v>
      </c>
      <c r="I2353" s="14">
        <v>205.33333333333331</v>
      </c>
      <c r="K2353" s="15"/>
    </row>
    <row r="2354" spans="1:11" ht="16.5" x14ac:dyDescent="0.2">
      <c r="A2354" s="4" t="s">
        <v>53</v>
      </c>
      <c r="B2354">
        <v>2015</v>
      </c>
      <c r="C2354" s="14">
        <v>2825.333333333333</v>
      </c>
      <c r="D2354" s="14">
        <v>281.99999999999994</v>
      </c>
      <c r="E2354" s="14">
        <v>4807.333333333333</v>
      </c>
      <c r="F2354" s="14">
        <v>234</v>
      </c>
      <c r="G2354" s="14">
        <v>1393.3333333333333</v>
      </c>
      <c r="H2354" s="14">
        <v>235.99999999999997</v>
      </c>
      <c r="I2354" s="14">
        <v>205.33333333333331</v>
      </c>
    </row>
    <row r="2355" spans="1:11" ht="16.5" x14ac:dyDescent="0.2">
      <c r="A2355" s="4" t="s">
        <v>53</v>
      </c>
      <c r="B2355">
        <v>2016</v>
      </c>
      <c r="C2355" s="14">
        <v>2799.333333333333</v>
      </c>
      <c r="D2355" s="14">
        <v>278.66666666666663</v>
      </c>
      <c r="E2355" s="14">
        <v>4805.9999999999991</v>
      </c>
      <c r="F2355" s="14">
        <v>234</v>
      </c>
      <c r="G2355" s="14">
        <v>1420.6666666666663</v>
      </c>
      <c r="H2355" s="14">
        <v>238</v>
      </c>
      <c r="I2355" s="14">
        <v>205.33333333333331</v>
      </c>
    </row>
    <row r="2356" spans="1:11" ht="16.5" x14ac:dyDescent="0.2">
      <c r="A2356" s="4" t="s">
        <v>52</v>
      </c>
      <c r="B2356">
        <v>2009</v>
      </c>
      <c r="C2356" s="14">
        <v>988.66666666666663</v>
      </c>
      <c r="D2356" s="14">
        <v>201.33333333333331</v>
      </c>
      <c r="E2356" s="14">
        <v>2030.6666666666667</v>
      </c>
      <c r="F2356" s="14">
        <v>352.66666666666663</v>
      </c>
      <c r="G2356" s="14">
        <v>167.33333333333331</v>
      </c>
      <c r="H2356" s="14">
        <v>56</v>
      </c>
      <c r="I2356" s="14">
        <v>25.999999999999996</v>
      </c>
      <c r="K2356" s="15"/>
    </row>
    <row r="2357" spans="1:11" ht="16.5" x14ac:dyDescent="0.2">
      <c r="A2357" s="4" t="s">
        <v>52</v>
      </c>
      <c r="B2357">
        <v>2010</v>
      </c>
      <c r="C2357" s="14">
        <v>987.33333333333326</v>
      </c>
      <c r="D2357" s="14">
        <v>199.33333333333331</v>
      </c>
      <c r="E2357" s="14">
        <v>2028.6666666666665</v>
      </c>
      <c r="F2357" s="14">
        <v>351.33333333333331</v>
      </c>
      <c r="G2357" s="14">
        <v>171.33333333333334</v>
      </c>
      <c r="H2357" s="14">
        <v>56.666666666666664</v>
      </c>
      <c r="I2357" s="14">
        <v>27.333333333333329</v>
      </c>
    </row>
    <row r="2358" spans="1:11" ht="16.5" x14ac:dyDescent="0.2">
      <c r="A2358" s="4" t="s">
        <v>52</v>
      </c>
      <c r="B2358">
        <v>2011</v>
      </c>
      <c r="C2358" s="14">
        <v>984.66666666666652</v>
      </c>
      <c r="D2358" s="14">
        <v>199.99999999999997</v>
      </c>
      <c r="E2358" s="14">
        <v>2027.9999999999998</v>
      </c>
      <c r="F2358" s="14">
        <v>351.99999999999994</v>
      </c>
      <c r="G2358" s="14">
        <v>172.66666666666663</v>
      </c>
      <c r="H2358" s="14">
        <v>56.666666666666664</v>
      </c>
      <c r="I2358" s="14">
        <v>28.666666666666664</v>
      </c>
      <c r="K2358" s="15"/>
    </row>
    <row r="2359" spans="1:11" ht="16.5" x14ac:dyDescent="0.2">
      <c r="A2359" s="4" t="s">
        <v>52</v>
      </c>
      <c r="B2359">
        <v>2012</v>
      </c>
      <c r="C2359" s="14">
        <v>979.33333333333326</v>
      </c>
      <c r="D2359" s="14">
        <v>199.99999999999997</v>
      </c>
      <c r="E2359" s="14">
        <v>2025.9999999999998</v>
      </c>
      <c r="F2359" s="14">
        <v>351.99999999999994</v>
      </c>
      <c r="G2359" s="14">
        <v>177.33333333333331</v>
      </c>
      <c r="H2359" s="14">
        <v>58.666666666666664</v>
      </c>
      <c r="I2359" s="14">
        <v>28.666666666666664</v>
      </c>
    </row>
    <row r="2360" spans="1:11" ht="16.5" x14ac:dyDescent="0.2">
      <c r="A2360" s="4" t="s">
        <v>52</v>
      </c>
      <c r="B2360">
        <v>2013</v>
      </c>
      <c r="C2360" s="14">
        <v>980.66666666666652</v>
      </c>
      <c r="D2360" s="14">
        <v>199.33333333333331</v>
      </c>
      <c r="E2360" s="14">
        <v>2023.3333333333333</v>
      </c>
      <c r="F2360" s="14">
        <v>348</v>
      </c>
      <c r="G2360" s="14">
        <v>179.33333333333334</v>
      </c>
      <c r="H2360" s="14">
        <v>62</v>
      </c>
      <c r="I2360" s="14">
        <v>28</v>
      </c>
    </row>
    <row r="2361" spans="1:11" ht="16.5" x14ac:dyDescent="0.2">
      <c r="A2361" s="4" t="s">
        <v>52</v>
      </c>
      <c r="B2361">
        <v>2014</v>
      </c>
      <c r="C2361" s="14">
        <v>982.66666666666663</v>
      </c>
      <c r="D2361" s="14">
        <v>198.66666666666666</v>
      </c>
      <c r="E2361" s="14">
        <v>2021.333333333333</v>
      </c>
      <c r="F2361" s="14">
        <v>345.99999999999994</v>
      </c>
      <c r="G2361" s="14">
        <v>179.99999999999997</v>
      </c>
      <c r="H2361" s="14">
        <v>63.999999999999993</v>
      </c>
      <c r="I2361" s="14">
        <v>28</v>
      </c>
      <c r="K2361" s="15"/>
    </row>
    <row r="2362" spans="1:11" ht="16.5" x14ac:dyDescent="0.2">
      <c r="A2362" s="4" t="s">
        <v>52</v>
      </c>
      <c r="B2362">
        <v>2015</v>
      </c>
      <c r="C2362" s="14">
        <v>980.66666666666652</v>
      </c>
      <c r="D2362" s="14">
        <v>197.99999999999997</v>
      </c>
      <c r="E2362" s="14">
        <v>2021.333333333333</v>
      </c>
      <c r="F2362" s="14">
        <v>345.99999999999994</v>
      </c>
      <c r="G2362" s="14">
        <v>182.66666666666666</v>
      </c>
      <c r="H2362" s="14">
        <v>64.666666666666657</v>
      </c>
      <c r="I2362" s="14">
        <v>28</v>
      </c>
    </row>
    <row r="2363" spans="1:11" ht="16.5" x14ac:dyDescent="0.2">
      <c r="A2363" s="4" t="s">
        <v>52</v>
      </c>
      <c r="B2363">
        <v>2016</v>
      </c>
      <c r="C2363" s="14">
        <v>982</v>
      </c>
      <c r="D2363" s="14">
        <v>197.33333333333331</v>
      </c>
      <c r="E2363" s="14">
        <v>2017.3333333333333</v>
      </c>
      <c r="F2363" s="14">
        <v>347.33333333333331</v>
      </c>
      <c r="G2363" s="14">
        <v>183.33333333333331</v>
      </c>
      <c r="H2363" s="14">
        <v>64.666666666666657</v>
      </c>
      <c r="I2363" s="14">
        <v>28</v>
      </c>
      <c r="K2363" s="15"/>
    </row>
    <row r="2364" spans="1:11" ht="16.5" x14ac:dyDescent="0.2">
      <c r="A2364" s="4" t="s">
        <v>51</v>
      </c>
      <c r="B2364">
        <v>2009</v>
      </c>
      <c r="C2364" s="14">
        <v>3628</v>
      </c>
      <c r="D2364" s="14">
        <v>431.99999999999994</v>
      </c>
      <c r="E2364" s="14">
        <v>11803.333333333332</v>
      </c>
      <c r="F2364" s="14">
        <v>901.33333333333314</v>
      </c>
      <c r="G2364" s="14">
        <v>648</v>
      </c>
      <c r="H2364" s="14">
        <v>214.66666666666666</v>
      </c>
      <c r="I2364" s="14">
        <v>260.66666666666663</v>
      </c>
    </row>
    <row r="2365" spans="1:11" ht="16.5" x14ac:dyDescent="0.2">
      <c r="A2365" s="4" t="s">
        <v>51</v>
      </c>
      <c r="B2365">
        <v>2010</v>
      </c>
      <c r="C2365" s="14">
        <v>3621.3333333333335</v>
      </c>
      <c r="D2365" s="14">
        <v>431.33333333333331</v>
      </c>
      <c r="E2365" s="14">
        <v>11797.333333333332</v>
      </c>
      <c r="F2365" s="14">
        <v>898.66666666666663</v>
      </c>
      <c r="G2365" s="14">
        <v>657.33333333333326</v>
      </c>
      <c r="H2365" s="14">
        <v>217.33333333333331</v>
      </c>
      <c r="I2365" s="14">
        <v>263.33333333333331</v>
      </c>
    </row>
    <row r="2366" spans="1:11" ht="16.5" x14ac:dyDescent="0.2">
      <c r="A2366" s="4" t="s">
        <v>51</v>
      </c>
      <c r="B2366">
        <v>2011</v>
      </c>
      <c r="C2366" s="14">
        <v>3628</v>
      </c>
      <c r="D2366" s="14">
        <v>429.99999999999994</v>
      </c>
      <c r="E2366" s="14">
        <v>11790.666666666664</v>
      </c>
      <c r="F2366" s="14">
        <v>897.33333333333326</v>
      </c>
      <c r="G2366" s="14">
        <v>665.33333333333326</v>
      </c>
      <c r="H2366" s="14">
        <v>219.33333333333331</v>
      </c>
      <c r="I2366" s="14">
        <v>255.33333333333329</v>
      </c>
      <c r="K2366" s="15"/>
    </row>
    <row r="2367" spans="1:11" ht="16.5" x14ac:dyDescent="0.2">
      <c r="A2367" s="4" t="s">
        <v>51</v>
      </c>
      <c r="B2367">
        <v>2012</v>
      </c>
      <c r="C2367" s="14">
        <v>3615.9999999999995</v>
      </c>
      <c r="D2367" s="14">
        <v>419.99999999999994</v>
      </c>
      <c r="E2367" s="14">
        <v>11783.333333333332</v>
      </c>
      <c r="F2367" s="14">
        <v>896</v>
      </c>
      <c r="G2367" s="14">
        <v>691.33333333333337</v>
      </c>
      <c r="H2367" s="14">
        <v>222.66666666666663</v>
      </c>
      <c r="I2367" s="14">
        <v>254.66666666666666</v>
      </c>
    </row>
    <row r="2368" spans="1:11" ht="16.5" x14ac:dyDescent="0.2">
      <c r="A2368" s="4" t="s">
        <v>51</v>
      </c>
      <c r="B2368">
        <v>2013</v>
      </c>
      <c r="C2368" s="14">
        <v>3611.9999999999995</v>
      </c>
      <c r="D2368" s="14">
        <v>413.33333333333331</v>
      </c>
      <c r="E2368" s="14">
        <v>11779.999999999998</v>
      </c>
      <c r="F2368" s="14">
        <v>897.33333333333326</v>
      </c>
      <c r="G2368" s="14">
        <v>703.33333333333326</v>
      </c>
      <c r="H2368" s="14">
        <v>224</v>
      </c>
      <c r="I2368" s="14">
        <v>252.66666666666663</v>
      </c>
      <c r="K2368" s="15"/>
    </row>
    <row r="2369" spans="1:11" ht="16.5" x14ac:dyDescent="0.2">
      <c r="A2369" s="4" t="s">
        <v>51</v>
      </c>
      <c r="B2369">
        <v>2014</v>
      </c>
      <c r="C2369" s="14">
        <v>3610.6666666666665</v>
      </c>
      <c r="D2369" s="14">
        <v>410.66666666666663</v>
      </c>
      <c r="E2369" s="14">
        <v>11778</v>
      </c>
      <c r="F2369" s="14">
        <v>887.99999999999989</v>
      </c>
      <c r="G2369" s="14">
        <v>713.33333333333326</v>
      </c>
      <c r="H2369" s="14">
        <v>229.33333333333331</v>
      </c>
      <c r="I2369" s="14">
        <v>251.99999999999997</v>
      </c>
    </row>
    <row r="2370" spans="1:11" ht="16.5" x14ac:dyDescent="0.2">
      <c r="A2370" s="4" t="s">
        <v>51</v>
      </c>
      <c r="B2370">
        <v>2015</v>
      </c>
      <c r="C2370" s="14">
        <v>3610.6666666666665</v>
      </c>
      <c r="D2370" s="14">
        <v>410.66666666666663</v>
      </c>
      <c r="E2370" s="14">
        <v>11777.333333333332</v>
      </c>
      <c r="F2370" s="14">
        <v>882</v>
      </c>
      <c r="G2370" s="14">
        <v>718.66666666666663</v>
      </c>
      <c r="H2370" s="14">
        <v>229.99999999999997</v>
      </c>
      <c r="I2370" s="14">
        <v>251.99999999999997</v>
      </c>
    </row>
    <row r="2371" spans="1:11" ht="16.5" x14ac:dyDescent="0.2">
      <c r="A2371" s="4" t="s">
        <v>51</v>
      </c>
      <c r="B2371">
        <v>2016</v>
      </c>
      <c r="C2371" s="14">
        <v>3605.3333333333326</v>
      </c>
      <c r="D2371" s="14">
        <v>408</v>
      </c>
      <c r="E2371" s="14">
        <v>11767.333333333332</v>
      </c>
      <c r="F2371" s="14">
        <v>887.99999999999989</v>
      </c>
      <c r="G2371" s="14">
        <v>726</v>
      </c>
      <c r="H2371" s="14">
        <v>231.99999999999997</v>
      </c>
      <c r="I2371" s="14">
        <v>251.33333333333334</v>
      </c>
      <c r="K2371" s="15"/>
    </row>
    <row r="2372" spans="1:11" ht="16.5" x14ac:dyDescent="0.2">
      <c r="A2372" s="4" t="s">
        <v>50</v>
      </c>
      <c r="B2372">
        <v>2009</v>
      </c>
      <c r="C2372" s="14">
        <v>3653.333333333333</v>
      </c>
      <c r="D2372" s="14">
        <v>1625.3333333333333</v>
      </c>
      <c r="E2372" s="14">
        <v>2229.333333333333</v>
      </c>
      <c r="F2372" s="14">
        <v>1246</v>
      </c>
      <c r="G2372" s="14">
        <v>979.99999999999989</v>
      </c>
      <c r="H2372" s="14">
        <v>260</v>
      </c>
      <c r="I2372" s="14">
        <v>189.99999999999997</v>
      </c>
    </row>
    <row r="2373" spans="1:11" ht="16.5" x14ac:dyDescent="0.2">
      <c r="A2373" s="4" t="s">
        <v>50</v>
      </c>
      <c r="B2373">
        <v>2010</v>
      </c>
      <c r="C2373" s="14">
        <v>3648.6666666666661</v>
      </c>
      <c r="D2373" s="14">
        <v>1609.3333333333333</v>
      </c>
      <c r="E2373" s="14">
        <v>2226.6666666666665</v>
      </c>
      <c r="F2373" s="14">
        <v>1243.9999999999998</v>
      </c>
      <c r="G2373" s="14">
        <v>996.66666666666663</v>
      </c>
      <c r="H2373" s="14">
        <v>267.33333333333331</v>
      </c>
      <c r="I2373" s="14">
        <v>188.66666666666666</v>
      </c>
      <c r="K2373" s="15"/>
    </row>
    <row r="2374" spans="1:11" ht="16.5" x14ac:dyDescent="0.2">
      <c r="A2374" s="4" t="s">
        <v>50</v>
      </c>
      <c r="B2374">
        <v>2011</v>
      </c>
      <c r="C2374" s="14">
        <v>3645.9999999999995</v>
      </c>
      <c r="D2374" s="14">
        <v>1602.6666666666665</v>
      </c>
      <c r="E2374" s="14">
        <v>2224.6666666666665</v>
      </c>
      <c r="F2374" s="14">
        <v>1241.3333333333333</v>
      </c>
      <c r="G2374" s="14">
        <v>1008</v>
      </c>
      <c r="H2374" s="14">
        <v>269.33333333333331</v>
      </c>
      <c r="I2374" s="14">
        <v>188.66666666666666</v>
      </c>
    </row>
    <row r="2375" spans="1:11" ht="16.5" x14ac:dyDescent="0.2">
      <c r="A2375" s="4" t="s">
        <v>50</v>
      </c>
      <c r="B2375">
        <v>2012</v>
      </c>
      <c r="C2375" s="14">
        <v>3638.6666666666661</v>
      </c>
      <c r="D2375" s="14">
        <v>1583.3333333333333</v>
      </c>
      <c r="E2375" s="14">
        <v>2222.6666666666665</v>
      </c>
      <c r="F2375" s="14">
        <v>1239.3333333333333</v>
      </c>
      <c r="G2375" s="14">
        <v>1030</v>
      </c>
      <c r="H2375" s="14">
        <v>278</v>
      </c>
      <c r="I2375" s="14">
        <v>188.66666666666666</v>
      </c>
    </row>
    <row r="2376" spans="1:11" ht="16.5" x14ac:dyDescent="0.2">
      <c r="A2376" s="4" t="s">
        <v>50</v>
      </c>
      <c r="B2376">
        <v>2013</v>
      </c>
      <c r="C2376" s="14">
        <v>3625.3333333333326</v>
      </c>
      <c r="D2376" s="14">
        <v>1579.9999999999998</v>
      </c>
      <c r="E2376" s="14">
        <v>2221.333333333333</v>
      </c>
      <c r="F2376" s="14">
        <v>1238.6666666666667</v>
      </c>
      <c r="G2376" s="14">
        <v>1042.6666666666665</v>
      </c>
      <c r="H2376" s="14">
        <v>283.33333333333331</v>
      </c>
      <c r="I2376" s="14">
        <v>188.66666666666666</v>
      </c>
      <c r="K2376" s="15"/>
    </row>
    <row r="2377" spans="1:11" ht="16.5" x14ac:dyDescent="0.2">
      <c r="A2377" s="4" t="s">
        <v>50</v>
      </c>
      <c r="B2377">
        <v>2014</v>
      </c>
      <c r="C2377" s="14">
        <v>3608</v>
      </c>
      <c r="D2377" s="14">
        <v>1564.6666666666665</v>
      </c>
      <c r="E2377" s="14">
        <v>2220.6666666666665</v>
      </c>
      <c r="F2377" s="14">
        <v>1237.3333333333333</v>
      </c>
      <c r="G2377" s="14">
        <v>1065.3333333333333</v>
      </c>
      <c r="H2377" s="14">
        <v>290.66666666666663</v>
      </c>
      <c r="I2377" s="14">
        <v>188.66666666666666</v>
      </c>
    </row>
    <row r="2378" spans="1:11" ht="16.5" x14ac:dyDescent="0.2">
      <c r="A2378" s="4" t="s">
        <v>50</v>
      </c>
      <c r="B2378">
        <v>2015</v>
      </c>
      <c r="C2378" s="14">
        <v>3595.9999999999995</v>
      </c>
      <c r="D2378" s="14">
        <v>1559.9999999999998</v>
      </c>
      <c r="E2378" s="14">
        <v>2219.333333333333</v>
      </c>
      <c r="F2378" s="14">
        <v>1233.3333333333333</v>
      </c>
      <c r="G2378" s="14">
        <v>1083.9999999999998</v>
      </c>
      <c r="H2378" s="14">
        <v>293.33333333333331</v>
      </c>
      <c r="I2378" s="14">
        <v>187.33333333333331</v>
      </c>
      <c r="K2378" s="15"/>
    </row>
    <row r="2379" spans="1:11" ht="16.5" x14ac:dyDescent="0.2">
      <c r="A2379" s="4" t="s">
        <v>50</v>
      </c>
      <c r="B2379">
        <v>2016</v>
      </c>
      <c r="C2379" s="14">
        <v>3582.6666666666661</v>
      </c>
      <c r="D2379" s="14">
        <v>1556</v>
      </c>
      <c r="E2379" s="14">
        <v>2216.6666666666665</v>
      </c>
      <c r="F2379" s="14">
        <v>1233.9999999999998</v>
      </c>
      <c r="G2379" s="14">
        <v>1098.6666666666667</v>
      </c>
      <c r="H2379" s="14">
        <v>296.66666666666663</v>
      </c>
      <c r="I2379" s="14">
        <v>185.99999999999997</v>
      </c>
    </row>
    <row r="2380" spans="1:11" ht="16.5" x14ac:dyDescent="0.2">
      <c r="A2380" s="4" t="s">
        <v>49</v>
      </c>
      <c r="B2380">
        <v>2009</v>
      </c>
      <c r="C2380" s="14">
        <v>5733.333333333333</v>
      </c>
      <c r="D2380" s="14">
        <v>1814</v>
      </c>
      <c r="E2380" s="14">
        <v>2055.333333333333</v>
      </c>
      <c r="F2380" s="14">
        <v>1314.6666666666665</v>
      </c>
      <c r="G2380" s="14">
        <v>1096</v>
      </c>
      <c r="H2380" s="14">
        <v>304</v>
      </c>
      <c r="I2380" s="14">
        <v>440.66666666666657</v>
      </c>
    </row>
    <row r="2381" spans="1:11" ht="16.5" x14ac:dyDescent="0.2">
      <c r="A2381" s="4" t="s">
        <v>49</v>
      </c>
      <c r="B2381">
        <v>2010</v>
      </c>
      <c r="C2381" s="14">
        <v>5721.333333333333</v>
      </c>
      <c r="D2381" s="14">
        <v>1811.333333333333</v>
      </c>
      <c r="E2381" s="14">
        <v>2054</v>
      </c>
      <c r="F2381" s="14">
        <v>1315.3333333333333</v>
      </c>
      <c r="G2381" s="14">
        <v>1107.9999999999998</v>
      </c>
      <c r="H2381" s="14">
        <v>305.99999999999994</v>
      </c>
      <c r="I2381" s="14">
        <v>440.66666666666657</v>
      </c>
      <c r="K2381" s="15"/>
    </row>
    <row r="2382" spans="1:11" ht="16.5" x14ac:dyDescent="0.2">
      <c r="A2382" s="4" t="s">
        <v>49</v>
      </c>
      <c r="B2382">
        <v>2011</v>
      </c>
      <c r="C2382" s="14">
        <v>5711.9999999999991</v>
      </c>
      <c r="D2382" s="14">
        <v>1809.333333333333</v>
      </c>
      <c r="E2382" s="14">
        <v>2052.6666666666665</v>
      </c>
      <c r="F2382" s="14">
        <v>1312</v>
      </c>
      <c r="G2382" s="14">
        <v>1118</v>
      </c>
      <c r="H2382" s="14">
        <v>310</v>
      </c>
      <c r="I2382" s="14">
        <v>441.99999999999994</v>
      </c>
    </row>
    <row r="2383" spans="1:11" ht="16.5" x14ac:dyDescent="0.2">
      <c r="A2383" s="4" t="s">
        <v>49</v>
      </c>
      <c r="B2383">
        <v>2012</v>
      </c>
      <c r="C2383" s="14">
        <v>5735.9999999999991</v>
      </c>
      <c r="D2383" s="14">
        <v>1771.333333333333</v>
      </c>
      <c r="E2383" s="14">
        <v>2050.6666666666665</v>
      </c>
      <c r="F2383" s="14">
        <v>1306</v>
      </c>
      <c r="G2383" s="14">
        <v>1134.6666666666665</v>
      </c>
      <c r="H2383" s="14">
        <v>313.33333333333331</v>
      </c>
      <c r="I2383" s="14">
        <v>442.66666666666669</v>
      </c>
      <c r="K2383" s="15"/>
    </row>
    <row r="2384" spans="1:11" ht="16.5" x14ac:dyDescent="0.2">
      <c r="A2384" s="4" t="s">
        <v>49</v>
      </c>
      <c r="B2384">
        <v>2013</v>
      </c>
      <c r="C2384" s="14">
        <v>5738</v>
      </c>
      <c r="D2384" s="14">
        <v>1767.9999999999998</v>
      </c>
      <c r="E2384" s="14">
        <v>2049.333333333333</v>
      </c>
      <c r="F2384" s="14">
        <v>1296</v>
      </c>
      <c r="G2384" s="14">
        <v>1143.3333333333333</v>
      </c>
      <c r="H2384" s="14">
        <v>317.33333333333331</v>
      </c>
      <c r="I2384" s="14">
        <v>449.99999999999994</v>
      </c>
    </row>
    <row r="2385" spans="1:11" ht="16.5" x14ac:dyDescent="0.2">
      <c r="A2385" s="4" t="s">
        <v>49</v>
      </c>
      <c r="B2385">
        <v>2014</v>
      </c>
      <c r="C2385" s="14">
        <v>5756.6666666666661</v>
      </c>
      <c r="D2385" s="14">
        <v>1763.3333333333333</v>
      </c>
      <c r="E2385" s="14">
        <v>2048.6666666666665</v>
      </c>
      <c r="F2385" s="14">
        <v>1270.6666666666665</v>
      </c>
      <c r="G2385" s="14">
        <v>1151.3333333333333</v>
      </c>
      <c r="H2385" s="14">
        <v>321.33333333333331</v>
      </c>
      <c r="I2385" s="14">
        <v>448.66666666666663</v>
      </c>
    </row>
    <row r="2386" spans="1:11" ht="16.5" x14ac:dyDescent="0.2">
      <c r="A2386" s="4" t="s">
        <v>49</v>
      </c>
      <c r="B2386">
        <v>2015</v>
      </c>
      <c r="C2386" s="14">
        <v>5774</v>
      </c>
      <c r="D2386" s="14">
        <v>1755.9999999999998</v>
      </c>
      <c r="E2386" s="14">
        <v>2047.9999999999998</v>
      </c>
      <c r="F2386" s="14">
        <v>1252</v>
      </c>
      <c r="G2386" s="14">
        <v>1161.3333333333333</v>
      </c>
      <c r="H2386" s="14">
        <v>321.99999999999994</v>
      </c>
      <c r="I2386" s="14">
        <v>448</v>
      </c>
      <c r="K2386" s="15"/>
    </row>
    <row r="2387" spans="1:11" ht="16.5" x14ac:dyDescent="0.2">
      <c r="A2387" s="4" t="s">
        <v>49</v>
      </c>
      <c r="B2387">
        <v>2016</v>
      </c>
      <c r="C2387" s="14">
        <v>5779.333333333333</v>
      </c>
      <c r="D2387" s="14">
        <v>1754</v>
      </c>
      <c r="E2387" s="14">
        <v>2040.6666666666667</v>
      </c>
      <c r="F2387" s="14">
        <v>1245.3333333333333</v>
      </c>
      <c r="G2387" s="14">
        <v>1168.6666666666667</v>
      </c>
      <c r="H2387" s="14">
        <v>324</v>
      </c>
      <c r="I2387" s="14">
        <v>447.33333333333326</v>
      </c>
    </row>
    <row r="2388" spans="1:11" ht="16.5" x14ac:dyDescent="0.2">
      <c r="A2388" s="4" t="s">
        <v>48</v>
      </c>
      <c r="B2388">
        <v>2009</v>
      </c>
      <c r="C2388" s="14">
        <v>3607.333333333333</v>
      </c>
      <c r="D2388" s="14">
        <v>1581.333333333333</v>
      </c>
      <c r="E2388" s="14">
        <v>21439.999999999996</v>
      </c>
      <c r="F2388" s="14">
        <v>8948.6666666666661</v>
      </c>
      <c r="G2388" s="14">
        <v>576.66666666666663</v>
      </c>
      <c r="H2388" s="14">
        <v>344.66666666666663</v>
      </c>
      <c r="I2388" s="14">
        <v>278.66666666666663</v>
      </c>
      <c r="K2388" s="15"/>
    </row>
    <row r="2389" spans="1:11" ht="16.5" x14ac:dyDescent="0.2">
      <c r="A2389" s="4" t="s">
        <v>48</v>
      </c>
      <c r="B2389">
        <v>2010</v>
      </c>
      <c r="C2389" s="14">
        <v>3613.333333333333</v>
      </c>
      <c r="D2389" s="14">
        <v>1579.3333333333333</v>
      </c>
      <c r="E2389" s="14">
        <v>21430.666666666664</v>
      </c>
      <c r="F2389" s="14">
        <v>8946</v>
      </c>
      <c r="G2389" s="14">
        <v>580</v>
      </c>
      <c r="H2389" s="14">
        <v>347.33333333333331</v>
      </c>
      <c r="I2389" s="14">
        <v>278.66666666666663</v>
      </c>
    </row>
    <row r="2390" spans="1:11" ht="16.5" x14ac:dyDescent="0.2">
      <c r="A2390" s="4" t="s">
        <v>48</v>
      </c>
      <c r="B2390">
        <v>2011</v>
      </c>
      <c r="C2390" s="14">
        <v>3615.3333333333326</v>
      </c>
      <c r="D2390" s="14">
        <v>1579.3333333333333</v>
      </c>
      <c r="E2390" s="14">
        <v>21423.999999999996</v>
      </c>
      <c r="F2390" s="14">
        <v>8946</v>
      </c>
      <c r="G2390" s="14">
        <v>583.33333333333326</v>
      </c>
      <c r="H2390" s="14">
        <v>348.66666666666663</v>
      </c>
      <c r="I2390" s="14">
        <v>278.66666666666663</v>
      </c>
    </row>
    <row r="2391" spans="1:11" ht="16.5" x14ac:dyDescent="0.2">
      <c r="A2391" s="4" t="s">
        <v>48</v>
      </c>
      <c r="B2391">
        <v>2012</v>
      </c>
      <c r="C2391" s="14">
        <v>3619.333333333333</v>
      </c>
      <c r="D2391" s="14">
        <v>1575.3333333333333</v>
      </c>
      <c r="E2391" s="14">
        <v>21413.999999999996</v>
      </c>
      <c r="F2391" s="14">
        <v>8944.6666666666661</v>
      </c>
      <c r="G2391" s="14">
        <v>593.33333333333326</v>
      </c>
      <c r="H2391" s="14">
        <v>349.99999999999994</v>
      </c>
      <c r="I2391" s="14">
        <v>278</v>
      </c>
      <c r="K2391" s="15"/>
    </row>
    <row r="2392" spans="1:11" ht="16.5" x14ac:dyDescent="0.2">
      <c r="A2392" s="4" t="s">
        <v>48</v>
      </c>
      <c r="B2392">
        <v>2013</v>
      </c>
      <c r="C2392" s="14">
        <v>3704.6666666666665</v>
      </c>
      <c r="D2392" s="14">
        <v>1514.6666666666665</v>
      </c>
      <c r="E2392" s="14">
        <v>21377.999999999996</v>
      </c>
      <c r="F2392" s="14">
        <v>8940.6666666666661</v>
      </c>
      <c r="G2392" s="14">
        <v>599.33333333333337</v>
      </c>
      <c r="H2392" s="14">
        <v>354.66666666666663</v>
      </c>
      <c r="I2392" s="14">
        <v>276.66666666666663</v>
      </c>
    </row>
    <row r="2393" spans="1:11" ht="16.5" x14ac:dyDescent="0.2">
      <c r="A2393" s="4" t="s">
        <v>48</v>
      </c>
      <c r="B2393">
        <v>2014</v>
      </c>
      <c r="C2393" s="14">
        <v>3698</v>
      </c>
      <c r="D2393" s="14">
        <v>1511.333333333333</v>
      </c>
      <c r="E2393" s="14">
        <v>21360.666666666664</v>
      </c>
      <c r="F2393" s="14">
        <v>8938.6666666666661</v>
      </c>
      <c r="G2393" s="14">
        <v>614.66666666666663</v>
      </c>
      <c r="H2393" s="14">
        <v>368</v>
      </c>
      <c r="I2393" s="14">
        <v>275.99999999999994</v>
      </c>
      <c r="K2393" s="15"/>
    </row>
    <row r="2394" spans="1:11" ht="16.5" x14ac:dyDescent="0.2">
      <c r="A2394" s="4" t="s">
        <v>48</v>
      </c>
      <c r="B2394">
        <v>2015</v>
      </c>
      <c r="C2394" s="14">
        <v>3703.333333333333</v>
      </c>
      <c r="D2394" s="14">
        <v>1509.3333333333333</v>
      </c>
      <c r="E2394" s="14">
        <v>21353.333333333332</v>
      </c>
      <c r="F2394" s="14">
        <v>8928</v>
      </c>
      <c r="G2394" s="14">
        <v>625.33333333333326</v>
      </c>
      <c r="H2394" s="14">
        <v>369.99999999999994</v>
      </c>
      <c r="I2394" s="14">
        <v>275.33333333333331</v>
      </c>
    </row>
    <row r="2395" spans="1:11" ht="16.5" x14ac:dyDescent="0.2">
      <c r="A2395" s="4" t="s">
        <v>48</v>
      </c>
      <c r="B2395">
        <v>2016</v>
      </c>
      <c r="C2395" s="14">
        <v>3704</v>
      </c>
      <c r="D2395" s="14">
        <v>1507.9999999999998</v>
      </c>
      <c r="E2395" s="14">
        <v>21316</v>
      </c>
      <c r="F2395" s="14">
        <v>8958.6666666666661</v>
      </c>
      <c r="G2395" s="14">
        <v>631.99999999999989</v>
      </c>
      <c r="H2395" s="14">
        <v>372.66666666666663</v>
      </c>
      <c r="I2395" s="14">
        <v>274</v>
      </c>
    </row>
    <row r="2396" spans="1:11" ht="16.5" x14ac:dyDescent="0.2">
      <c r="A2396" s="4" t="s">
        <v>47</v>
      </c>
      <c r="B2396">
        <v>2009</v>
      </c>
      <c r="C2396" s="14">
        <v>3584.6666666666665</v>
      </c>
      <c r="D2396" s="14">
        <v>303.33333333333331</v>
      </c>
      <c r="E2396" s="14">
        <v>21262.666666666664</v>
      </c>
      <c r="F2396" s="14">
        <v>385.99999999999994</v>
      </c>
      <c r="G2396" s="14">
        <v>538.66666666666674</v>
      </c>
      <c r="H2396" s="14">
        <v>201.33333333333331</v>
      </c>
      <c r="I2396" s="14">
        <v>479.99999999999994</v>
      </c>
      <c r="K2396" s="15"/>
    </row>
    <row r="2397" spans="1:11" ht="16.5" x14ac:dyDescent="0.2">
      <c r="A2397" s="4" t="s">
        <v>47</v>
      </c>
      <c r="B2397">
        <v>2010</v>
      </c>
      <c r="C2397" s="14">
        <v>3572.6666666666661</v>
      </c>
      <c r="D2397" s="14">
        <v>300</v>
      </c>
      <c r="E2397" s="14">
        <v>21256</v>
      </c>
      <c r="F2397" s="14">
        <v>388</v>
      </c>
      <c r="G2397" s="14">
        <v>554.66666666666663</v>
      </c>
      <c r="H2397" s="14">
        <v>202</v>
      </c>
      <c r="I2397" s="14">
        <v>480.66666666666657</v>
      </c>
    </row>
    <row r="2398" spans="1:11" ht="16.5" x14ac:dyDescent="0.2">
      <c r="A2398" s="4" t="s">
        <v>47</v>
      </c>
      <c r="B2398">
        <v>2011</v>
      </c>
      <c r="C2398" s="14">
        <v>3575.9999999999995</v>
      </c>
      <c r="D2398" s="14">
        <v>297.33333333333331</v>
      </c>
      <c r="E2398" s="14">
        <v>21244.666666666664</v>
      </c>
      <c r="F2398" s="14">
        <v>368.66666666666663</v>
      </c>
      <c r="G2398" s="14">
        <v>581.33333333333326</v>
      </c>
      <c r="H2398" s="14">
        <v>202.66666666666663</v>
      </c>
      <c r="I2398" s="14">
        <v>478.66666666666663</v>
      </c>
      <c r="K2398" s="15"/>
    </row>
    <row r="2399" spans="1:11" ht="16.5" x14ac:dyDescent="0.2">
      <c r="A2399" s="4" t="s">
        <v>47</v>
      </c>
      <c r="B2399">
        <v>2012</v>
      </c>
      <c r="C2399" s="14">
        <v>3562.6666666666661</v>
      </c>
      <c r="D2399" s="14">
        <v>297.33333333333331</v>
      </c>
      <c r="E2399" s="14">
        <v>21237.999999999996</v>
      </c>
      <c r="F2399" s="14">
        <v>372.66666666666663</v>
      </c>
      <c r="G2399" s="14">
        <v>596</v>
      </c>
      <c r="H2399" s="14">
        <v>203.33333333333331</v>
      </c>
      <c r="I2399" s="14">
        <v>480.66666666666657</v>
      </c>
    </row>
    <row r="2400" spans="1:11" ht="16.5" x14ac:dyDescent="0.2">
      <c r="A2400" s="4" t="s">
        <v>47</v>
      </c>
      <c r="B2400">
        <v>2013</v>
      </c>
      <c r="C2400" s="14">
        <v>3563.333333333333</v>
      </c>
      <c r="D2400" s="14">
        <v>295.99999999999994</v>
      </c>
      <c r="E2400" s="14">
        <v>21231.333333333328</v>
      </c>
      <c r="F2400" s="14">
        <v>372.66666666666663</v>
      </c>
      <c r="G2400" s="14">
        <v>600</v>
      </c>
      <c r="H2400" s="14">
        <v>207.99999999999997</v>
      </c>
      <c r="I2400" s="14">
        <v>479.99999999999994</v>
      </c>
    </row>
    <row r="2401" spans="1:11" ht="16.5" x14ac:dyDescent="0.2">
      <c r="A2401" s="4" t="s">
        <v>47</v>
      </c>
      <c r="B2401">
        <v>2014</v>
      </c>
      <c r="C2401" s="14">
        <v>3564</v>
      </c>
      <c r="D2401" s="14">
        <v>294.66666666666669</v>
      </c>
      <c r="E2401" s="14">
        <v>21226.666666666664</v>
      </c>
      <c r="F2401" s="14">
        <v>368.66666666666663</v>
      </c>
      <c r="G2401" s="14">
        <v>606</v>
      </c>
      <c r="H2401" s="14">
        <v>209.99999999999997</v>
      </c>
      <c r="I2401" s="14">
        <v>479.99999999999994</v>
      </c>
      <c r="K2401" s="15"/>
    </row>
    <row r="2402" spans="1:11" ht="16.5" x14ac:dyDescent="0.2">
      <c r="A2402" s="4" t="s">
        <v>47</v>
      </c>
      <c r="B2402">
        <v>2015</v>
      </c>
      <c r="C2402" s="14">
        <v>3563.333333333333</v>
      </c>
      <c r="D2402" s="14">
        <v>294</v>
      </c>
      <c r="E2402" s="14">
        <v>21223.999999999996</v>
      </c>
      <c r="F2402" s="14">
        <v>363.33333333333331</v>
      </c>
      <c r="G2402" s="14">
        <v>612</v>
      </c>
      <c r="H2402" s="14">
        <v>214</v>
      </c>
      <c r="I2402" s="14">
        <v>479.33333333333331</v>
      </c>
    </row>
    <row r="2403" spans="1:11" ht="16.5" x14ac:dyDescent="0.2">
      <c r="A2403" s="4" t="s">
        <v>47</v>
      </c>
      <c r="B2403">
        <v>2016</v>
      </c>
      <c r="C2403" s="14">
        <v>3555.9999999999995</v>
      </c>
      <c r="D2403" s="14">
        <v>293.33333333333331</v>
      </c>
      <c r="E2403" s="14">
        <v>21182</v>
      </c>
      <c r="F2403" s="14">
        <v>403.33333333333331</v>
      </c>
      <c r="G2403" s="14">
        <v>619.33333333333326</v>
      </c>
      <c r="H2403" s="14">
        <v>218</v>
      </c>
      <c r="I2403" s="14">
        <v>479.33333333333331</v>
      </c>
      <c r="K2403" s="15"/>
    </row>
    <row r="2404" spans="1:11" ht="16.5" x14ac:dyDescent="0.2">
      <c r="A2404" s="4" t="s">
        <v>46</v>
      </c>
      <c r="B2404">
        <v>2009</v>
      </c>
      <c r="C2404" s="14">
        <v>10297.333333333332</v>
      </c>
      <c r="D2404" s="14">
        <v>1878.6666666666665</v>
      </c>
      <c r="E2404" s="14">
        <v>12409.999999999998</v>
      </c>
      <c r="F2404" s="14">
        <v>14643.333333333332</v>
      </c>
      <c r="G2404" s="14">
        <v>1107.9999999999998</v>
      </c>
      <c r="H2404" s="14">
        <v>498</v>
      </c>
      <c r="I2404" s="14">
        <v>603.33333333333326</v>
      </c>
    </row>
    <row r="2405" spans="1:11" ht="16.5" x14ac:dyDescent="0.2">
      <c r="A2405" s="4" t="s">
        <v>46</v>
      </c>
      <c r="B2405">
        <v>2010</v>
      </c>
      <c r="C2405" s="14">
        <v>10308</v>
      </c>
      <c r="D2405" s="14">
        <v>1872.6666666666663</v>
      </c>
      <c r="E2405" s="14">
        <v>12390.666666666664</v>
      </c>
      <c r="F2405" s="14">
        <v>14617.999999999998</v>
      </c>
      <c r="G2405" s="14">
        <v>1129.333333333333</v>
      </c>
      <c r="H2405" s="14">
        <v>511.33333333333331</v>
      </c>
      <c r="I2405" s="14">
        <v>601.99999999999989</v>
      </c>
    </row>
    <row r="2406" spans="1:11" ht="16.5" x14ac:dyDescent="0.2">
      <c r="A2406" s="4" t="s">
        <v>46</v>
      </c>
      <c r="B2406">
        <v>2011</v>
      </c>
      <c r="C2406" s="14">
        <v>10322.666666666666</v>
      </c>
      <c r="D2406" s="14">
        <v>1869.9999999999998</v>
      </c>
      <c r="E2406" s="14">
        <v>12372.666666666666</v>
      </c>
      <c r="F2406" s="14">
        <v>14608.666666666666</v>
      </c>
      <c r="G2406" s="14">
        <v>1144.6666666666665</v>
      </c>
      <c r="H2406" s="14">
        <v>513.33333333333326</v>
      </c>
      <c r="I2406" s="14">
        <v>601.33333333333326</v>
      </c>
      <c r="K2406" s="15"/>
    </row>
    <row r="2407" spans="1:11" ht="16.5" x14ac:dyDescent="0.2">
      <c r="A2407" s="4" t="s">
        <v>46</v>
      </c>
      <c r="B2407">
        <v>2012</v>
      </c>
      <c r="C2407" s="14">
        <v>10339.333333333332</v>
      </c>
      <c r="D2407" s="14">
        <v>1867.3333333333333</v>
      </c>
      <c r="E2407" s="14">
        <v>12326</v>
      </c>
      <c r="F2407" s="14">
        <v>14578.666666666666</v>
      </c>
      <c r="G2407" s="14">
        <v>1202</v>
      </c>
      <c r="H2407" s="14">
        <v>529.33333333333337</v>
      </c>
      <c r="I2407" s="14">
        <v>601.33333333333326</v>
      </c>
    </row>
    <row r="2408" spans="1:11" ht="16.5" x14ac:dyDescent="0.2">
      <c r="A2408" s="4" t="s">
        <v>46</v>
      </c>
      <c r="B2408">
        <v>2013</v>
      </c>
      <c r="C2408" s="14">
        <v>10366</v>
      </c>
      <c r="D2408" s="14">
        <v>1867.3333333333333</v>
      </c>
      <c r="E2408" s="14">
        <v>12303.333333333332</v>
      </c>
      <c r="F2408" s="14">
        <v>14561.33333333333</v>
      </c>
      <c r="G2408" s="14">
        <v>1222.6666666666665</v>
      </c>
      <c r="H2408" s="14">
        <v>535.33333333333326</v>
      </c>
      <c r="I2408" s="14">
        <v>600.66666666666663</v>
      </c>
      <c r="K2408" s="15"/>
    </row>
    <row r="2409" spans="1:11" ht="16.5" x14ac:dyDescent="0.2">
      <c r="A2409" s="4" t="s">
        <v>46</v>
      </c>
      <c r="B2409">
        <v>2014</v>
      </c>
      <c r="C2409" s="14">
        <v>10448.666666666666</v>
      </c>
      <c r="D2409" s="14">
        <v>1867.3333333333333</v>
      </c>
      <c r="E2409" s="14">
        <v>12284.666666666666</v>
      </c>
      <c r="F2409" s="14">
        <v>14476.666666666666</v>
      </c>
      <c r="G2409" s="14">
        <v>1247.3333333333333</v>
      </c>
      <c r="H2409" s="14">
        <v>543.33333333333326</v>
      </c>
      <c r="I2409" s="14">
        <v>600</v>
      </c>
    </row>
    <row r="2410" spans="1:11" ht="16.5" x14ac:dyDescent="0.2">
      <c r="A2410" s="4" t="s">
        <v>46</v>
      </c>
      <c r="B2410">
        <v>2015</v>
      </c>
      <c r="C2410" s="14">
        <v>10469.999999999998</v>
      </c>
      <c r="D2410" s="14">
        <v>1865.9999999999998</v>
      </c>
      <c r="E2410" s="14">
        <v>12269.333333333332</v>
      </c>
      <c r="F2410" s="14">
        <v>14452</v>
      </c>
      <c r="G2410" s="14">
        <v>1263.3333333333333</v>
      </c>
      <c r="H2410" s="14">
        <v>555.33333333333326</v>
      </c>
      <c r="I2410" s="14">
        <v>599.33333333333337</v>
      </c>
    </row>
    <row r="2411" spans="1:11" ht="16.5" x14ac:dyDescent="0.2">
      <c r="A2411" s="4" t="s">
        <v>46</v>
      </c>
      <c r="B2411">
        <v>2016</v>
      </c>
      <c r="C2411" s="14">
        <v>10465.333333333332</v>
      </c>
      <c r="D2411" s="14">
        <v>1865.9999999999998</v>
      </c>
      <c r="E2411" s="14">
        <v>12219.333333333332</v>
      </c>
      <c r="F2411" s="14">
        <v>14486</v>
      </c>
      <c r="G2411" s="14">
        <v>1276.6666666666665</v>
      </c>
      <c r="H2411" s="14">
        <v>563.99999999999989</v>
      </c>
      <c r="I2411" s="14">
        <v>598.66666666666663</v>
      </c>
      <c r="K2411" s="15"/>
    </row>
    <row r="2412" spans="1:11" ht="16.5" x14ac:dyDescent="0.2">
      <c r="A2412" s="4" t="s">
        <v>45</v>
      </c>
      <c r="B2412">
        <v>2009</v>
      </c>
      <c r="C2412" s="14">
        <v>3418</v>
      </c>
      <c r="D2412" s="14">
        <v>181.33333333333331</v>
      </c>
      <c r="E2412" s="14">
        <v>18411.333333333332</v>
      </c>
      <c r="F2412" s="14">
        <v>281.99999999999994</v>
      </c>
      <c r="G2412" s="14">
        <v>338.66666666666663</v>
      </c>
      <c r="H2412" s="14">
        <v>142.66666666666666</v>
      </c>
      <c r="I2412" s="14">
        <v>357.33333333333331</v>
      </c>
    </row>
    <row r="2413" spans="1:11" ht="16.5" x14ac:dyDescent="0.2">
      <c r="A2413" s="4" t="s">
        <v>45</v>
      </c>
      <c r="B2413">
        <v>2010</v>
      </c>
      <c r="C2413" s="14">
        <v>3419.333333333333</v>
      </c>
      <c r="D2413" s="14">
        <v>179.33333333333331</v>
      </c>
      <c r="E2413" s="14">
        <v>18406</v>
      </c>
      <c r="F2413" s="14">
        <v>280.66666666666663</v>
      </c>
      <c r="G2413" s="14">
        <v>342</v>
      </c>
      <c r="H2413" s="14">
        <v>144</v>
      </c>
      <c r="I2413" s="14">
        <v>358</v>
      </c>
      <c r="K2413" s="15"/>
    </row>
    <row r="2414" spans="1:11" ht="16.5" x14ac:dyDescent="0.2">
      <c r="A2414" s="4" t="s">
        <v>45</v>
      </c>
      <c r="B2414">
        <v>2011</v>
      </c>
      <c r="C2414" s="14">
        <v>3418</v>
      </c>
      <c r="D2414" s="14">
        <v>176.66666666666666</v>
      </c>
      <c r="E2414" s="14">
        <v>18402</v>
      </c>
      <c r="F2414" s="14">
        <v>279.33333333333331</v>
      </c>
      <c r="G2414" s="14">
        <v>348</v>
      </c>
      <c r="H2414" s="14">
        <v>145.33333333333331</v>
      </c>
      <c r="I2414" s="14">
        <v>358.66666666666663</v>
      </c>
    </row>
    <row r="2415" spans="1:11" ht="16.5" x14ac:dyDescent="0.2">
      <c r="A2415" s="4" t="s">
        <v>45</v>
      </c>
      <c r="B2415">
        <v>2012</v>
      </c>
      <c r="C2415" s="14">
        <v>3417.333333333333</v>
      </c>
      <c r="D2415" s="14">
        <v>163.33333333333331</v>
      </c>
      <c r="E2415" s="14">
        <v>18396</v>
      </c>
      <c r="F2415" s="14">
        <v>285.33333333333331</v>
      </c>
      <c r="G2415" s="14">
        <v>361.33333333333326</v>
      </c>
      <c r="H2415" s="14">
        <v>145.33333333333331</v>
      </c>
      <c r="I2415" s="14">
        <v>358.66666666666663</v>
      </c>
    </row>
    <row r="2416" spans="1:11" ht="16.5" x14ac:dyDescent="0.2">
      <c r="A2416" s="4" t="s">
        <v>45</v>
      </c>
      <c r="B2416">
        <v>2013</v>
      </c>
      <c r="C2416" s="14">
        <v>3418</v>
      </c>
      <c r="D2416" s="14">
        <v>166.66666666666666</v>
      </c>
      <c r="E2416" s="14">
        <v>18392.666666666664</v>
      </c>
      <c r="F2416" s="14">
        <v>280</v>
      </c>
      <c r="G2416" s="14">
        <v>366.66666666666663</v>
      </c>
      <c r="H2416" s="14">
        <v>145.33333333333331</v>
      </c>
      <c r="I2416" s="14">
        <v>358</v>
      </c>
      <c r="K2416" s="15"/>
    </row>
    <row r="2417" spans="1:11" ht="16.5" x14ac:dyDescent="0.2">
      <c r="A2417" s="4" t="s">
        <v>45</v>
      </c>
      <c r="B2417">
        <v>2014</v>
      </c>
      <c r="C2417" s="14">
        <v>3414.6666666666665</v>
      </c>
      <c r="D2417" s="14">
        <v>165.33333333333331</v>
      </c>
      <c r="E2417" s="14">
        <v>18390</v>
      </c>
      <c r="F2417" s="14">
        <v>278.66666666666663</v>
      </c>
      <c r="G2417" s="14">
        <v>371.33333333333326</v>
      </c>
      <c r="H2417" s="14">
        <v>149.33333333333331</v>
      </c>
      <c r="I2417" s="14">
        <v>357.33333333333331</v>
      </c>
    </row>
    <row r="2418" spans="1:11" ht="16.5" x14ac:dyDescent="0.2">
      <c r="A2418" s="4" t="s">
        <v>45</v>
      </c>
      <c r="B2418">
        <v>2015</v>
      </c>
      <c r="C2418" s="14">
        <v>3415.9999999999995</v>
      </c>
      <c r="D2418" s="14">
        <v>164.66666666666666</v>
      </c>
      <c r="E2418" s="14">
        <v>18388.666666666668</v>
      </c>
      <c r="F2418" s="14">
        <v>275.99999999999994</v>
      </c>
      <c r="G2418" s="14">
        <v>374.66666666666663</v>
      </c>
      <c r="H2418" s="14">
        <v>149.33333333333331</v>
      </c>
      <c r="I2418" s="14">
        <v>357.33333333333331</v>
      </c>
      <c r="K2418" s="15"/>
    </row>
    <row r="2419" spans="1:11" ht="16.5" x14ac:dyDescent="0.2">
      <c r="A2419" s="4" t="s">
        <v>45</v>
      </c>
      <c r="B2419">
        <v>2016</v>
      </c>
      <c r="C2419" s="14">
        <v>3414.6666666666665</v>
      </c>
      <c r="D2419" s="14">
        <v>164</v>
      </c>
      <c r="E2419" s="14">
        <v>18323.999999999996</v>
      </c>
      <c r="F2419" s="14">
        <v>338</v>
      </c>
      <c r="G2419" s="14">
        <v>378</v>
      </c>
      <c r="H2419" s="14">
        <v>150</v>
      </c>
      <c r="I2419" s="14">
        <v>356.66666666666663</v>
      </c>
    </row>
    <row r="2420" spans="1:11" ht="16.5" x14ac:dyDescent="0.2">
      <c r="A2420" s="4" t="s">
        <v>44</v>
      </c>
      <c r="B2420">
        <v>2009</v>
      </c>
      <c r="C2420" s="14">
        <v>2044.6666666666665</v>
      </c>
      <c r="D2420" s="14">
        <v>161.33333333333331</v>
      </c>
      <c r="E2420" s="14">
        <v>15843.999999999998</v>
      </c>
      <c r="F2420" s="14">
        <v>571.33333333333326</v>
      </c>
      <c r="G2420" s="14">
        <v>346.66666666666663</v>
      </c>
      <c r="H2420" s="14">
        <v>122</v>
      </c>
      <c r="I2420" s="14">
        <v>247.33333333333331</v>
      </c>
    </row>
    <row r="2421" spans="1:11" ht="16.5" x14ac:dyDescent="0.2">
      <c r="A2421" s="4" t="s">
        <v>44</v>
      </c>
      <c r="B2421">
        <v>2010</v>
      </c>
      <c r="C2421" s="14">
        <v>2035.3333333333333</v>
      </c>
      <c r="D2421" s="14">
        <v>161.33333333333331</v>
      </c>
      <c r="E2421" s="14">
        <v>15842</v>
      </c>
      <c r="F2421" s="14">
        <v>570.66666666666663</v>
      </c>
      <c r="G2421" s="14">
        <v>350.66666666666663</v>
      </c>
      <c r="H2421" s="14">
        <v>122.66666666666664</v>
      </c>
      <c r="I2421" s="14">
        <v>254</v>
      </c>
      <c r="K2421" s="15"/>
    </row>
    <row r="2422" spans="1:11" ht="16.5" x14ac:dyDescent="0.2">
      <c r="A2422" s="4" t="s">
        <v>44</v>
      </c>
      <c r="B2422">
        <v>2011</v>
      </c>
      <c r="C2422" s="14">
        <v>2030.6666666666667</v>
      </c>
      <c r="D2422" s="14">
        <v>160</v>
      </c>
      <c r="E2422" s="14">
        <v>15840.666666666664</v>
      </c>
      <c r="F2422" s="14">
        <v>569.33333333333337</v>
      </c>
      <c r="G2422" s="14">
        <v>354.66666666666663</v>
      </c>
      <c r="H2422" s="14">
        <v>124</v>
      </c>
      <c r="I2422" s="14">
        <v>255.33333333333329</v>
      </c>
    </row>
    <row r="2423" spans="1:11" ht="16.5" x14ac:dyDescent="0.2">
      <c r="A2423" s="4" t="s">
        <v>44</v>
      </c>
      <c r="B2423">
        <v>2012</v>
      </c>
      <c r="C2423" s="14">
        <v>2024</v>
      </c>
      <c r="D2423" s="14">
        <v>157.33333333333334</v>
      </c>
      <c r="E2423" s="14">
        <v>15839.333333333332</v>
      </c>
      <c r="F2423" s="14">
        <v>569.33333333333337</v>
      </c>
      <c r="G2423" s="14">
        <v>363.99999999999994</v>
      </c>
      <c r="H2423" s="14">
        <v>124</v>
      </c>
      <c r="I2423" s="14">
        <v>256.66666666666663</v>
      </c>
      <c r="K2423" s="15"/>
    </row>
    <row r="2424" spans="1:11" ht="16.5" x14ac:dyDescent="0.2">
      <c r="A2424" s="4" t="s">
        <v>44</v>
      </c>
      <c r="B2424">
        <v>2013</v>
      </c>
      <c r="C2424" s="14">
        <v>2016.6666666666665</v>
      </c>
      <c r="D2424" s="14">
        <v>156.66666666666666</v>
      </c>
      <c r="E2424" s="14">
        <v>15837.333333333332</v>
      </c>
      <c r="F2424" s="14">
        <v>570</v>
      </c>
      <c r="G2424" s="14">
        <v>371.99999999999994</v>
      </c>
      <c r="H2424" s="14">
        <v>125.99999999999999</v>
      </c>
      <c r="I2424" s="14">
        <v>255.99999999999997</v>
      </c>
    </row>
    <row r="2425" spans="1:11" ht="16.5" x14ac:dyDescent="0.2">
      <c r="A2425" s="4" t="s">
        <v>44</v>
      </c>
      <c r="B2425">
        <v>2014</v>
      </c>
      <c r="C2425" s="14">
        <v>2014</v>
      </c>
      <c r="D2425" s="14">
        <v>156.66666666666666</v>
      </c>
      <c r="E2425" s="14">
        <v>15836.666666666666</v>
      </c>
      <c r="F2425" s="14">
        <v>569.33333333333337</v>
      </c>
      <c r="G2425" s="14">
        <v>376.66666666666669</v>
      </c>
      <c r="H2425" s="14">
        <v>127.33333333333333</v>
      </c>
      <c r="I2425" s="14">
        <v>253.33333333333331</v>
      </c>
    </row>
    <row r="2426" spans="1:11" ht="16.5" x14ac:dyDescent="0.2">
      <c r="A2426" s="4" t="s">
        <v>44</v>
      </c>
      <c r="B2426">
        <v>2015</v>
      </c>
      <c r="C2426" s="14">
        <v>2012</v>
      </c>
      <c r="D2426" s="14">
        <v>156.66666666666666</v>
      </c>
      <c r="E2426" s="14">
        <v>15836</v>
      </c>
      <c r="F2426" s="14">
        <v>569.33333333333337</v>
      </c>
      <c r="G2426" s="14">
        <v>379.99999999999994</v>
      </c>
      <c r="H2426" s="14">
        <v>127.99999999999999</v>
      </c>
      <c r="I2426" s="14">
        <v>252.66666666666663</v>
      </c>
      <c r="K2426" s="15"/>
    </row>
    <row r="2427" spans="1:11" ht="16.5" x14ac:dyDescent="0.2">
      <c r="A2427" s="4" t="s">
        <v>44</v>
      </c>
      <c r="B2427">
        <v>2016</v>
      </c>
      <c r="C2427" s="14">
        <v>2006.6666666666665</v>
      </c>
      <c r="D2427" s="14">
        <v>156.66666666666666</v>
      </c>
      <c r="E2427" s="14">
        <v>15829.999999999998</v>
      </c>
      <c r="F2427" s="14">
        <v>574.66666666666663</v>
      </c>
      <c r="G2427" s="14">
        <v>384</v>
      </c>
      <c r="H2427" s="14">
        <v>128.66666666666666</v>
      </c>
      <c r="I2427" s="14">
        <v>253.33333333333331</v>
      </c>
    </row>
    <row r="2428" spans="1:11" ht="16.5" x14ac:dyDescent="0.2">
      <c r="A2428" s="4" t="s">
        <v>43</v>
      </c>
      <c r="B2428">
        <v>2009</v>
      </c>
      <c r="C2428" s="14">
        <v>2896.6666666666665</v>
      </c>
      <c r="D2428" s="14">
        <v>103.99999999999999</v>
      </c>
      <c r="E2428" s="14">
        <v>1062.6666666666665</v>
      </c>
      <c r="F2428" s="14">
        <v>7657.3333333333321</v>
      </c>
      <c r="G2428" s="14">
        <v>549.33333333333326</v>
      </c>
      <c r="H2428" s="14">
        <v>168.66666666666666</v>
      </c>
      <c r="I2428" s="14">
        <v>124</v>
      </c>
      <c r="K2428" s="15"/>
    </row>
    <row r="2429" spans="1:11" ht="16.5" x14ac:dyDescent="0.2">
      <c r="A2429" s="4" t="s">
        <v>43</v>
      </c>
      <c r="B2429">
        <v>2010</v>
      </c>
      <c r="C2429" s="14">
        <v>2892.6666666666661</v>
      </c>
      <c r="D2429" s="14">
        <v>102.66666666666666</v>
      </c>
      <c r="E2429" s="14">
        <v>1062</v>
      </c>
      <c r="F2429" s="14">
        <v>7652.666666666667</v>
      </c>
      <c r="G2429" s="14">
        <v>557.33333333333337</v>
      </c>
      <c r="H2429" s="14">
        <v>170.66666666666666</v>
      </c>
      <c r="I2429" s="14">
        <v>124</v>
      </c>
    </row>
    <row r="2430" spans="1:11" ht="16.5" x14ac:dyDescent="0.2">
      <c r="A2430" s="4" t="s">
        <v>43</v>
      </c>
      <c r="B2430">
        <v>2011</v>
      </c>
      <c r="C2430" s="14">
        <v>2889.333333333333</v>
      </c>
      <c r="D2430" s="14">
        <v>100.66666666666666</v>
      </c>
      <c r="E2430" s="14">
        <v>1061.3333333333333</v>
      </c>
      <c r="F2430" s="14">
        <v>7638.6666666666661</v>
      </c>
      <c r="G2430" s="14">
        <v>577.33333333333337</v>
      </c>
      <c r="H2430" s="14">
        <v>172</v>
      </c>
      <c r="I2430" s="14">
        <v>123.33333333333333</v>
      </c>
    </row>
    <row r="2431" spans="1:11" ht="16.5" x14ac:dyDescent="0.2">
      <c r="A2431" s="4" t="s">
        <v>43</v>
      </c>
      <c r="B2431">
        <v>2012</v>
      </c>
      <c r="C2431" s="14">
        <v>2881.333333333333</v>
      </c>
      <c r="D2431" s="14">
        <v>98.666666666666657</v>
      </c>
      <c r="E2431" s="14">
        <v>1060.6666666666665</v>
      </c>
      <c r="F2431" s="14">
        <v>7634.6666666666661</v>
      </c>
      <c r="G2431" s="14">
        <v>591.33333333333326</v>
      </c>
      <c r="H2431" s="14">
        <v>174.66666666666666</v>
      </c>
      <c r="I2431" s="14">
        <v>123.33333333333333</v>
      </c>
      <c r="K2431" s="15"/>
    </row>
    <row r="2432" spans="1:11" ht="16.5" x14ac:dyDescent="0.2">
      <c r="A2432" s="4" t="s">
        <v>43</v>
      </c>
      <c r="B2432">
        <v>2013</v>
      </c>
      <c r="C2432" s="14">
        <v>2855.9999999999995</v>
      </c>
      <c r="D2432" s="14">
        <v>95.333333333333329</v>
      </c>
      <c r="E2432" s="14">
        <v>1058.6666666666667</v>
      </c>
      <c r="F2432" s="14">
        <v>7622.666666666667</v>
      </c>
      <c r="G2432" s="14">
        <v>634</v>
      </c>
      <c r="H2432" s="14">
        <v>175.99999999999997</v>
      </c>
      <c r="I2432" s="14">
        <v>122.66666666666664</v>
      </c>
    </row>
    <row r="2433" spans="1:11" ht="16.5" x14ac:dyDescent="0.2">
      <c r="A2433" s="4" t="s">
        <v>43</v>
      </c>
      <c r="B2433">
        <v>2014</v>
      </c>
      <c r="C2433" s="14">
        <v>2841.333333333333</v>
      </c>
      <c r="D2433" s="14">
        <v>93.333333333333329</v>
      </c>
      <c r="E2433" s="14">
        <v>1057.3333333333333</v>
      </c>
      <c r="F2433" s="14">
        <v>7611.9999999999991</v>
      </c>
      <c r="G2433" s="14">
        <v>650.66666666666652</v>
      </c>
      <c r="H2433" s="14">
        <v>187.33333333333331</v>
      </c>
      <c r="I2433" s="14">
        <v>122</v>
      </c>
      <c r="K2433" s="15"/>
    </row>
    <row r="2434" spans="1:11" ht="16.5" x14ac:dyDescent="0.2">
      <c r="A2434" s="4" t="s">
        <v>43</v>
      </c>
      <c r="B2434">
        <v>2015</v>
      </c>
      <c r="C2434" s="14">
        <v>2828.6666666666665</v>
      </c>
      <c r="D2434" s="14">
        <v>92</v>
      </c>
      <c r="E2434" s="14">
        <v>1056.6666666666665</v>
      </c>
      <c r="F2434" s="14">
        <v>7603.333333333333</v>
      </c>
      <c r="G2434" s="14">
        <v>669.33333333333326</v>
      </c>
      <c r="H2434" s="14">
        <v>192.66666666666663</v>
      </c>
      <c r="I2434" s="14">
        <v>122</v>
      </c>
    </row>
    <row r="2435" spans="1:11" ht="16.5" x14ac:dyDescent="0.2">
      <c r="A2435" s="4" t="s">
        <v>43</v>
      </c>
      <c r="B2435">
        <v>2016</v>
      </c>
      <c r="C2435" s="14">
        <v>2815.333333333333</v>
      </c>
      <c r="D2435" s="14">
        <v>90.666666666666657</v>
      </c>
      <c r="E2435" s="14">
        <v>1055.3333333333333</v>
      </c>
      <c r="F2435" s="14">
        <v>7595.3333333333321</v>
      </c>
      <c r="G2435" s="14">
        <v>693.33333333333326</v>
      </c>
      <c r="H2435" s="14">
        <v>193.33333333333331</v>
      </c>
      <c r="I2435" s="14">
        <v>122</v>
      </c>
    </row>
    <row r="2436" spans="1:11" ht="16.5" x14ac:dyDescent="0.2">
      <c r="A2436" s="4" t="s">
        <v>42</v>
      </c>
      <c r="B2436">
        <v>2009</v>
      </c>
      <c r="C2436" s="14">
        <v>66.666666666666657</v>
      </c>
      <c r="D2436" s="14">
        <v>29.333333333333332</v>
      </c>
      <c r="E2436" s="14">
        <v>10</v>
      </c>
      <c r="F2436" s="14">
        <v>73.999999999999986</v>
      </c>
      <c r="G2436" s="14">
        <v>89.333333333333329</v>
      </c>
      <c r="H2436" s="14">
        <v>16.666666666666664</v>
      </c>
      <c r="I2436" s="14">
        <v>15.999999999999998</v>
      </c>
      <c r="K2436" s="15"/>
    </row>
    <row r="2437" spans="1:11" ht="16.5" x14ac:dyDescent="0.2">
      <c r="A2437" s="4" t="s">
        <v>42</v>
      </c>
      <c r="B2437">
        <v>2010</v>
      </c>
      <c r="C2437" s="14">
        <v>67.333333333333329</v>
      </c>
      <c r="D2437" s="14">
        <v>29.333333333333332</v>
      </c>
      <c r="E2437" s="14">
        <v>10</v>
      </c>
      <c r="F2437" s="14">
        <v>73.999999999999986</v>
      </c>
      <c r="G2437" s="14">
        <v>93.333333333333343</v>
      </c>
      <c r="H2437" s="14">
        <v>17.333333333333332</v>
      </c>
      <c r="I2437" s="14">
        <v>15.999999999999998</v>
      </c>
    </row>
    <row r="2438" spans="1:11" ht="16.5" x14ac:dyDescent="0.2">
      <c r="A2438" s="4" t="s">
        <v>42</v>
      </c>
      <c r="B2438">
        <v>2011</v>
      </c>
      <c r="C2438" s="14">
        <v>67.999999999999986</v>
      </c>
      <c r="D2438" s="14">
        <v>29.333333333333332</v>
      </c>
      <c r="E2438" s="14">
        <v>10</v>
      </c>
      <c r="F2438" s="14">
        <v>73.999999999999986</v>
      </c>
      <c r="G2438" s="14">
        <v>94.666666666666671</v>
      </c>
      <c r="H2438" s="14">
        <v>18</v>
      </c>
      <c r="I2438" s="14">
        <v>15.999999999999998</v>
      </c>
      <c r="K2438" s="15"/>
    </row>
    <row r="2439" spans="1:11" ht="16.5" x14ac:dyDescent="0.2">
      <c r="A2439" s="4" t="s">
        <v>42</v>
      </c>
      <c r="B2439">
        <v>2012</v>
      </c>
      <c r="C2439" s="14">
        <v>67.999999999999986</v>
      </c>
      <c r="D2439" s="14">
        <v>29.333333333333332</v>
      </c>
      <c r="E2439" s="14">
        <v>10.666666666666666</v>
      </c>
      <c r="F2439" s="14">
        <v>79.333333333333329</v>
      </c>
      <c r="G2439" s="14">
        <v>107.33333333333333</v>
      </c>
      <c r="H2439" s="14">
        <v>18.666666666666664</v>
      </c>
      <c r="I2439" s="14">
        <v>15.999999999999998</v>
      </c>
    </row>
    <row r="2440" spans="1:11" ht="16.5" x14ac:dyDescent="0.2">
      <c r="A2440" s="4" t="s">
        <v>42</v>
      </c>
      <c r="B2440">
        <v>2013</v>
      </c>
      <c r="C2440" s="14">
        <v>67.999999999999986</v>
      </c>
      <c r="D2440" s="14">
        <v>29.333333333333332</v>
      </c>
      <c r="E2440" s="14">
        <v>10.666666666666666</v>
      </c>
      <c r="F2440" s="14">
        <v>77.333333333333329</v>
      </c>
      <c r="G2440" s="14">
        <v>117.33333333333333</v>
      </c>
      <c r="H2440" s="14">
        <v>19.333333333333332</v>
      </c>
      <c r="I2440" s="14">
        <v>15.999999999999998</v>
      </c>
    </row>
    <row r="2441" spans="1:11" ht="16.5" x14ac:dyDescent="0.2">
      <c r="A2441" s="4" t="s">
        <v>42</v>
      </c>
      <c r="B2441">
        <v>2014</v>
      </c>
      <c r="C2441" s="14">
        <v>67.999999999999986</v>
      </c>
      <c r="D2441" s="14">
        <v>29.333333333333332</v>
      </c>
      <c r="E2441" s="14">
        <v>10.666666666666666</v>
      </c>
      <c r="F2441" s="14">
        <v>76.666666666666657</v>
      </c>
      <c r="G2441" s="14">
        <v>120.00000000000001</v>
      </c>
      <c r="H2441" s="14">
        <v>19.333333333333332</v>
      </c>
      <c r="I2441" s="14">
        <v>15.999999999999998</v>
      </c>
      <c r="K2441" s="15"/>
    </row>
    <row r="2442" spans="1:11" ht="16.5" x14ac:dyDescent="0.2">
      <c r="A2442" s="4" t="s">
        <v>42</v>
      </c>
      <c r="B2442">
        <v>2015</v>
      </c>
      <c r="C2442" s="14">
        <v>69.333333333333329</v>
      </c>
      <c r="D2442" s="14">
        <v>29.333333333333332</v>
      </c>
      <c r="E2442" s="14">
        <v>10.666666666666666</v>
      </c>
      <c r="F2442" s="14">
        <v>76</v>
      </c>
      <c r="G2442" s="14">
        <v>124.66666666666666</v>
      </c>
      <c r="H2442" s="14">
        <v>20</v>
      </c>
      <c r="I2442" s="14">
        <v>15.999999999999998</v>
      </c>
    </row>
    <row r="2443" spans="1:11" ht="16.5" x14ac:dyDescent="0.2">
      <c r="A2443" s="4" t="s">
        <v>42</v>
      </c>
      <c r="B2443">
        <v>2016</v>
      </c>
      <c r="C2443" s="14">
        <v>69.333333333333329</v>
      </c>
      <c r="D2443" s="14">
        <v>29.333333333333332</v>
      </c>
      <c r="E2443" s="14">
        <v>10.666666666666666</v>
      </c>
      <c r="F2443" s="14">
        <v>76</v>
      </c>
      <c r="G2443" s="14">
        <v>124.66666666666666</v>
      </c>
      <c r="H2443" s="14">
        <v>20</v>
      </c>
      <c r="I2443" s="14">
        <v>15.999999999999998</v>
      </c>
      <c r="K2443" s="15"/>
    </row>
    <row r="2444" spans="1:11" ht="16.5" x14ac:dyDescent="0.2">
      <c r="A2444" s="4" t="s">
        <v>41</v>
      </c>
      <c r="B2444">
        <v>2009</v>
      </c>
      <c r="C2444" s="14">
        <v>1139.3333333333333</v>
      </c>
      <c r="D2444" s="14">
        <v>6.6666666666666661</v>
      </c>
      <c r="E2444" s="14">
        <v>1082.6666666666665</v>
      </c>
      <c r="F2444" s="14">
        <v>1437.3333333333333</v>
      </c>
      <c r="G2444" s="14">
        <v>173.33333333333331</v>
      </c>
      <c r="H2444" s="14">
        <v>60.666666666666657</v>
      </c>
      <c r="I2444" s="14">
        <v>145.33333333333331</v>
      </c>
    </row>
    <row r="2445" spans="1:11" ht="16.5" x14ac:dyDescent="0.2">
      <c r="A2445" s="4" t="s">
        <v>41</v>
      </c>
      <c r="B2445">
        <v>2010</v>
      </c>
      <c r="C2445" s="14">
        <v>1146.6666666666665</v>
      </c>
      <c r="D2445" s="14">
        <v>6.6666666666666661</v>
      </c>
      <c r="E2445" s="14">
        <v>1085.3333333333333</v>
      </c>
      <c r="F2445" s="14">
        <v>1436.6666666666665</v>
      </c>
      <c r="G2445" s="14">
        <v>179.33333333333331</v>
      </c>
      <c r="H2445" s="14">
        <v>63.999999999999993</v>
      </c>
      <c r="I2445" s="14">
        <v>145.33333333333331</v>
      </c>
    </row>
    <row r="2446" spans="1:11" ht="16.5" x14ac:dyDescent="0.2">
      <c r="A2446" s="4" t="s">
        <v>41</v>
      </c>
      <c r="B2446">
        <v>2011</v>
      </c>
      <c r="C2446" s="14">
        <v>1116</v>
      </c>
      <c r="D2446" s="14">
        <v>6</v>
      </c>
      <c r="E2446" s="14">
        <v>1085.3333333333333</v>
      </c>
      <c r="F2446" s="14">
        <v>1467.9999999999998</v>
      </c>
      <c r="G2446" s="14">
        <v>190.66666666666666</v>
      </c>
      <c r="H2446" s="14">
        <v>64.666666666666657</v>
      </c>
      <c r="I2446" s="14">
        <v>145.33333333333331</v>
      </c>
      <c r="K2446" s="15"/>
    </row>
    <row r="2447" spans="1:11" ht="16.5" x14ac:dyDescent="0.2">
      <c r="A2447" s="4" t="s">
        <v>41</v>
      </c>
      <c r="B2447">
        <v>2012</v>
      </c>
      <c r="C2447" s="14">
        <v>1111.3333333333333</v>
      </c>
      <c r="D2447" s="14">
        <v>6</v>
      </c>
      <c r="E2447" s="14">
        <v>1087.9999999999998</v>
      </c>
      <c r="F2447" s="14">
        <v>1470.6666666666665</v>
      </c>
      <c r="G2447" s="14">
        <v>195.99999999999997</v>
      </c>
      <c r="H2447" s="14">
        <v>66</v>
      </c>
      <c r="I2447" s="14">
        <v>145.33333333333331</v>
      </c>
    </row>
    <row r="2448" spans="1:11" ht="16.5" x14ac:dyDescent="0.2">
      <c r="A2448" s="4" t="s">
        <v>41</v>
      </c>
      <c r="B2448">
        <v>2013</v>
      </c>
      <c r="C2448" s="14">
        <v>1107.9999999999998</v>
      </c>
      <c r="D2448" s="14">
        <v>6</v>
      </c>
      <c r="E2448" s="14">
        <v>1086.6666666666665</v>
      </c>
      <c r="F2448" s="14">
        <v>1472.6666666666665</v>
      </c>
      <c r="G2448" s="14">
        <v>201.33333333333331</v>
      </c>
      <c r="H2448" s="14">
        <v>69.333333333333329</v>
      </c>
      <c r="I2448" s="14">
        <v>145.33333333333331</v>
      </c>
      <c r="K2448" s="15"/>
    </row>
    <row r="2449" spans="1:11" ht="16.5" x14ac:dyDescent="0.2">
      <c r="A2449" s="4" t="s">
        <v>41</v>
      </c>
      <c r="B2449">
        <v>2014</v>
      </c>
      <c r="C2449" s="14">
        <v>1107.9999999999998</v>
      </c>
      <c r="D2449" s="14">
        <v>6</v>
      </c>
      <c r="E2449" s="14">
        <v>1086.6666666666665</v>
      </c>
      <c r="F2449" s="14">
        <v>1470.6666666666665</v>
      </c>
      <c r="G2449" s="14">
        <v>204.66666666666666</v>
      </c>
      <c r="H2449" s="14">
        <v>70</v>
      </c>
      <c r="I2449" s="14">
        <v>145.33333333333331</v>
      </c>
    </row>
    <row r="2450" spans="1:11" ht="16.5" x14ac:dyDescent="0.2">
      <c r="A2450" s="4" t="s">
        <v>41</v>
      </c>
      <c r="B2450">
        <v>2015</v>
      </c>
      <c r="C2450" s="14">
        <v>1107.3333333333333</v>
      </c>
      <c r="D2450" s="14">
        <v>6</v>
      </c>
      <c r="E2450" s="14">
        <v>1086.6666666666665</v>
      </c>
      <c r="F2450" s="14">
        <v>1469.3333333333333</v>
      </c>
      <c r="G2450" s="14">
        <v>207.99999999999997</v>
      </c>
      <c r="H2450" s="14">
        <v>70</v>
      </c>
      <c r="I2450" s="14">
        <v>145.33333333333331</v>
      </c>
    </row>
    <row r="2451" spans="1:11" ht="16.5" x14ac:dyDescent="0.2">
      <c r="A2451" s="4" t="s">
        <v>41</v>
      </c>
      <c r="B2451">
        <v>2016</v>
      </c>
      <c r="C2451" s="14">
        <v>1110.6666666666665</v>
      </c>
      <c r="D2451" s="14">
        <v>6</v>
      </c>
      <c r="E2451" s="14">
        <v>1086</v>
      </c>
      <c r="F2451" s="14">
        <v>1468.6666666666665</v>
      </c>
      <c r="G2451" s="14">
        <v>209.33333333333331</v>
      </c>
      <c r="H2451" s="14">
        <v>70</v>
      </c>
      <c r="I2451" s="14">
        <v>145.33333333333331</v>
      </c>
      <c r="K2451" s="15"/>
    </row>
    <row r="2452" spans="1:11" ht="16.5" x14ac:dyDescent="0.2">
      <c r="A2452" s="4" t="s">
        <v>40</v>
      </c>
      <c r="B2452">
        <v>2009</v>
      </c>
      <c r="C2452" s="14">
        <v>5178.6666666666661</v>
      </c>
      <c r="D2452" s="14">
        <v>102.66666666666666</v>
      </c>
      <c r="E2452" s="14">
        <v>1076.6666666666665</v>
      </c>
      <c r="F2452" s="14">
        <v>10136</v>
      </c>
      <c r="G2452" s="14">
        <v>545.33333333333326</v>
      </c>
      <c r="H2452" s="14">
        <v>199.33333333333331</v>
      </c>
      <c r="I2452" s="14">
        <v>183.33333333333331</v>
      </c>
    </row>
    <row r="2453" spans="1:11" ht="16.5" x14ac:dyDescent="0.2">
      <c r="A2453" s="4" t="s">
        <v>40</v>
      </c>
      <c r="B2453">
        <v>2010</v>
      </c>
      <c r="C2453" s="14">
        <v>5178</v>
      </c>
      <c r="D2453" s="14">
        <v>102.66666666666666</v>
      </c>
      <c r="E2453" s="14">
        <v>1076</v>
      </c>
      <c r="F2453" s="14">
        <v>10126.666666666666</v>
      </c>
      <c r="G2453" s="14">
        <v>556</v>
      </c>
      <c r="H2453" s="14">
        <v>199.33333333333331</v>
      </c>
      <c r="I2453" s="14">
        <v>183.33333333333331</v>
      </c>
      <c r="K2453" s="15"/>
    </row>
    <row r="2454" spans="1:11" ht="16.5" x14ac:dyDescent="0.2">
      <c r="A2454" s="4" t="s">
        <v>40</v>
      </c>
      <c r="B2454">
        <v>2011</v>
      </c>
      <c r="C2454" s="14">
        <v>5179.333333333333</v>
      </c>
      <c r="D2454" s="14">
        <v>102.66666666666666</v>
      </c>
      <c r="E2454" s="14">
        <v>1075.3333333333333</v>
      </c>
      <c r="F2454" s="14">
        <v>10113.999999999998</v>
      </c>
      <c r="G2454" s="14">
        <v>560</v>
      </c>
      <c r="H2454" s="14">
        <v>202</v>
      </c>
      <c r="I2454" s="14">
        <v>184</v>
      </c>
    </row>
    <row r="2455" spans="1:11" ht="16.5" x14ac:dyDescent="0.2">
      <c r="A2455" s="4" t="s">
        <v>40</v>
      </c>
      <c r="B2455">
        <v>2012</v>
      </c>
      <c r="C2455" s="14">
        <v>5180.6666666666661</v>
      </c>
      <c r="D2455" s="14">
        <v>102.66666666666666</v>
      </c>
      <c r="E2455" s="14">
        <v>1075.3333333333333</v>
      </c>
      <c r="F2455" s="14">
        <v>10102.666666666666</v>
      </c>
      <c r="G2455" s="14">
        <v>568</v>
      </c>
      <c r="H2455" s="14">
        <v>202.66666666666663</v>
      </c>
      <c r="I2455" s="14">
        <v>184</v>
      </c>
    </row>
    <row r="2456" spans="1:11" ht="16.5" x14ac:dyDescent="0.2">
      <c r="A2456" s="4" t="s">
        <v>40</v>
      </c>
      <c r="B2456">
        <v>2013</v>
      </c>
      <c r="C2456" s="14">
        <v>5181.333333333333</v>
      </c>
      <c r="D2456" s="14">
        <v>102</v>
      </c>
      <c r="E2456" s="14">
        <v>1073.9999999999998</v>
      </c>
      <c r="F2456" s="14">
        <v>10090.666666666666</v>
      </c>
      <c r="G2456" s="14">
        <v>578.66666666666652</v>
      </c>
      <c r="H2456" s="14">
        <v>204.66666666666666</v>
      </c>
      <c r="I2456" s="14">
        <v>184</v>
      </c>
      <c r="K2456" s="15"/>
    </row>
    <row r="2457" spans="1:11" ht="16.5" x14ac:dyDescent="0.2">
      <c r="A2457" s="4" t="s">
        <v>40</v>
      </c>
      <c r="B2457">
        <v>2014</v>
      </c>
      <c r="C2457" s="14">
        <v>5180.6666666666661</v>
      </c>
      <c r="D2457" s="14">
        <v>102</v>
      </c>
      <c r="E2457" s="14">
        <v>1073.9999999999998</v>
      </c>
      <c r="F2457" s="14">
        <v>10081.333333333332</v>
      </c>
      <c r="G2457" s="14">
        <v>585.33333333333326</v>
      </c>
      <c r="H2457" s="14">
        <v>205.33333333333331</v>
      </c>
      <c r="I2457" s="14">
        <v>184</v>
      </c>
    </row>
    <row r="2458" spans="1:11" ht="16.5" x14ac:dyDescent="0.2">
      <c r="A2458" s="4" t="s">
        <v>40</v>
      </c>
      <c r="B2458">
        <v>2015</v>
      </c>
      <c r="C2458" s="14">
        <v>5175.9999999999991</v>
      </c>
      <c r="D2458" s="14">
        <v>102</v>
      </c>
      <c r="E2458" s="14">
        <v>1073.9999999999998</v>
      </c>
      <c r="F2458" s="14">
        <v>10077.333333333332</v>
      </c>
      <c r="G2458" s="14">
        <v>592.66666666666663</v>
      </c>
      <c r="H2458" s="14">
        <v>205.99999999999997</v>
      </c>
      <c r="I2458" s="14">
        <v>184.66666666666666</v>
      </c>
      <c r="K2458" s="15"/>
    </row>
    <row r="2459" spans="1:11" ht="16.5" x14ac:dyDescent="0.2">
      <c r="A2459" s="4" t="s">
        <v>40</v>
      </c>
      <c r="B2459">
        <v>2016</v>
      </c>
      <c r="C2459" s="14">
        <v>5179.9999999999991</v>
      </c>
      <c r="D2459" s="14">
        <v>101.33333333333331</v>
      </c>
      <c r="E2459" s="14">
        <v>1073.3333333333333</v>
      </c>
      <c r="F2459" s="14">
        <v>10066.666666666666</v>
      </c>
      <c r="G2459" s="14">
        <v>602.66666666666663</v>
      </c>
      <c r="H2459" s="14">
        <v>207.33333333333331</v>
      </c>
      <c r="I2459" s="14">
        <v>184.66666666666666</v>
      </c>
    </row>
    <row r="2460" spans="1:11" ht="16.5" x14ac:dyDescent="0.2">
      <c r="A2460" s="4" t="s">
        <v>39</v>
      </c>
      <c r="B2460">
        <v>2009</v>
      </c>
      <c r="C2460" s="14">
        <v>5336.6666666666661</v>
      </c>
      <c r="D2460" s="14">
        <v>621.33333333333326</v>
      </c>
      <c r="E2460" s="14">
        <v>5215.3333333333321</v>
      </c>
      <c r="F2460" s="14">
        <v>1494.6666666666665</v>
      </c>
      <c r="G2460" s="14">
        <v>560.66666666666663</v>
      </c>
      <c r="H2460" s="14">
        <v>155.33333333333331</v>
      </c>
      <c r="I2460" s="14">
        <v>142</v>
      </c>
    </row>
    <row r="2461" spans="1:11" ht="16.5" x14ac:dyDescent="0.2">
      <c r="A2461" s="4" t="s">
        <v>39</v>
      </c>
      <c r="B2461">
        <v>2010</v>
      </c>
      <c r="C2461" s="14">
        <v>5334.6666666666661</v>
      </c>
      <c r="D2461" s="14">
        <v>618.66666666666663</v>
      </c>
      <c r="E2461" s="14">
        <v>5215.3333333333321</v>
      </c>
      <c r="F2461" s="14">
        <v>1494.6666666666665</v>
      </c>
      <c r="G2461" s="14">
        <v>566</v>
      </c>
      <c r="H2461" s="14">
        <v>155.99999999999997</v>
      </c>
      <c r="I2461" s="14">
        <v>142</v>
      </c>
      <c r="K2461" s="15"/>
    </row>
    <row r="2462" spans="1:11" ht="16.5" x14ac:dyDescent="0.2">
      <c r="A2462" s="4" t="s">
        <v>39</v>
      </c>
      <c r="B2462">
        <v>2011</v>
      </c>
      <c r="C2462" s="14">
        <v>5335.9999999999991</v>
      </c>
      <c r="D2462" s="14">
        <v>613.33333333333326</v>
      </c>
      <c r="E2462" s="14">
        <v>5214.6666666666661</v>
      </c>
      <c r="F2462" s="14">
        <v>1490.6666666666665</v>
      </c>
      <c r="G2462" s="14">
        <v>575.33333333333337</v>
      </c>
      <c r="H2462" s="14">
        <v>156.66666666666666</v>
      </c>
      <c r="I2462" s="14">
        <v>142</v>
      </c>
    </row>
    <row r="2463" spans="1:11" ht="16.5" x14ac:dyDescent="0.2">
      <c r="A2463" s="4" t="s">
        <v>39</v>
      </c>
      <c r="B2463">
        <v>2012</v>
      </c>
      <c r="C2463" s="14">
        <v>5335.9999999999991</v>
      </c>
      <c r="D2463" s="14">
        <v>609.33333333333337</v>
      </c>
      <c r="E2463" s="14">
        <v>5214.6666666666661</v>
      </c>
      <c r="F2463" s="14">
        <v>1486.6666666666665</v>
      </c>
      <c r="G2463" s="14">
        <v>584</v>
      </c>
      <c r="H2463" s="14">
        <v>157.99999999999997</v>
      </c>
      <c r="I2463" s="14">
        <v>142</v>
      </c>
      <c r="K2463" s="15"/>
    </row>
    <row r="2464" spans="1:11" ht="16.5" x14ac:dyDescent="0.2">
      <c r="A2464" s="4" t="s">
        <v>39</v>
      </c>
      <c r="B2464">
        <v>2013</v>
      </c>
      <c r="C2464" s="14">
        <v>5335.3333333333321</v>
      </c>
      <c r="D2464" s="14">
        <v>606.66666666666663</v>
      </c>
      <c r="E2464" s="14">
        <v>5214</v>
      </c>
      <c r="F2464" s="14">
        <v>1483.3333333333333</v>
      </c>
      <c r="G2464" s="14">
        <v>588</v>
      </c>
      <c r="H2464" s="14">
        <v>160.66666666666666</v>
      </c>
      <c r="I2464" s="14">
        <v>141.33333333333331</v>
      </c>
    </row>
    <row r="2465" spans="1:11" ht="16.5" x14ac:dyDescent="0.2">
      <c r="A2465" s="4" t="s">
        <v>39</v>
      </c>
      <c r="B2465">
        <v>2014</v>
      </c>
      <c r="C2465" s="14">
        <v>5328.6666666666661</v>
      </c>
      <c r="D2465" s="14">
        <v>605.33333333333326</v>
      </c>
      <c r="E2465" s="14">
        <v>5213.333333333333</v>
      </c>
      <c r="F2465" s="14">
        <v>1482</v>
      </c>
      <c r="G2465" s="14">
        <v>593.99999999999989</v>
      </c>
      <c r="H2465" s="14">
        <v>164.66666666666666</v>
      </c>
      <c r="I2465" s="14">
        <v>140.66666666666666</v>
      </c>
    </row>
    <row r="2466" spans="1:11" ht="16.5" x14ac:dyDescent="0.2">
      <c r="A2466" s="4" t="s">
        <v>39</v>
      </c>
      <c r="B2466">
        <v>2015</v>
      </c>
      <c r="C2466" s="14">
        <v>5326.6666666666661</v>
      </c>
      <c r="D2466" s="14">
        <v>603.33333333333326</v>
      </c>
      <c r="E2466" s="14">
        <v>5213.333333333333</v>
      </c>
      <c r="F2466" s="14">
        <v>1477.9999999999998</v>
      </c>
      <c r="G2466" s="14">
        <v>601.33333333333326</v>
      </c>
      <c r="H2466" s="14">
        <v>165.33333333333331</v>
      </c>
      <c r="I2466" s="14">
        <v>140.66666666666666</v>
      </c>
      <c r="K2466" s="15"/>
    </row>
    <row r="2467" spans="1:11" ht="16.5" x14ac:dyDescent="0.2">
      <c r="A2467" s="4" t="s">
        <v>39</v>
      </c>
      <c r="B2467">
        <v>2016</v>
      </c>
      <c r="C2467" s="14">
        <v>5322.6666666666661</v>
      </c>
      <c r="D2467" s="14">
        <v>601.99999999999989</v>
      </c>
      <c r="E2467" s="14">
        <v>5212.6666666666661</v>
      </c>
      <c r="F2467" s="14">
        <v>1477.9999999999998</v>
      </c>
      <c r="G2467" s="14">
        <v>606</v>
      </c>
      <c r="H2467" s="14">
        <v>165.99999999999997</v>
      </c>
      <c r="I2467" s="14">
        <v>140</v>
      </c>
    </row>
    <row r="2468" spans="1:11" ht="16.5" x14ac:dyDescent="0.2">
      <c r="A2468" s="4" t="s">
        <v>38</v>
      </c>
      <c r="B2468">
        <v>2009</v>
      </c>
      <c r="C2468" s="14">
        <v>4625.9999999999991</v>
      </c>
      <c r="D2468" s="14">
        <v>80.666666666666657</v>
      </c>
      <c r="E2468" s="14">
        <v>3734</v>
      </c>
      <c r="F2468" s="14">
        <v>9774.6666666666661</v>
      </c>
      <c r="G2468" s="14">
        <v>490.66666666666669</v>
      </c>
      <c r="H2468" s="14">
        <v>224.66666666666666</v>
      </c>
      <c r="I2468" s="14">
        <v>381.33333333333331</v>
      </c>
      <c r="K2468" s="15"/>
    </row>
    <row r="2469" spans="1:11" ht="16.5" x14ac:dyDescent="0.2">
      <c r="A2469" s="4" t="s">
        <v>38</v>
      </c>
      <c r="B2469">
        <v>2010</v>
      </c>
      <c r="C2469" s="14">
        <v>4510</v>
      </c>
      <c r="D2469" s="14">
        <v>81.333333333333314</v>
      </c>
      <c r="E2469" s="14">
        <v>3734</v>
      </c>
      <c r="F2469" s="14">
        <v>9881.3333333333321</v>
      </c>
      <c r="G2469" s="14">
        <v>496</v>
      </c>
      <c r="H2469" s="14">
        <v>229.33333333333331</v>
      </c>
      <c r="I2469" s="14">
        <v>380.66666666666663</v>
      </c>
    </row>
    <row r="2470" spans="1:11" ht="16.5" x14ac:dyDescent="0.2">
      <c r="A2470" s="4" t="s">
        <v>38</v>
      </c>
      <c r="B2470">
        <v>2011</v>
      </c>
      <c r="C2470" s="14">
        <v>4445.9999999999991</v>
      </c>
      <c r="D2470" s="14">
        <v>79.333333333333329</v>
      </c>
      <c r="E2470" s="14">
        <v>3729.333333333333</v>
      </c>
      <c r="F2470" s="14">
        <v>9924.6666666666661</v>
      </c>
      <c r="G2470" s="14">
        <v>513.33333333333326</v>
      </c>
      <c r="H2470" s="14">
        <v>244</v>
      </c>
      <c r="I2470" s="14">
        <v>380.66666666666663</v>
      </c>
    </row>
    <row r="2471" spans="1:11" ht="16.5" x14ac:dyDescent="0.2">
      <c r="A2471" s="4" t="s">
        <v>38</v>
      </c>
      <c r="B2471">
        <v>2012</v>
      </c>
      <c r="C2471" s="14">
        <v>4417.333333333333</v>
      </c>
      <c r="D2471" s="14">
        <v>78.666666666666671</v>
      </c>
      <c r="E2471" s="14">
        <v>3726.6666666666665</v>
      </c>
      <c r="F2471" s="14">
        <v>9934.6666666666661</v>
      </c>
      <c r="G2471" s="14">
        <v>536.66666666666663</v>
      </c>
      <c r="H2471" s="14">
        <v>248</v>
      </c>
      <c r="I2471" s="14">
        <v>379.99999999999994</v>
      </c>
      <c r="K2471" s="15"/>
    </row>
    <row r="2472" spans="1:11" ht="16.5" x14ac:dyDescent="0.2">
      <c r="A2472" s="4" t="s">
        <v>38</v>
      </c>
      <c r="B2472">
        <v>2013</v>
      </c>
      <c r="C2472" s="14">
        <v>4402.6666666666661</v>
      </c>
      <c r="D2472" s="14">
        <v>78.666666666666671</v>
      </c>
      <c r="E2472" s="14">
        <v>3723.333333333333</v>
      </c>
      <c r="F2472" s="14">
        <v>9923.9999999999982</v>
      </c>
      <c r="G2472" s="14">
        <v>565.99999999999989</v>
      </c>
      <c r="H2472" s="14">
        <v>252.66666666666663</v>
      </c>
      <c r="I2472" s="14">
        <v>378.66666666666663</v>
      </c>
    </row>
    <row r="2473" spans="1:11" ht="16.5" x14ac:dyDescent="0.2">
      <c r="A2473" s="4" t="s">
        <v>38</v>
      </c>
      <c r="B2473">
        <v>2014</v>
      </c>
      <c r="C2473" s="14">
        <v>4421.333333333333</v>
      </c>
      <c r="D2473" s="14">
        <v>77.999999999999986</v>
      </c>
      <c r="E2473" s="14">
        <v>3708</v>
      </c>
      <c r="F2473" s="14">
        <v>9897.3333333333321</v>
      </c>
      <c r="G2473" s="14">
        <v>585.99999999999989</v>
      </c>
      <c r="H2473" s="14">
        <v>255.99999999999997</v>
      </c>
      <c r="I2473" s="14">
        <v>378.66666666666663</v>
      </c>
      <c r="K2473" s="15"/>
    </row>
    <row r="2474" spans="1:11" ht="16.5" x14ac:dyDescent="0.2">
      <c r="A2474" s="4" t="s">
        <v>38</v>
      </c>
      <c r="B2474">
        <v>2015</v>
      </c>
      <c r="C2474" s="14">
        <v>4423.333333333333</v>
      </c>
      <c r="D2474" s="14">
        <v>77.999999999999986</v>
      </c>
      <c r="E2474" s="14">
        <v>3705.9999999999995</v>
      </c>
      <c r="F2474" s="14">
        <v>9877.3333333333321</v>
      </c>
      <c r="G2474" s="14">
        <v>600</v>
      </c>
      <c r="H2474" s="14">
        <v>259.33333333333331</v>
      </c>
      <c r="I2474" s="14">
        <v>378.66666666666663</v>
      </c>
    </row>
    <row r="2475" spans="1:11" ht="16.5" x14ac:dyDescent="0.2">
      <c r="A2475" s="4" t="s">
        <v>38</v>
      </c>
      <c r="B2475">
        <v>2016</v>
      </c>
      <c r="C2475" s="14">
        <v>4434.666666666667</v>
      </c>
      <c r="D2475" s="14">
        <v>77.999999999999986</v>
      </c>
      <c r="E2475" s="14">
        <v>3704.6666666666665</v>
      </c>
      <c r="F2475" s="14">
        <v>9853.3333333333321</v>
      </c>
      <c r="G2475" s="14">
        <v>616.66666666666663</v>
      </c>
      <c r="H2475" s="14">
        <v>263.33333333333331</v>
      </c>
      <c r="I2475" s="14">
        <v>378.66666666666663</v>
      </c>
    </row>
    <row r="2476" spans="1:11" ht="16.5" x14ac:dyDescent="0.2">
      <c r="A2476" s="4" t="s">
        <v>37</v>
      </c>
      <c r="B2476">
        <v>2009</v>
      </c>
      <c r="C2476" s="14">
        <v>3075.333333333333</v>
      </c>
      <c r="D2476" s="14">
        <v>74.666666666666657</v>
      </c>
      <c r="E2476" s="14">
        <v>3721.9999999999995</v>
      </c>
      <c r="F2476" s="14">
        <v>20097.333333333332</v>
      </c>
      <c r="G2476" s="14">
        <v>359.99999999999994</v>
      </c>
      <c r="H2476" s="14">
        <v>244.66666666666666</v>
      </c>
      <c r="I2476" s="14">
        <v>1612</v>
      </c>
      <c r="K2476" s="15"/>
    </row>
    <row r="2477" spans="1:11" ht="16.5" x14ac:dyDescent="0.2">
      <c r="A2477" s="4" t="s">
        <v>37</v>
      </c>
      <c r="B2477">
        <v>2010</v>
      </c>
      <c r="C2477" s="14">
        <v>3072.6666666666661</v>
      </c>
      <c r="D2477" s="14">
        <v>73.999999999999986</v>
      </c>
      <c r="E2477" s="14">
        <v>3721.9999999999995</v>
      </c>
      <c r="F2477" s="14">
        <v>20092.666666666664</v>
      </c>
      <c r="G2477" s="14">
        <v>362.66666666666669</v>
      </c>
      <c r="H2477" s="14">
        <v>251.99999999999997</v>
      </c>
      <c r="I2477" s="14">
        <v>1611.333333333333</v>
      </c>
    </row>
    <row r="2478" spans="1:11" ht="16.5" x14ac:dyDescent="0.2">
      <c r="A2478" s="4" t="s">
        <v>37</v>
      </c>
      <c r="B2478">
        <v>2011</v>
      </c>
      <c r="C2478" s="14">
        <v>3081.333333333333</v>
      </c>
      <c r="D2478" s="14">
        <v>73.333333333333329</v>
      </c>
      <c r="E2478" s="14">
        <v>3719.9999999999995</v>
      </c>
      <c r="F2478" s="14">
        <v>20083.999999999996</v>
      </c>
      <c r="G2478" s="14">
        <v>372.66666666666669</v>
      </c>
      <c r="H2478" s="14">
        <v>252.66666666666663</v>
      </c>
      <c r="I2478" s="14">
        <v>1611.333333333333</v>
      </c>
      <c r="K2478" s="15"/>
    </row>
    <row r="2479" spans="1:11" ht="16.5" x14ac:dyDescent="0.2">
      <c r="A2479" s="4" t="s">
        <v>37</v>
      </c>
      <c r="B2479">
        <v>2012</v>
      </c>
      <c r="C2479" s="14">
        <v>3085.9999999999995</v>
      </c>
      <c r="D2479" s="14">
        <v>72.666666666666657</v>
      </c>
      <c r="E2479" s="14">
        <v>3719.9999999999995</v>
      </c>
      <c r="F2479" s="14">
        <v>20073.999999999996</v>
      </c>
      <c r="G2479" s="14">
        <v>384.66666666666663</v>
      </c>
      <c r="H2479" s="14">
        <v>253.33333333333331</v>
      </c>
      <c r="I2479" s="14">
        <v>1609.9999999999998</v>
      </c>
    </row>
    <row r="2480" spans="1:11" ht="16.5" x14ac:dyDescent="0.2">
      <c r="A2480" s="4" t="s">
        <v>37</v>
      </c>
      <c r="B2480">
        <v>2013</v>
      </c>
      <c r="C2480" s="14">
        <v>3092</v>
      </c>
      <c r="D2480" s="14">
        <v>72.666666666666657</v>
      </c>
      <c r="E2480" s="14">
        <v>3719.333333333333</v>
      </c>
      <c r="F2480" s="14">
        <v>20061.333333333332</v>
      </c>
      <c r="G2480" s="14">
        <v>398.66666666666663</v>
      </c>
      <c r="H2480" s="14">
        <v>256.66666666666663</v>
      </c>
      <c r="I2480" s="14">
        <v>1608.6666666666665</v>
      </c>
    </row>
    <row r="2481" spans="1:11" ht="16.5" x14ac:dyDescent="0.2">
      <c r="A2481" s="4" t="s">
        <v>37</v>
      </c>
      <c r="B2481">
        <v>2014</v>
      </c>
      <c r="C2481" s="14">
        <v>3109.333333333333</v>
      </c>
      <c r="D2481" s="14">
        <v>72.666666666666657</v>
      </c>
      <c r="E2481" s="14">
        <v>3718</v>
      </c>
      <c r="F2481" s="14">
        <v>20050</v>
      </c>
      <c r="G2481" s="14">
        <v>419.33333333333331</v>
      </c>
      <c r="H2481" s="14">
        <v>259.33333333333331</v>
      </c>
      <c r="I2481" s="14">
        <v>1606.6666666666665</v>
      </c>
      <c r="K2481" s="15"/>
    </row>
    <row r="2482" spans="1:11" ht="16.5" x14ac:dyDescent="0.2">
      <c r="A2482" s="4" t="s">
        <v>37</v>
      </c>
      <c r="B2482">
        <v>2015</v>
      </c>
      <c r="C2482" s="14">
        <v>3115.9999999999995</v>
      </c>
      <c r="D2482" s="14">
        <v>72</v>
      </c>
      <c r="E2482" s="14">
        <v>3718</v>
      </c>
      <c r="F2482" s="14">
        <v>20044.666666666664</v>
      </c>
      <c r="G2482" s="14">
        <v>427.33333333333326</v>
      </c>
      <c r="H2482" s="14">
        <v>261.99999999999994</v>
      </c>
      <c r="I2482" s="14">
        <v>1604.6666666666665</v>
      </c>
    </row>
    <row r="2483" spans="1:11" ht="16.5" x14ac:dyDescent="0.2">
      <c r="A2483" s="4" t="s">
        <v>37</v>
      </c>
      <c r="B2483">
        <v>2016</v>
      </c>
      <c r="C2483" s="14">
        <v>3123.333333333333</v>
      </c>
      <c r="D2483" s="14">
        <v>72</v>
      </c>
      <c r="E2483" s="14">
        <v>3716.6666666666665</v>
      </c>
      <c r="F2483" s="14">
        <v>20037.999999999996</v>
      </c>
      <c r="G2483" s="14">
        <v>436.66666666666663</v>
      </c>
      <c r="H2483" s="14">
        <v>266.66666666666663</v>
      </c>
      <c r="I2483" s="14">
        <v>1603.9999999999998</v>
      </c>
      <c r="K2483" s="15"/>
    </row>
    <row r="2484" spans="1:11" ht="16.5" x14ac:dyDescent="0.2">
      <c r="A2484" s="4" t="s">
        <v>36</v>
      </c>
      <c r="B2484">
        <v>2009</v>
      </c>
      <c r="C2484" s="14">
        <v>4045.3333333333326</v>
      </c>
      <c r="D2484" s="14">
        <v>421.99999999999994</v>
      </c>
      <c r="E2484" s="14">
        <v>4210.6666666666661</v>
      </c>
      <c r="F2484" s="14">
        <v>1004.6666666666665</v>
      </c>
      <c r="G2484" s="14">
        <v>636.66666666666674</v>
      </c>
      <c r="H2484" s="14">
        <v>151.33333333333331</v>
      </c>
      <c r="I2484" s="14">
        <v>119.33333333333331</v>
      </c>
    </row>
    <row r="2485" spans="1:11" ht="16.5" x14ac:dyDescent="0.2">
      <c r="A2485" s="4" t="s">
        <v>36</v>
      </c>
      <c r="B2485">
        <v>2010</v>
      </c>
      <c r="C2485" s="14">
        <v>4034.6666666666665</v>
      </c>
      <c r="D2485" s="14">
        <v>430.66666666666657</v>
      </c>
      <c r="E2485" s="14">
        <v>4210</v>
      </c>
      <c r="F2485" s="14">
        <v>1003.9999999999999</v>
      </c>
      <c r="G2485" s="14">
        <v>640.66666666666663</v>
      </c>
      <c r="H2485" s="14">
        <v>152</v>
      </c>
      <c r="I2485" s="14">
        <v>117.99999999999999</v>
      </c>
    </row>
    <row r="2486" spans="1:11" ht="16.5" x14ac:dyDescent="0.2">
      <c r="A2486" s="4" t="s">
        <v>36</v>
      </c>
      <c r="B2486">
        <v>2011</v>
      </c>
      <c r="C2486" s="14">
        <v>4032.6666666666661</v>
      </c>
      <c r="D2486" s="14">
        <v>429.33333333333331</v>
      </c>
      <c r="E2486" s="14">
        <v>4208</v>
      </c>
      <c r="F2486" s="14">
        <v>1002.6666666666666</v>
      </c>
      <c r="G2486" s="14">
        <v>648</v>
      </c>
      <c r="H2486" s="14">
        <v>153.33333333333331</v>
      </c>
      <c r="I2486" s="14">
        <v>117.33333333333333</v>
      </c>
      <c r="K2486" s="15"/>
    </row>
    <row r="2487" spans="1:11" ht="16.5" x14ac:dyDescent="0.2">
      <c r="A2487" s="4" t="s">
        <v>36</v>
      </c>
      <c r="B2487">
        <v>2012</v>
      </c>
      <c r="C2487" s="14">
        <v>4031.3333333333335</v>
      </c>
      <c r="D2487" s="14">
        <v>426.66666666666663</v>
      </c>
      <c r="E2487" s="14">
        <v>4207.333333333333</v>
      </c>
      <c r="F2487" s="14">
        <v>1001.3333333333331</v>
      </c>
      <c r="G2487" s="14">
        <v>654.66666666666663</v>
      </c>
      <c r="H2487" s="14">
        <v>153.33333333333331</v>
      </c>
      <c r="I2487" s="14">
        <v>116.66666666666666</v>
      </c>
    </row>
    <row r="2488" spans="1:11" ht="16.5" x14ac:dyDescent="0.2">
      <c r="A2488" s="4" t="s">
        <v>36</v>
      </c>
      <c r="B2488">
        <v>2013</v>
      </c>
      <c r="C2488" s="14">
        <v>4027.333333333333</v>
      </c>
      <c r="D2488" s="14">
        <v>425.33333333333326</v>
      </c>
      <c r="E2488" s="14">
        <v>4205.9999999999991</v>
      </c>
      <c r="F2488" s="14">
        <v>1000.6666666666665</v>
      </c>
      <c r="G2488" s="14">
        <v>659.99999999999989</v>
      </c>
      <c r="H2488" s="14">
        <v>154.66666666666666</v>
      </c>
      <c r="I2488" s="14">
        <v>115.99999999999999</v>
      </c>
      <c r="K2488" s="15"/>
    </row>
    <row r="2489" spans="1:11" ht="16.5" x14ac:dyDescent="0.2">
      <c r="A2489" s="4" t="s">
        <v>36</v>
      </c>
      <c r="B2489">
        <v>2014</v>
      </c>
      <c r="C2489" s="14">
        <v>4024.6666666666665</v>
      </c>
      <c r="D2489" s="14">
        <v>424</v>
      </c>
      <c r="E2489" s="14">
        <v>4204.666666666667</v>
      </c>
      <c r="F2489" s="14">
        <v>999.99999999999989</v>
      </c>
      <c r="G2489" s="14">
        <v>665.33333333333337</v>
      </c>
      <c r="H2489" s="14">
        <v>154.66666666666666</v>
      </c>
      <c r="I2489" s="14">
        <v>115.99999999999999</v>
      </c>
    </row>
    <row r="2490" spans="1:11" ht="16.5" x14ac:dyDescent="0.2">
      <c r="A2490" s="4" t="s">
        <v>36</v>
      </c>
      <c r="B2490">
        <v>2015</v>
      </c>
      <c r="C2490" s="14">
        <v>4024</v>
      </c>
      <c r="D2490" s="14">
        <v>421.99999999999994</v>
      </c>
      <c r="E2490" s="14">
        <v>4202.6666666666661</v>
      </c>
      <c r="F2490" s="14">
        <v>996.66666666666663</v>
      </c>
      <c r="G2490" s="14">
        <v>671.99999999999989</v>
      </c>
      <c r="H2490" s="14">
        <v>154.66666666666666</v>
      </c>
      <c r="I2490" s="14">
        <v>115.99999999999999</v>
      </c>
    </row>
    <row r="2491" spans="1:11" ht="16.5" x14ac:dyDescent="0.2">
      <c r="A2491" s="4" t="s">
        <v>36</v>
      </c>
      <c r="B2491">
        <v>2016</v>
      </c>
      <c r="C2491" s="14">
        <v>4018</v>
      </c>
      <c r="D2491" s="14">
        <v>419.99999999999994</v>
      </c>
      <c r="E2491" s="14">
        <v>4200.6666666666661</v>
      </c>
      <c r="F2491" s="14">
        <v>996.66666666666663</v>
      </c>
      <c r="G2491" s="14">
        <v>679.99999999999989</v>
      </c>
      <c r="H2491" s="14">
        <v>155.33333333333331</v>
      </c>
      <c r="I2491" s="14">
        <v>115.33333333333333</v>
      </c>
      <c r="K2491" s="15"/>
    </row>
    <row r="2492" spans="1:11" ht="16.5" x14ac:dyDescent="0.2">
      <c r="A2492" s="4" t="s">
        <v>35</v>
      </c>
      <c r="B2492">
        <v>2009</v>
      </c>
      <c r="C2492" s="14">
        <v>2572</v>
      </c>
      <c r="D2492" s="14">
        <v>88.666666666666657</v>
      </c>
      <c r="E2492" s="14">
        <v>1171.3333333333333</v>
      </c>
      <c r="F2492" s="14">
        <v>44283.333333333328</v>
      </c>
      <c r="G2492" s="14">
        <v>396.66666666666663</v>
      </c>
      <c r="H2492" s="14">
        <v>307.33333333333331</v>
      </c>
      <c r="I2492" s="14">
        <v>3612.6666666666661</v>
      </c>
    </row>
    <row r="2493" spans="1:11" ht="16.5" x14ac:dyDescent="0.2">
      <c r="A2493" s="4" t="s">
        <v>35</v>
      </c>
      <c r="B2493">
        <v>2010</v>
      </c>
      <c r="C2493" s="14">
        <v>2569.9999999999995</v>
      </c>
      <c r="D2493" s="14">
        <v>88.666666666666657</v>
      </c>
      <c r="E2493" s="14">
        <v>1171.3333333333333</v>
      </c>
      <c r="F2493" s="14">
        <v>44280.666666666664</v>
      </c>
      <c r="G2493" s="14">
        <v>411.33333333333331</v>
      </c>
      <c r="H2493" s="14">
        <v>319.33333333333331</v>
      </c>
      <c r="I2493" s="14">
        <v>3612.6666666666661</v>
      </c>
      <c r="K2493" s="15"/>
    </row>
    <row r="2494" spans="1:11" ht="16.5" x14ac:dyDescent="0.2">
      <c r="A2494" s="4" t="s">
        <v>35</v>
      </c>
      <c r="B2494">
        <v>2011</v>
      </c>
      <c r="C2494" s="14">
        <v>2585.9999999999995</v>
      </c>
      <c r="D2494" s="14">
        <v>87.333333333333329</v>
      </c>
      <c r="E2494" s="14">
        <v>1170.6666666666665</v>
      </c>
      <c r="F2494" s="14">
        <v>44269.999999999993</v>
      </c>
      <c r="G2494" s="14">
        <v>425.99999999999994</v>
      </c>
      <c r="H2494" s="14">
        <v>344</v>
      </c>
      <c r="I2494" s="14">
        <v>3613.333333333333</v>
      </c>
    </row>
    <row r="2495" spans="1:11" ht="16.5" x14ac:dyDescent="0.2">
      <c r="A2495" s="4" t="s">
        <v>35</v>
      </c>
      <c r="B2495">
        <v>2012</v>
      </c>
      <c r="C2495" s="14">
        <v>2590.6666666666665</v>
      </c>
      <c r="D2495" s="14">
        <v>87.333333333333329</v>
      </c>
      <c r="E2495" s="14">
        <v>1170.6666666666665</v>
      </c>
      <c r="F2495" s="14">
        <v>44259.999999999993</v>
      </c>
      <c r="G2495" s="14">
        <v>450.66666666666657</v>
      </c>
      <c r="H2495" s="14">
        <v>354.66666666666663</v>
      </c>
      <c r="I2495" s="14">
        <v>3613.333333333333</v>
      </c>
    </row>
    <row r="2496" spans="1:11" ht="16.5" x14ac:dyDescent="0.2">
      <c r="A2496" s="4" t="s">
        <v>35</v>
      </c>
      <c r="B2496">
        <v>2013</v>
      </c>
      <c r="C2496" s="14">
        <v>2605.333333333333</v>
      </c>
      <c r="D2496" s="14">
        <v>87.333333333333329</v>
      </c>
      <c r="E2496" s="14">
        <v>1169.3333333333333</v>
      </c>
      <c r="F2496" s="14">
        <v>44247.333333333328</v>
      </c>
      <c r="G2496" s="14">
        <v>465.99999999999989</v>
      </c>
      <c r="H2496" s="14">
        <v>368</v>
      </c>
      <c r="I2496" s="14">
        <v>3612.6666666666661</v>
      </c>
      <c r="K2496" s="15"/>
    </row>
    <row r="2497" spans="1:11" ht="16.5" x14ac:dyDescent="0.2">
      <c r="A2497" s="4" t="s">
        <v>35</v>
      </c>
      <c r="B2497">
        <v>2014</v>
      </c>
      <c r="C2497" s="14">
        <v>2604</v>
      </c>
      <c r="D2497" s="14">
        <v>86.666666666666657</v>
      </c>
      <c r="E2497" s="14">
        <v>1169.3333333333333</v>
      </c>
      <c r="F2497" s="14">
        <v>44239.333333333328</v>
      </c>
      <c r="G2497" s="14">
        <v>488.66666666666663</v>
      </c>
      <c r="H2497" s="14">
        <v>379.33333333333331</v>
      </c>
      <c r="I2497" s="14">
        <v>3612.6666666666661</v>
      </c>
    </row>
    <row r="2498" spans="1:11" ht="16.5" x14ac:dyDescent="0.2">
      <c r="A2498" s="4" t="s">
        <v>35</v>
      </c>
      <c r="B2498">
        <v>2015</v>
      </c>
      <c r="C2498" s="14">
        <v>2604.6666666666665</v>
      </c>
      <c r="D2498" s="14">
        <v>86</v>
      </c>
      <c r="E2498" s="14">
        <v>1169.3333333333333</v>
      </c>
      <c r="F2498" s="14">
        <v>44236.666666666664</v>
      </c>
      <c r="G2498" s="14">
        <v>493.99999999999994</v>
      </c>
      <c r="H2498" s="14">
        <v>382.66666666666663</v>
      </c>
      <c r="I2498" s="14">
        <v>3614.6666666666665</v>
      </c>
      <c r="K2498" s="15"/>
    </row>
    <row r="2499" spans="1:11" ht="16.5" x14ac:dyDescent="0.2">
      <c r="A2499" s="4" t="s">
        <v>35</v>
      </c>
      <c r="B2499">
        <v>2016</v>
      </c>
      <c r="C2499" s="14">
        <v>2601.333333333333</v>
      </c>
      <c r="D2499" s="14">
        <v>86</v>
      </c>
      <c r="E2499" s="14">
        <v>1168.6666666666667</v>
      </c>
      <c r="F2499" s="14">
        <v>44225.333333333328</v>
      </c>
      <c r="G2499" s="14">
        <v>502.66666666666669</v>
      </c>
      <c r="H2499" s="14">
        <v>404</v>
      </c>
      <c r="I2499" s="14">
        <v>3617.333333333333</v>
      </c>
    </row>
    <row r="2500" spans="1:11" ht="16.5" x14ac:dyDescent="0.2">
      <c r="A2500" s="4" t="s">
        <v>34</v>
      </c>
      <c r="B2500">
        <v>2009</v>
      </c>
      <c r="C2500" s="14">
        <v>6936</v>
      </c>
      <c r="D2500" s="14">
        <v>219.33333333333331</v>
      </c>
      <c r="E2500" s="14">
        <v>7683.9999999999991</v>
      </c>
      <c r="F2500" s="14">
        <v>10318.666666666666</v>
      </c>
      <c r="G2500" s="14">
        <v>983.33333333333326</v>
      </c>
      <c r="H2500" s="14">
        <v>197.99999999999997</v>
      </c>
      <c r="I2500" s="14">
        <v>107.33333333333333</v>
      </c>
    </row>
    <row r="2501" spans="1:11" ht="16.5" x14ac:dyDescent="0.2">
      <c r="A2501" s="4" t="s">
        <v>34</v>
      </c>
      <c r="B2501">
        <v>2010</v>
      </c>
      <c r="C2501" s="14">
        <v>6941.333333333333</v>
      </c>
      <c r="D2501" s="14">
        <v>218.66666666666663</v>
      </c>
      <c r="E2501" s="14">
        <v>7705.3333333333321</v>
      </c>
      <c r="F2501" s="14">
        <v>10283.999999999998</v>
      </c>
      <c r="G2501" s="14">
        <v>991.33333333333337</v>
      </c>
      <c r="H2501" s="14">
        <v>199.33333333333331</v>
      </c>
      <c r="I2501" s="14">
        <v>107.33333333333333</v>
      </c>
      <c r="K2501" s="15"/>
    </row>
    <row r="2502" spans="1:11" ht="16.5" x14ac:dyDescent="0.2">
      <c r="A2502" s="4" t="s">
        <v>34</v>
      </c>
      <c r="B2502">
        <v>2011</v>
      </c>
      <c r="C2502" s="14">
        <v>6945.3333333333321</v>
      </c>
      <c r="D2502" s="14">
        <v>217.33333333333331</v>
      </c>
      <c r="E2502" s="14">
        <v>7699.333333333333</v>
      </c>
      <c r="F2502" s="14">
        <v>10272.666666666666</v>
      </c>
      <c r="G2502" s="14">
        <v>999.33333333333326</v>
      </c>
      <c r="H2502" s="14">
        <v>205.99999999999997</v>
      </c>
      <c r="I2502" s="14">
        <v>106.66666666666666</v>
      </c>
    </row>
    <row r="2503" spans="1:11" ht="16.5" x14ac:dyDescent="0.2">
      <c r="A2503" s="4" t="s">
        <v>34</v>
      </c>
      <c r="B2503">
        <v>2012</v>
      </c>
      <c r="C2503" s="14">
        <v>6944.6666666666661</v>
      </c>
      <c r="D2503" s="14">
        <v>216.66666666666666</v>
      </c>
      <c r="E2503" s="14">
        <v>7694.6666666666661</v>
      </c>
      <c r="F2503" s="14">
        <v>10268</v>
      </c>
      <c r="G2503" s="14">
        <v>1009.9999999999999</v>
      </c>
      <c r="H2503" s="14">
        <v>208.66666666666666</v>
      </c>
      <c r="I2503" s="14">
        <v>106.66666666666666</v>
      </c>
      <c r="K2503" s="15"/>
    </row>
    <row r="2504" spans="1:11" ht="16.5" x14ac:dyDescent="0.2">
      <c r="A2504" s="4" t="s">
        <v>34</v>
      </c>
      <c r="B2504">
        <v>2013</v>
      </c>
      <c r="C2504" s="14">
        <v>6938.6666666666661</v>
      </c>
      <c r="D2504" s="14">
        <v>215.33333333333329</v>
      </c>
      <c r="E2504" s="14">
        <v>7693.333333333333</v>
      </c>
      <c r="F2504" s="14">
        <v>10266</v>
      </c>
      <c r="G2504" s="14">
        <v>1019.3333333333333</v>
      </c>
      <c r="H2504" s="14">
        <v>209.33333333333331</v>
      </c>
      <c r="I2504" s="14">
        <v>106.66666666666666</v>
      </c>
    </row>
    <row r="2505" spans="1:11" ht="16.5" x14ac:dyDescent="0.2">
      <c r="A2505" s="4" t="s">
        <v>34</v>
      </c>
      <c r="B2505">
        <v>2014</v>
      </c>
      <c r="C2505" s="14">
        <v>6939.333333333333</v>
      </c>
      <c r="D2505" s="14">
        <v>214</v>
      </c>
      <c r="E2505" s="14">
        <v>7686</v>
      </c>
      <c r="F2505" s="14">
        <v>10258.666666666666</v>
      </c>
      <c r="G2505" s="14">
        <v>1036</v>
      </c>
      <c r="H2505" s="14">
        <v>212</v>
      </c>
      <c r="I2505" s="14">
        <v>106.66666666666666</v>
      </c>
    </row>
    <row r="2506" spans="1:11" ht="16.5" x14ac:dyDescent="0.2">
      <c r="A2506" s="4" t="s">
        <v>34</v>
      </c>
      <c r="B2506">
        <v>2015</v>
      </c>
      <c r="C2506" s="14">
        <v>6935.3333333333321</v>
      </c>
      <c r="D2506" s="14">
        <v>213.33333333333331</v>
      </c>
      <c r="E2506" s="14">
        <v>7684.6666666666661</v>
      </c>
      <c r="F2506" s="14">
        <v>10255.333333333332</v>
      </c>
      <c r="G2506" s="14">
        <v>1043.9999999999998</v>
      </c>
      <c r="H2506" s="14">
        <v>213.33333333333331</v>
      </c>
      <c r="I2506" s="14">
        <v>106.66666666666666</v>
      </c>
      <c r="K2506" s="15"/>
    </row>
    <row r="2507" spans="1:11" ht="16.5" x14ac:dyDescent="0.2">
      <c r="A2507" s="4" t="s">
        <v>34</v>
      </c>
      <c r="B2507">
        <v>2016</v>
      </c>
      <c r="C2507" s="14">
        <v>6929.9999999999991</v>
      </c>
      <c r="D2507" s="14">
        <v>212.66666666666663</v>
      </c>
      <c r="E2507" s="14">
        <v>7682.666666666667</v>
      </c>
      <c r="F2507" s="14">
        <v>10252.666666666666</v>
      </c>
      <c r="G2507" s="14">
        <v>1051.3333333333333</v>
      </c>
      <c r="H2507" s="14">
        <v>215.33333333333329</v>
      </c>
      <c r="I2507" s="14">
        <v>106.66666666666666</v>
      </c>
    </row>
    <row r="2508" spans="1:11" ht="16.5" x14ac:dyDescent="0.2">
      <c r="A2508" s="4" t="s">
        <v>33</v>
      </c>
      <c r="B2508">
        <v>2009</v>
      </c>
      <c r="C2508" s="14">
        <v>8123.9999999999991</v>
      </c>
      <c r="D2508" s="14">
        <v>12.666666666666664</v>
      </c>
      <c r="E2508" s="14">
        <v>3901.3333333333335</v>
      </c>
      <c r="F2508" s="14">
        <v>5175.3333333333321</v>
      </c>
      <c r="G2508" s="14">
        <v>720</v>
      </c>
      <c r="H2508" s="14">
        <v>259.33333333333331</v>
      </c>
      <c r="I2508" s="14">
        <v>216.66666666666666</v>
      </c>
      <c r="K2508" s="15"/>
    </row>
    <row r="2509" spans="1:11" ht="16.5" x14ac:dyDescent="0.2">
      <c r="A2509" s="4" t="s">
        <v>33</v>
      </c>
      <c r="B2509">
        <v>2010</v>
      </c>
      <c r="C2509" s="14">
        <v>8119.333333333333</v>
      </c>
      <c r="D2509" s="14">
        <v>12.666666666666664</v>
      </c>
      <c r="E2509" s="14">
        <v>3900.6666666666665</v>
      </c>
      <c r="F2509" s="14">
        <v>5174</v>
      </c>
      <c r="G2509" s="14">
        <v>725.99999999999989</v>
      </c>
      <c r="H2509" s="14">
        <v>260</v>
      </c>
      <c r="I2509" s="14">
        <v>216.66666666666666</v>
      </c>
    </row>
    <row r="2510" spans="1:11" ht="16.5" x14ac:dyDescent="0.2">
      <c r="A2510" s="4" t="s">
        <v>33</v>
      </c>
      <c r="B2510">
        <v>2011</v>
      </c>
      <c r="C2510" s="14">
        <v>8114.6666666666661</v>
      </c>
      <c r="D2510" s="14">
        <v>12</v>
      </c>
      <c r="E2510" s="14">
        <v>3899.333333333333</v>
      </c>
      <c r="F2510" s="14">
        <v>5171.333333333333</v>
      </c>
      <c r="G2510" s="14">
        <v>733.33333333333326</v>
      </c>
      <c r="H2510" s="14">
        <v>260.66666666666663</v>
      </c>
      <c r="I2510" s="14">
        <v>215.99999999999997</v>
      </c>
    </row>
    <row r="2511" spans="1:11" ht="16.5" x14ac:dyDescent="0.2">
      <c r="A2511" s="4" t="s">
        <v>33</v>
      </c>
      <c r="B2511">
        <v>2012</v>
      </c>
      <c r="C2511" s="14">
        <v>8107.3333333333321</v>
      </c>
      <c r="D2511" s="14">
        <v>12</v>
      </c>
      <c r="E2511" s="14">
        <v>3898.6666666666661</v>
      </c>
      <c r="F2511" s="14">
        <v>5168.6666666666661</v>
      </c>
      <c r="G2511" s="14">
        <v>743.33333333333326</v>
      </c>
      <c r="H2511" s="14">
        <v>260.66666666666663</v>
      </c>
      <c r="I2511" s="14">
        <v>215.33333333333329</v>
      </c>
      <c r="K2511" s="15"/>
    </row>
    <row r="2512" spans="1:11" ht="16.5" x14ac:dyDescent="0.2">
      <c r="A2512" s="4" t="s">
        <v>33</v>
      </c>
      <c r="B2512">
        <v>2013</v>
      </c>
      <c r="C2512" s="14">
        <v>8101.9999999999991</v>
      </c>
      <c r="D2512" s="14">
        <v>12</v>
      </c>
      <c r="E2512" s="14">
        <v>3898.6666666666661</v>
      </c>
      <c r="F2512" s="14">
        <v>5164</v>
      </c>
      <c r="G2512" s="14">
        <v>750.66666666666663</v>
      </c>
      <c r="H2512" s="14">
        <v>261.99999999999994</v>
      </c>
      <c r="I2512" s="14">
        <v>215.99999999999997</v>
      </c>
    </row>
    <row r="2513" spans="1:11" ht="16.5" x14ac:dyDescent="0.2">
      <c r="A2513" s="4" t="s">
        <v>33</v>
      </c>
      <c r="B2513">
        <v>2014</v>
      </c>
      <c r="C2513" s="14">
        <v>8091.333333333333</v>
      </c>
      <c r="D2513" s="14">
        <v>12</v>
      </c>
      <c r="E2513" s="14">
        <v>3897.333333333333</v>
      </c>
      <c r="F2513" s="14">
        <v>5162.6666666666661</v>
      </c>
      <c r="G2513" s="14">
        <v>758.66666666666663</v>
      </c>
      <c r="H2513" s="14">
        <v>266.66666666666663</v>
      </c>
      <c r="I2513" s="14">
        <v>215.33333333333329</v>
      </c>
      <c r="K2513" s="15"/>
    </row>
    <row r="2514" spans="1:11" ht="16.5" x14ac:dyDescent="0.2">
      <c r="A2514" s="4" t="s">
        <v>33</v>
      </c>
      <c r="B2514">
        <v>2015</v>
      </c>
      <c r="C2514" s="14">
        <v>8084.6666666666661</v>
      </c>
      <c r="D2514" s="14">
        <v>12</v>
      </c>
      <c r="E2514" s="14">
        <v>3895.9999999999995</v>
      </c>
      <c r="F2514" s="14">
        <v>5161.333333333333</v>
      </c>
      <c r="G2514" s="14">
        <v>765.99999999999989</v>
      </c>
      <c r="H2514" s="14">
        <v>268</v>
      </c>
      <c r="I2514" s="14">
        <v>215.33333333333329</v>
      </c>
    </row>
    <row r="2515" spans="1:11" ht="16.5" x14ac:dyDescent="0.2">
      <c r="A2515" s="4" t="s">
        <v>33</v>
      </c>
      <c r="B2515">
        <v>2016</v>
      </c>
      <c r="C2515" s="14">
        <v>8077.3333333333321</v>
      </c>
      <c r="D2515" s="14">
        <v>12</v>
      </c>
      <c r="E2515" s="14">
        <v>3895.3333333333326</v>
      </c>
      <c r="F2515" s="14">
        <v>5159.9999999999991</v>
      </c>
      <c r="G2515" s="14">
        <v>772.66666666666663</v>
      </c>
      <c r="H2515" s="14">
        <v>270.66666666666663</v>
      </c>
      <c r="I2515" s="14">
        <v>215.33333333333329</v>
      </c>
    </row>
    <row r="2516" spans="1:11" ht="16.5" x14ac:dyDescent="0.2">
      <c r="A2516" s="4" t="s">
        <v>32</v>
      </c>
      <c r="B2516">
        <v>2009</v>
      </c>
      <c r="C2516" s="14">
        <v>5585.9999999999991</v>
      </c>
      <c r="D2516" s="14">
        <v>739.33333333333326</v>
      </c>
      <c r="E2516" s="14">
        <v>15753.999999999998</v>
      </c>
      <c r="F2516" s="14">
        <v>3755.9999999999995</v>
      </c>
      <c r="G2516" s="14">
        <v>498.66666666666663</v>
      </c>
      <c r="H2516" s="14">
        <v>181.33333333333331</v>
      </c>
      <c r="I2516" s="14">
        <v>254</v>
      </c>
      <c r="K2516" s="15"/>
    </row>
    <row r="2517" spans="1:11" ht="16.5" x14ac:dyDescent="0.2">
      <c r="A2517" s="4" t="s">
        <v>32</v>
      </c>
      <c r="B2517">
        <v>2010</v>
      </c>
      <c r="C2517" s="14">
        <v>5581.9999999999991</v>
      </c>
      <c r="D2517" s="14">
        <v>739.33333333333326</v>
      </c>
      <c r="E2517" s="14">
        <v>15753.333333333332</v>
      </c>
      <c r="F2517" s="14">
        <v>3755.3333333333326</v>
      </c>
      <c r="G2517" s="14">
        <v>503.33333333333331</v>
      </c>
      <c r="H2517" s="14">
        <v>182.66666666666663</v>
      </c>
      <c r="I2517" s="14">
        <v>253.33333333333331</v>
      </c>
    </row>
    <row r="2518" spans="1:11" ht="16.5" x14ac:dyDescent="0.2">
      <c r="A2518" s="4" t="s">
        <v>32</v>
      </c>
      <c r="B2518">
        <v>2011</v>
      </c>
      <c r="C2518" s="14">
        <v>5573.333333333333</v>
      </c>
      <c r="D2518" s="14">
        <v>738.66666666666663</v>
      </c>
      <c r="E2518" s="14">
        <v>15752.666666666666</v>
      </c>
      <c r="F2518" s="14">
        <v>3755.3333333333326</v>
      </c>
      <c r="G2518" s="14">
        <v>506</v>
      </c>
      <c r="H2518" s="14">
        <v>185.99999999999997</v>
      </c>
      <c r="I2518" s="14">
        <v>258.66666666666663</v>
      </c>
      <c r="K2518" s="15"/>
    </row>
    <row r="2519" spans="1:11" ht="16.5" x14ac:dyDescent="0.2">
      <c r="A2519" s="4" t="s">
        <v>32</v>
      </c>
      <c r="B2519">
        <v>2012</v>
      </c>
      <c r="C2519" s="14">
        <v>5574.6666666666661</v>
      </c>
      <c r="D2519" s="14">
        <v>736.66666666666663</v>
      </c>
      <c r="E2519" s="14">
        <v>15750.666666666664</v>
      </c>
      <c r="F2519" s="14">
        <v>3753.333333333333</v>
      </c>
      <c r="G2519" s="14">
        <v>510.00000000000006</v>
      </c>
      <c r="H2519" s="14">
        <v>187.99999999999997</v>
      </c>
      <c r="I2519" s="14">
        <v>257.33333333333331</v>
      </c>
    </row>
    <row r="2520" spans="1:11" ht="16.5" x14ac:dyDescent="0.2">
      <c r="A2520" s="4" t="s">
        <v>32</v>
      </c>
      <c r="B2520">
        <v>2013</v>
      </c>
      <c r="C2520" s="14">
        <v>5571.333333333333</v>
      </c>
      <c r="D2520" s="14">
        <v>735.33333333333326</v>
      </c>
      <c r="E2520" s="14">
        <v>15749.999999999998</v>
      </c>
      <c r="F2520" s="14">
        <v>3751.3333333333335</v>
      </c>
      <c r="G2520" s="14">
        <v>511.99999999999994</v>
      </c>
      <c r="H2520" s="14">
        <v>193.33333333333331</v>
      </c>
      <c r="I2520" s="14">
        <v>255.99999999999997</v>
      </c>
    </row>
    <row r="2521" spans="1:11" ht="16.5" x14ac:dyDescent="0.2">
      <c r="A2521" s="4" t="s">
        <v>32</v>
      </c>
      <c r="B2521">
        <v>2014</v>
      </c>
      <c r="C2521" s="14">
        <v>5568.6666666666661</v>
      </c>
      <c r="D2521" s="14">
        <v>734.66666666666663</v>
      </c>
      <c r="E2521" s="14">
        <v>15748.666666666666</v>
      </c>
      <c r="F2521" s="14">
        <v>3751.3333333333335</v>
      </c>
      <c r="G2521" s="14">
        <v>516</v>
      </c>
      <c r="H2521" s="14">
        <v>196.66666666666666</v>
      </c>
      <c r="I2521" s="14">
        <v>255.33333333333329</v>
      </c>
      <c r="K2521" s="15"/>
    </row>
    <row r="2522" spans="1:11" ht="16.5" x14ac:dyDescent="0.2">
      <c r="A2522" s="4" t="s">
        <v>32</v>
      </c>
      <c r="B2522">
        <v>2015</v>
      </c>
      <c r="C2522" s="14">
        <v>5566.6666666666661</v>
      </c>
      <c r="D2522" s="14">
        <v>733.99999999999989</v>
      </c>
      <c r="E2522" s="14">
        <v>15747.999999999998</v>
      </c>
      <c r="F2522" s="14">
        <v>3749.333333333333</v>
      </c>
      <c r="G2522" s="14">
        <v>520</v>
      </c>
      <c r="H2522" s="14">
        <v>197.33333333333331</v>
      </c>
      <c r="I2522" s="14">
        <v>255.33333333333329</v>
      </c>
    </row>
    <row r="2523" spans="1:11" ht="16.5" x14ac:dyDescent="0.2">
      <c r="A2523" s="4" t="s">
        <v>32</v>
      </c>
      <c r="B2523">
        <v>2016</v>
      </c>
      <c r="C2523" s="14">
        <v>5561.333333333333</v>
      </c>
      <c r="D2523" s="14">
        <v>733.99999999999989</v>
      </c>
      <c r="E2523" s="14">
        <v>15747.333333333332</v>
      </c>
      <c r="F2523" s="14">
        <v>3748.6666666666661</v>
      </c>
      <c r="G2523" s="14">
        <v>523.99999999999989</v>
      </c>
      <c r="H2523" s="14">
        <v>200.66666666666666</v>
      </c>
      <c r="I2523" s="14">
        <v>254.66666666666666</v>
      </c>
      <c r="K2523" s="15"/>
    </row>
    <row r="2524" spans="1:11" ht="16.5" x14ac:dyDescent="0.2">
      <c r="A2524" s="4" t="s">
        <v>31</v>
      </c>
      <c r="B2524">
        <v>2009</v>
      </c>
      <c r="C2524" s="14">
        <v>2746.6666666666665</v>
      </c>
      <c r="D2524" s="14">
        <v>107.99999999999999</v>
      </c>
      <c r="E2524" s="14">
        <v>786</v>
      </c>
      <c r="F2524" s="14">
        <v>2494.6666666666665</v>
      </c>
      <c r="G2524" s="14">
        <v>343.33333333333337</v>
      </c>
      <c r="H2524" s="14">
        <v>99.333333333333329</v>
      </c>
      <c r="I2524" s="14">
        <v>214.66666666666666</v>
      </c>
    </row>
    <row r="2525" spans="1:11" ht="16.5" x14ac:dyDescent="0.2">
      <c r="A2525" s="4" t="s">
        <v>31</v>
      </c>
      <c r="B2525">
        <v>2010</v>
      </c>
      <c r="C2525" s="14">
        <v>2744</v>
      </c>
      <c r="D2525" s="14">
        <v>107.33333333333333</v>
      </c>
      <c r="E2525" s="14">
        <v>786</v>
      </c>
      <c r="F2525" s="14">
        <v>2492</v>
      </c>
      <c r="G2525" s="14">
        <v>348.66666666666663</v>
      </c>
      <c r="H2525" s="14">
        <v>99.333333333333329</v>
      </c>
      <c r="I2525" s="14">
        <v>214.66666666666666</v>
      </c>
    </row>
    <row r="2526" spans="1:11" ht="16.5" x14ac:dyDescent="0.2">
      <c r="A2526" s="4" t="s">
        <v>31</v>
      </c>
      <c r="B2526">
        <v>2011</v>
      </c>
      <c r="C2526" s="14">
        <v>2739.9999999999995</v>
      </c>
      <c r="D2526" s="14">
        <v>107.33333333333333</v>
      </c>
      <c r="E2526" s="14">
        <v>786</v>
      </c>
      <c r="F2526" s="14">
        <v>2491.333333333333</v>
      </c>
      <c r="G2526" s="14">
        <v>354.66666666666663</v>
      </c>
      <c r="H2526" s="14">
        <v>99.999999999999986</v>
      </c>
      <c r="I2526" s="14">
        <v>213.33333333333331</v>
      </c>
      <c r="K2526" s="15"/>
    </row>
    <row r="2527" spans="1:11" ht="16.5" x14ac:dyDescent="0.2">
      <c r="A2527" s="4" t="s">
        <v>31</v>
      </c>
      <c r="B2527">
        <v>2012</v>
      </c>
      <c r="C2527" s="14">
        <v>2735.333333333333</v>
      </c>
      <c r="D2527" s="14">
        <v>107.33333333333333</v>
      </c>
      <c r="E2527" s="14">
        <v>785.33333333333326</v>
      </c>
      <c r="F2527" s="14">
        <v>2490</v>
      </c>
      <c r="G2527" s="14">
        <v>361.33333333333326</v>
      </c>
      <c r="H2527" s="14">
        <v>101.33333333333331</v>
      </c>
      <c r="I2527" s="14">
        <v>213.33333333333331</v>
      </c>
    </row>
    <row r="2528" spans="1:11" ht="16.5" x14ac:dyDescent="0.2">
      <c r="A2528" s="4" t="s">
        <v>31</v>
      </c>
      <c r="B2528">
        <v>2013</v>
      </c>
      <c r="C2528" s="14">
        <v>2732</v>
      </c>
      <c r="D2528" s="14">
        <v>106.66666666666666</v>
      </c>
      <c r="E2528" s="14">
        <v>784.66666666666663</v>
      </c>
      <c r="F2528" s="14">
        <v>2482.6666666666665</v>
      </c>
      <c r="G2528" s="14">
        <v>368.66666666666669</v>
      </c>
      <c r="H2528" s="14">
        <v>103.33333333333333</v>
      </c>
      <c r="I2528" s="14">
        <v>212.66666666666663</v>
      </c>
      <c r="K2528" s="15"/>
    </row>
    <row r="2529" spans="1:11" ht="16.5" x14ac:dyDescent="0.2">
      <c r="A2529" s="4" t="s">
        <v>31</v>
      </c>
      <c r="B2529">
        <v>2014</v>
      </c>
      <c r="C2529" s="14">
        <v>2726.6666666666665</v>
      </c>
      <c r="D2529" s="14">
        <v>106.66666666666666</v>
      </c>
      <c r="E2529" s="14">
        <v>783.99999999999989</v>
      </c>
      <c r="F2529" s="14">
        <v>2481.333333333333</v>
      </c>
      <c r="G2529" s="14">
        <v>374</v>
      </c>
      <c r="H2529" s="14">
        <v>104.66666666666666</v>
      </c>
      <c r="I2529" s="14">
        <v>212.66666666666663</v>
      </c>
    </row>
    <row r="2530" spans="1:11" ht="16.5" x14ac:dyDescent="0.2">
      <c r="A2530" s="4" t="s">
        <v>31</v>
      </c>
      <c r="B2530">
        <v>2015</v>
      </c>
      <c r="C2530" s="14">
        <v>2719.333333333333</v>
      </c>
      <c r="D2530" s="14">
        <v>106</v>
      </c>
      <c r="E2530" s="14">
        <v>783.99999999999989</v>
      </c>
      <c r="F2530" s="14">
        <v>2480.6666666666665</v>
      </c>
      <c r="G2530" s="14">
        <v>382</v>
      </c>
      <c r="H2530" s="14">
        <v>105.33333333333333</v>
      </c>
      <c r="I2530" s="14">
        <v>212</v>
      </c>
    </row>
    <row r="2531" spans="1:11" ht="16.5" x14ac:dyDescent="0.2">
      <c r="A2531" s="4" t="s">
        <v>31</v>
      </c>
      <c r="B2531">
        <v>2016</v>
      </c>
      <c r="C2531" s="14">
        <v>2714.6666666666665</v>
      </c>
      <c r="D2531" s="14">
        <v>106</v>
      </c>
      <c r="E2531" s="14">
        <v>782.66666666666663</v>
      </c>
      <c r="F2531" s="14">
        <v>2478.6666666666665</v>
      </c>
      <c r="G2531" s="14">
        <v>387.33333333333331</v>
      </c>
      <c r="H2531" s="14">
        <v>106</v>
      </c>
      <c r="I2531" s="14">
        <v>212</v>
      </c>
      <c r="K2531" s="15"/>
    </row>
    <row r="2532" spans="1:11" ht="16.5" x14ac:dyDescent="0.2">
      <c r="A2532" s="4" t="s">
        <v>30</v>
      </c>
      <c r="B2532">
        <v>2009</v>
      </c>
      <c r="C2532" s="14">
        <v>1330.6666666666665</v>
      </c>
      <c r="D2532" s="14">
        <v>14</v>
      </c>
      <c r="E2532" s="14">
        <v>10441.999999999998</v>
      </c>
      <c r="F2532" s="14">
        <v>23264.666666666664</v>
      </c>
      <c r="G2532" s="14">
        <v>142</v>
      </c>
      <c r="H2532" s="14">
        <v>88.666666666666657</v>
      </c>
      <c r="I2532" s="14">
        <v>312.66666666666663</v>
      </c>
    </row>
    <row r="2533" spans="1:11" ht="16.5" x14ac:dyDescent="0.2">
      <c r="A2533" s="4" t="s">
        <v>30</v>
      </c>
      <c r="B2533">
        <v>2010</v>
      </c>
      <c r="C2533" s="14">
        <v>1330.6666666666665</v>
      </c>
      <c r="D2533" s="14">
        <v>14</v>
      </c>
      <c r="E2533" s="14">
        <v>10441.333333333332</v>
      </c>
      <c r="F2533" s="14">
        <v>23263.333333333332</v>
      </c>
      <c r="G2533" s="14">
        <v>143.33333333333331</v>
      </c>
      <c r="H2533" s="14">
        <v>88.666666666666657</v>
      </c>
      <c r="I2533" s="14">
        <v>312.66666666666663</v>
      </c>
      <c r="K2533" s="15"/>
    </row>
    <row r="2534" spans="1:11" ht="16.5" x14ac:dyDescent="0.2">
      <c r="A2534" s="4" t="s">
        <v>30</v>
      </c>
      <c r="B2534">
        <v>2011</v>
      </c>
      <c r="C2534" s="14">
        <v>1330.6666666666665</v>
      </c>
      <c r="D2534" s="14">
        <v>14</v>
      </c>
      <c r="E2534" s="14">
        <v>10441.333333333332</v>
      </c>
      <c r="F2534" s="14">
        <v>23262</v>
      </c>
      <c r="G2534" s="14">
        <v>145.33333333333331</v>
      </c>
      <c r="H2534" s="14">
        <v>88.666666666666657</v>
      </c>
      <c r="I2534" s="14">
        <v>312.66666666666663</v>
      </c>
    </row>
    <row r="2535" spans="1:11" ht="16.5" x14ac:dyDescent="0.2">
      <c r="A2535" s="4" t="s">
        <v>30</v>
      </c>
      <c r="B2535">
        <v>2012</v>
      </c>
      <c r="C2535" s="14">
        <v>1327.9999999999998</v>
      </c>
      <c r="D2535" s="14">
        <v>14</v>
      </c>
      <c r="E2535" s="14">
        <v>10440.666666666664</v>
      </c>
      <c r="F2535" s="14">
        <v>23259.333333333332</v>
      </c>
      <c r="G2535" s="14">
        <v>148.66666666666663</v>
      </c>
      <c r="H2535" s="14">
        <v>92</v>
      </c>
      <c r="I2535" s="14">
        <v>312.66666666666663</v>
      </c>
    </row>
    <row r="2536" spans="1:11" ht="16.5" x14ac:dyDescent="0.2">
      <c r="A2536" s="4" t="s">
        <v>30</v>
      </c>
      <c r="B2536">
        <v>2013</v>
      </c>
      <c r="C2536" s="14">
        <v>1327.3333333333333</v>
      </c>
      <c r="D2536" s="14">
        <v>14</v>
      </c>
      <c r="E2536" s="14">
        <v>10440.666666666664</v>
      </c>
      <c r="F2536" s="14">
        <v>23256.666666666664</v>
      </c>
      <c r="G2536" s="14">
        <v>149.33333333333331</v>
      </c>
      <c r="H2536" s="14">
        <v>94.666666666666657</v>
      </c>
      <c r="I2536" s="14">
        <v>311.99999999999994</v>
      </c>
      <c r="K2536" s="15"/>
    </row>
    <row r="2537" spans="1:11" ht="16.5" x14ac:dyDescent="0.2">
      <c r="A2537" s="4" t="s">
        <v>30</v>
      </c>
      <c r="B2537">
        <v>2014</v>
      </c>
      <c r="C2537" s="14">
        <v>1326</v>
      </c>
      <c r="D2537" s="14">
        <v>14</v>
      </c>
      <c r="E2537" s="14">
        <v>10439.999999999998</v>
      </c>
      <c r="F2537" s="14">
        <v>23255.333333333332</v>
      </c>
      <c r="G2537" s="14">
        <v>150.66666666666666</v>
      </c>
      <c r="H2537" s="14">
        <v>96</v>
      </c>
      <c r="I2537" s="14">
        <v>311.99999999999994</v>
      </c>
    </row>
    <row r="2538" spans="1:11" ht="16.5" x14ac:dyDescent="0.2">
      <c r="A2538" s="4" t="s">
        <v>30</v>
      </c>
      <c r="B2538">
        <v>2015</v>
      </c>
      <c r="C2538" s="14">
        <v>1324.6666666666665</v>
      </c>
      <c r="D2538" s="14">
        <v>14</v>
      </c>
      <c r="E2538" s="14">
        <v>10439.999999999998</v>
      </c>
      <c r="F2538" s="14">
        <v>23252.666666666664</v>
      </c>
      <c r="G2538" s="14">
        <v>151.99999999999997</v>
      </c>
      <c r="H2538" s="14">
        <v>97.999999999999986</v>
      </c>
      <c r="I2538" s="14">
        <v>311.99999999999994</v>
      </c>
      <c r="K2538" s="15"/>
    </row>
    <row r="2539" spans="1:11" ht="16.5" x14ac:dyDescent="0.2">
      <c r="A2539" s="4" t="s">
        <v>30</v>
      </c>
      <c r="B2539">
        <v>2016</v>
      </c>
      <c r="C2539" s="14">
        <v>1323.3333333333333</v>
      </c>
      <c r="D2539" s="14">
        <v>14</v>
      </c>
      <c r="E2539" s="14">
        <v>10439.333333333332</v>
      </c>
      <c r="F2539" s="14">
        <v>23250.666666666664</v>
      </c>
      <c r="G2539" s="14">
        <v>155.33333333333331</v>
      </c>
      <c r="H2539" s="14">
        <v>97.999999999999986</v>
      </c>
      <c r="I2539" s="14">
        <v>312.66666666666663</v>
      </c>
    </row>
    <row r="2540" spans="1:11" ht="16.5" x14ac:dyDescent="0.2">
      <c r="A2540" s="4" t="s">
        <v>29</v>
      </c>
      <c r="B2540">
        <v>2009</v>
      </c>
      <c r="C2540" s="14">
        <v>442.66666666666669</v>
      </c>
      <c r="D2540" s="14">
        <v>0</v>
      </c>
      <c r="E2540" s="14">
        <v>1204.6666666666665</v>
      </c>
      <c r="F2540" s="14">
        <v>1177.3333333333333</v>
      </c>
      <c r="G2540" s="14">
        <v>7.333333333333333</v>
      </c>
      <c r="H2540" s="14">
        <v>9.3333333333333321</v>
      </c>
      <c r="I2540" s="14">
        <v>51.333333333333329</v>
      </c>
    </row>
    <row r="2541" spans="1:11" ht="16.5" x14ac:dyDescent="0.2">
      <c r="A2541" s="4" t="s">
        <v>29</v>
      </c>
      <c r="B2541">
        <v>2010</v>
      </c>
      <c r="C2541" s="14">
        <v>441.99999999999994</v>
      </c>
      <c r="D2541" s="14">
        <v>0</v>
      </c>
      <c r="E2541" s="14">
        <v>1204.6666666666665</v>
      </c>
      <c r="F2541" s="14">
        <v>1177.3333333333333</v>
      </c>
      <c r="G2541" s="14">
        <v>7.333333333333333</v>
      </c>
      <c r="H2541" s="14">
        <v>10.666666666666666</v>
      </c>
      <c r="I2541" s="14">
        <v>51.333333333333329</v>
      </c>
      <c r="K2541" s="15"/>
    </row>
    <row r="2542" spans="1:11" ht="16.5" x14ac:dyDescent="0.2">
      <c r="A2542" s="4" t="s">
        <v>29</v>
      </c>
      <c r="B2542">
        <v>2011</v>
      </c>
      <c r="C2542" s="14">
        <v>441.33333333333331</v>
      </c>
      <c r="D2542" s="14">
        <v>0</v>
      </c>
      <c r="E2542" s="14">
        <v>1204.6666666666665</v>
      </c>
      <c r="F2542" s="14">
        <v>1176.6666666666665</v>
      </c>
      <c r="G2542" s="14">
        <v>7.333333333333333</v>
      </c>
      <c r="H2542" s="14">
        <v>10.666666666666666</v>
      </c>
      <c r="I2542" s="14">
        <v>51.333333333333329</v>
      </c>
    </row>
    <row r="2543" spans="1:11" ht="16.5" x14ac:dyDescent="0.2">
      <c r="A2543" s="4" t="s">
        <v>29</v>
      </c>
      <c r="B2543">
        <v>2012</v>
      </c>
      <c r="C2543" s="14">
        <v>441.33333333333331</v>
      </c>
      <c r="D2543" s="14">
        <v>0</v>
      </c>
      <c r="E2543" s="14">
        <v>1204.6666666666665</v>
      </c>
      <c r="F2543" s="14">
        <v>1176.6666666666665</v>
      </c>
      <c r="G2543" s="14">
        <v>7.333333333333333</v>
      </c>
      <c r="H2543" s="14">
        <v>10.666666666666666</v>
      </c>
      <c r="I2543" s="14">
        <v>51.333333333333329</v>
      </c>
      <c r="K2543" s="15"/>
    </row>
    <row r="2544" spans="1:11" ht="16.5" x14ac:dyDescent="0.2">
      <c r="A2544" s="4" t="s">
        <v>29</v>
      </c>
      <c r="B2544">
        <v>2013</v>
      </c>
      <c r="C2544" s="14">
        <v>441.33333333333331</v>
      </c>
      <c r="D2544" s="14">
        <v>0</v>
      </c>
      <c r="E2544" s="14">
        <v>1204.6666666666665</v>
      </c>
      <c r="F2544" s="14">
        <v>1176.6666666666665</v>
      </c>
      <c r="G2544" s="14">
        <v>7.333333333333333</v>
      </c>
      <c r="H2544" s="14">
        <v>10.666666666666666</v>
      </c>
      <c r="I2544" s="14">
        <v>51.333333333333329</v>
      </c>
    </row>
    <row r="2545" spans="1:11" ht="16.5" x14ac:dyDescent="0.2">
      <c r="A2545" s="4" t="s">
        <v>29</v>
      </c>
      <c r="B2545">
        <v>2014</v>
      </c>
      <c r="C2545" s="14">
        <v>441.33333333333331</v>
      </c>
      <c r="D2545" s="14">
        <v>0</v>
      </c>
      <c r="E2545" s="14">
        <v>1204.6666666666665</v>
      </c>
      <c r="F2545" s="14">
        <v>1176.6666666666665</v>
      </c>
      <c r="G2545" s="14">
        <v>7.333333333333333</v>
      </c>
      <c r="H2545" s="14">
        <v>10.666666666666666</v>
      </c>
      <c r="I2545" s="14">
        <v>51.333333333333329</v>
      </c>
    </row>
    <row r="2546" spans="1:11" ht="16.5" x14ac:dyDescent="0.2">
      <c r="A2546" s="4" t="s">
        <v>29</v>
      </c>
      <c r="B2546">
        <v>2015</v>
      </c>
      <c r="C2546" s="14">
        <v>441.33333333333331</v>
      </c>
      <c r="D2546" s="14">
        <v>0</v>
      </c>
      <c r="E2546" s="14">
        <v>1204.6666666666665</v>
      </c>
      <c r="F2546" s="14">
        <v>1176.6666666666665</v>
      </c>
      <c r="G2546" s="14">
        <v>7.333333333333333</v>
      </c>
      <c r="H2546" s="14">
        <v>10.666666666666666</v>
      </c>
      <c r="I2546" s="14">
        <v>51.333333333333329</v>
      </c>
      <c r="K2546" s="15"/>
    </row>
    <row r="2547" spans="1:11" ht="16.5" x14ac:dyDescent="0.2">
      <c r="A2547" s="4" t="s">
        <v>29</v>
      </c>
      <c r="B2547">
        <v>2016</v>
      </c>
      <c r="C2547" s="14">
        <v>441.33333333333331</v>
      </c>
      <c r="D2547" s="14">
        <v>0</v>
      </c>
      <c r="E2547" s="14">
        <v>1203.9999999999998</v>
      </c>
      <c r="F2547" s="14">
        <v>1176.6666666666665</v>
      </c>
      <c r="G2547" s="14">
        <v>7.333333333333333</v>
      </c>
      <c r="H2547" s="14">
        <v>10.666666666666666</v>
      </c>
      <c r="I2547" s="14">
        <v>51.333333333333329</v>
      </c>
    </row>
    <row r="2548" spans="1:11" ht="16.5" x14ac:dyDescent="0.2">
      <c r="A2548" s="4" t="s">
        <v>28</v>
      </c>
      <c r="B2548">
        <v>2009</v>
      </c>
      <c r="C2548" s="14">
        <v>5879.9999999999991</v>
      </c>
      <c r="D2548" s="14">
        <v>60.666666666666657</v>
      </c>
      <c r="E2548" s="14">
        <v>35445.999999999993</v>
      </c>
      <c r="F2548" s="14">
        <v>421292.66666666663</v>
      </c>
      <c r="G2548" s="14">
        <v>1963.3333333333333</v>
      </c>
      <c r="H2548" s="14">
        <v>698</v>
      </c>
      <c r="I2548" s="14">
        <v>28180.666666666668</v>
      </c>
      <c r="K2548" s="15"/>
    </row>
    <row r="2549" spans="1:11" ht="16.5" x14ac:dyDescent="0.2">
      <c r="A2549" s="4" t="s">
        <v>28</v>
      </c>
      <c r="B2549">
        <v>2010</v>
      </c>
      <c r="C2549" s="14">
        <v>5879.333333333333</v>
      </c>
      <c r="D2549" s="14">
        <v>60.666666666666657</v>
      </c>
      <c r="E2549" s="14">
        <v>35445.333333333328</v>
      </c>
      <c r="F2549" s="14">
        <v>421233.33333333331</v>
      </c>
      <c r="G2549" s="14">
        <v>1995.9999999999998</v>
      </c>
      <c r="H2549" s="14">
        <v>729.33333333333326</v>
      </c>
      <c r="I2549" s="14">
        <v>28183.333333333332</v>
      </c>
    </row>
    <row r="2550" spans="1:11" ht="16.5" x14ac:dyDescent="0.2">
      <c r="A2550" s="4" t="s">
        <v>28</v>
      </c>
      <c r="B2550">
        <v>2011</v>
      </c>
      <c r="C2550" s="14">
        <v>5883.333333333333</v>
      </c>
      <c r="D2550" s="14">
        <v>62</v>
      </c>
      <c r="E2550" s="14">
        <v>35444</v>
      </c>
      <c r="F2550" s="14">
        <v>421175.33333333331</v>
      </c>
      <c r="G2550" s="14">
        <v>2048</v>
      </c>
      <c r="H2550" s="14">
        <v>752.66666666666663</v>
      </c>
      <c r="I2550" s="14">
        <v>28182</v>
      </c>
    </row>
    <row r="2551" spans="1:11" ht="16.5" x14ac:dyDescent="0.2">
      <c r="A2551" s="4" t="s">
        <v>28</v>
      </c>
      <c r="B2551">
        <v>2012</v>
      </c>
      <c r="C2551" s="14">
        <v>5885.3333333333321</v>
      </c>
      <c r="D2551" s="14">
        <v>61.333333333333321</v>
      </c>
      <c r="E2551" s="14">
        <v>35439.333333333328</v>
      </c>
      <c r="F2551" s="14">
        <v>421111.33333333326</v>
      </c>
      <c r="G2551" s="14">
        <v>2118.6666666666661</v>
      </c>
      <c r="H2551" s="14">
        <v>764.66666666666663</v>
      </c>
      <c r="I2551" s="14">
        <v>28181.333333333328</v>
      </c>
      <c r="K2551" s="15"/>
    </row>
    <row r="2552" spans="1:11" ht="16.5" x14ac:dyDescent="0.2">
      <c r="A2552" s="4" t="s">
        <v>28</v>
      </c>
      <c r="B2552">
        <v>2013</v>
      </c>
      <c r="C2552" s="14">
        <v>5881.9999999999991</v>
      </c>
      <c r="D2552" s="14">
        <v>61.333333333333321</v>
      </c>
      <c r="E2552" s="14">
        <v>35428.666666666664</v>
      </c>
      <c r="F2552" s="14">
        <v>421007.99999999994</v>
      </c>
      <c r="G2552" s="14">
        <v>2231.333333333333</v>
      </c>
      <c r="H2552" s="14">
        <v>821.33333333333326</v>
      </c>
      <c r="I2552" s="14">
        <v>28177.999999999996</v>
      </c>
    </row>
    <row r="2553" spans="1:11" ht="16.5" x14ac:dyDescent="0.2">
      <c r="A2553" s="4" t="s">
        <v>28</v>
      </c>
      <c r="B2553">
        <v>2014</v>
      </c>
      <c r="C2553" s="14">
        <v>5857.333333333333</v>
      </c>
      <c r="D2553" s="14">
        <v>60.666666666666657</v>
      </c>
      <c r="E2553" s="14">
        <v>35424</v>
      </c>
      <c r="F2553" s="14">
        <v>421019.33333333331</v>
      </c>
      <c r="G2553" s="14">
        <v>2193.333333333333</v>
      </c>
      <c r="H2553" s="14">
        <v>860.66666666666652</v>
      </c>
      <c r="I2553" s="14">
        <v>28174.666666666664</v>
      </c>
      <c r="K2553" s="15"/>
    </row>
    <row r="2554" spans="1:11" ht="16.5" x14ac:dyDescent="0.2">
      <c r="A2554" s="4" t="s">
        <v>28</v>
      </c>
      <c r="B2554">
        <v>2015</v>
      </c>
      <c r="C2554" s="14">
        <v>5884</v>
      </c>
      <c r="D2554" s="14">
        <v>60.666666666666657</v>
      </c>
      <c r="E2554" s="14">
        <v>35414.666666666664</v>
      </c>
      <c r="F2554" s="14">
        <v>420937.99999999994</v>
      </c>
      <c r="G2554" s="14">
        <v>2242</v>
      </c>
      <c r="H2554" s="14">
        <v>867.33333333333326</v>
      </c>
      <c r="I2554" s="14">
        <v>28187.333333333332</v>
      </c>
    </row>
    <row r="2555" spans="1:11" ht="16.5" x14ac:dyDescent="0.2">
      <c r="A2555" s="4" t="s">
        <v>28</v>
      </c>
      <c r="B2555">
        <v>2016</v>
      </c>
      <c r="C2555" s="14">
        <v>5894</v>
      </c>
      <c r="D2555" s="14">
        <v>60.666666666666657</v>
      </c>
      <c r="E2555" s="14">
        <v>35404</v>
      </c>
      <c r="F2555" s="14">
        <v>420862.66666666663</v>
      </c>
      <c r="G2555" s="14">
        <v>2312</v>
      </c>
      <c r="H2555" s="14">
        <v>900.66666666666652</v>
      </c>
      <c r="I2555" s="14">
        <v>28183.333333333332</v>
      </c>
    </row>
    <row r="2556" spans="1:11" ht="16.5" x14ac:dyDescent="0.2">
      <c r="A2556" s="4" t="s">
        <v>27</v>
      </c>
      <c r="B2556">
        <v>2009</v>
      </c>
      <c r="C2556" s="14">
        <v>1512.6666666666665</v>
      </c>
      <c r="D2556" s="14">
        <v>0.66666666666666663</v>
      </c>
      <c r="E2556" s="14">
        <v>2979.9999999999995</v>
      </c>
      <c r="F2556" s="14">
        <v>2155.9999999999995</v>
      </c>
      <c r="G2556" s="14">
        <v>326.66666666666669</v>
      </c>
      <c r="H2556" s="14">
        <v>74.666666666666657</v>
      </c>
      <c r="I2556" s="14">
        <v>62.666666666666664</v>
      </c>
      <c r="K2556" s="15"/>
    </row>
    <row r="2557" spans="1:11" ht="16.5" x14ac:dyDescent="0.2">
      <c r="A2557" s="4" t="s">
        <v>27</v>
      </c>
      <c r="B2557">
        <v>2010</v>
      </c>
      <c r="C2557" s="14">
        <v>1504.6666666666665</v>
      </c>
      <c r="D2557" s="14">
        <v>0.66666666666666663</v>
      </c>
      <c r="E2557" s="14">
        <v>2985.9999999999995</v>
      </c>
      <c r="F2557" s="14">
        <v>2146.6666666666665</v>
      </c>
      <c r="G2557" s="14">
        <v>334.66666666666663</v>
      </c>
      <c r="H2557" s="14">
        <v>77.333333333333329</v>
      </c>
      <c r="I2557" s="14">
        <v>62.666666666666664</v>
      </c>
    </row>
    <row r="2558" spans="1:11" ht="16.5" x14ac:dyDescent="0.2">
      <c r="A2558" s="4" t="s">
        <v>27</v>
      </c>
      <c r="B2558">
        <v>2011</v>
      </c>
      <c r="C2558" s="14">
        <v>1493.9999999999998</v>
      </c>
      <c r="D2558" s="14">
        <v>0.66666666666666663</v>
      </c>
      <c r="E2558" s="14">
        <v>2989.9999999999995</v>
      </c>
      <c r="F2558" s="14">
        <v>2140</v>
      </c>
      <c r="G2558" s="14">
        <v>347.99999999999994</v>
      </c>
      <c r="H2558" s="14">
        <v>77.999999999999986</v>
      </c>
      <c r="I2558" s="14">
        <v>62.666666666666664</v>
      </c>
      <c r="K2558" s="15"/>
    </row>
    <row r="2559" spans="1:11" ht="16.5" x14ac:dyDescent="0.2">
      <c r="A2559" s="4" t="s">
        <v>27</v>
      </c>
      <c r="B2559">
        <v>2012</v>
      </c>
      <c r="C2559" s="14">
        <v>1481.333333333333</v>
      </c>
      <c r="D2559" s="14">
        <v>0.66666666666666663</v>
      </c>
      <c r="E2559" s="14">
        <v>2988.6666666666665</v>
      </c>
      <c r="F2559" s="14">
        <v>2139.333333333333</v>
      </c>
      <c r="G2559" s="14">
        <v>362</v>
      </c>
      <c r="H2559" s="14">
        <v>78.666666666666671</v>
      </c>
      <c r="I2559" s="14">
        <v>62</v>
      </c>
    </row>
    <row r="2560" spans="1:11" ht="16.5" x14ac:dyDescent="0.2">
      <c r="A2560" s="4" t="s">
        <v>27</v>
      </c>
      <c r="B2560">
        <v>2013</v>
      </c>
      <c r="C2560" s="14">
        <v>1469.9999999999998</v>
      </c>
      <c r="D2560" s="14">
        <v>0.66666666666666663</v>
      </c>
      <c r="E2560" s="14">
        <v>2987.333333333333</v>
      </c>
      <c r="F2560" s="14">
        <v>2137.9999999999995</v>
      </c>
      <c r="G2560" s="14">
        <v>375.99999999999994</v>
      </c>
      <c r="H2560" s="14">
        <v>80</v>
      </c>
      <c r="I2560" s="14">
        <v>62</v>
      </c>
    </row>
    <row r="2561" spans="1:11" ht="16.5" x14ac:dyDescent="0.2">
      <c r="A2561" s="4" t="s">
        <v>27</v>
      </c>
      <c r="B2561">
        <v>2014</v>
      </c>
      <c r="C2561" s="14">
        <v>1454.6666666666665</v>
      </c>
      <c r="D2561" s="14">
        <v>0.66666666666666663</v>
      </c>
      <c r="E2561" s="14">
        <v>2985.9999999999995</v>
      </c>
      <c r="F2561" s="14">
        <v>2135.9999999999995</v>
      </c>
      <c r="G2561" s="14">
        <v>394</v>
      </c>
      <c r="H2561" s="14">
        <v>80.666666666666657</v>
      </c>
      <c r="I2561" s="14">
        <v>62</v>
      </c>
      <c r="K2561" s="15"/>
    </row>
    <row r="2562" spans="1:11" ht="16.5" x14ac:dyDescent="0.2">
      <c r="A2562" s="4" t="s">
        <v>27</v>
      </c>
      <c r="B2562">
        <v>2015</v>
      </c>
      <c r="C2562" s="14">
        <v>1452.6666666666665</v>
      </c>
      <c r="D2562" s="14">
        <v>0.66666666666666663</v>
      </c>
      <c r="E2562" s="14">
        <v>2984.6666666666665</v>
      </c>
      <c r="F2562" s="14">
        <v>2134.6666666666665</v>
      </c>
      <c r="G2562" s="14">
        <v>398.66666666666663</v>
      </c>
      <c r="H2562" s="14">
        <v>81.333333333333314</v>
      </c>
      <c r="I2562" s="14">
        <v>61.333333333333321</v>
      </c>
    </row>
    <row r="2563" spans="1:11" ht="16.5" x14ac:dyDescent="0.2">
      <c r="A2563" s="4" t="s">
        <v>27</v>
      </c>
      <c r="B2563">
        <v>2016</v>
      </c>
      <c r="C2563" s="14">
        <v>1448.6666666666665</v>
      </c>
      <c r="D2563" s="14">
        <v>0.66666666666666663</v>
      </c>
      <c r="E2563" s="14">
        <v>2984</v>
      </c>
      <c r="F2563" s="14">
        <v>2133.333333333333</v>
      </c>
      <c r="G2563" s="14">
        <v>404.66666666666663</v>
      </c>
      <c r="H2563" s="14">
        <v>82</v>
      </c>
      <c r="I2563" s="14">
        <v>60.666666666666657</v>
      </c>
      <c r="K2563" s="15"/>
    </row>
    <row r="2564" spans="1:11" ht="16.5" x14ac:dyDescent="0.2">
      <c r="A2564" s="4" t="s">
        <v>26</v>
      </c>
      <c r="B2564">
        <v>2013</v>
      </c>
      <c r="C2564" s="14">
        <v>2232</v>
      </c>
      <c r="D2564" s="14">
        <v>14</v>
      </c>
      <c r="E2564" s="14">
        <v>4872.6666666666661</v>
      </c>
      <c r="F2564" s="14">
        <v>4727.333333333333</v>
      </c>
      <c r="G2564" s="14">
        <v>329.33333333333331</v>
      </c>
      <c r="H2564" s="14">
        <v>116.66666666666666</v>
      </c>
      <c r="I2564" s="14">
        <v>160.66666666666666</v>
      </c>
    </row>
    <row r="2565" spans="1:11" ht="16.5" x14ac:dyDescent="0.2">
      <c r="A2565" s="4" t="s">
        <v>26</v>
      </c>
      <c r="B2565">
        <v>2014</v>
      </c>
      <c r="C2565" s="14">
        <v>2224</v>
      </c>
      <c r="D2565" s="14">
        <v>14</v>
      </c>
      <c r="E2565" s="14">
        <v>4871.9999999999991</v>
      </c>
      <c r="F2565" s="14">
        <v>4725.9999999999991</v>
      </c>
      <c r="G2565" s="14">
        <v>337.99999999999994</v>
      </c>
      <c r="H2565" s="14">
        <v>117.33333333333333</v>
      </c>
      <c r="I2565" s="14">
        <v>160.66666666666666</v>
      </c>
    </row>
    <row r="2566" spans="1:11" ht="16.5" x14ac:dyDescent="0.2">
      <c r="A2566" s="4" t="s">
        <v>26</v>
      </c>
      <c r="B2566">
        <v>2015</v>
      </c>
      <c r="C2566" s="14">
        <v>2221.333333333333</v>
      </c>
      <c r="D2566" s="14">
        <v>14</v>
      </c>
      <c r="E2566" s="14">
        <v>4871.333333333333</v>
      </c>
      <c r="F2566" s="14">
        <v>4725.333333333333</v>
      </c>
      <c r="G2566" s="14">
        <v>340.66666666666663</v>
      </c>
      <c r="H2566" s="14">
        <v>117.99999999999999</v>
      </c>
      <c r="I2566" s="14">
        <v>160</v>
      </c>
      <c r="K2566" s="15"/>
    </row>
    <row r="2567" spans="1:11" ht="16.5" x14ac:dyDescent="0.2">
      <c r="A2567" s="4" t="s">
        <v>26</v>
      </c>
      <c r="B2567">
        <v>2016</v>
      </c>
      <c r="C2567" s="14">
        <v>2215.9999999999995</v>
      </c>
      <c r="D2567" s="14">
        <v>13.333333333333332</v>
      </c>
      <c r="E2567" s="14">
        <v>4868.6666666666661</v>
      </c>
      <c r="F2567" s="14">
        <v>4725.9999999999991</v>
      </c>
      <c r="G2567" s="14">
        <v>342.66666666666663</v>
      </c>
      <c r="H2567" s="14">
        <v>124.66666666666666</v>
      </c>
      <c r="I2567" s="14">
        <v>160</v>
      </c>
    </row>
    <row r="2568" spans="1:11" ht="16.5" x14ac:dyDescent="0.2">
      <c r="A2568" s="4" t="s">
        <v>25</v>
      </c>
      <c r="B2568">
        <v>2009</v>
      </c>
      <c r="C2568" s="14">
        <v>2265.9999999999995</v>
      </c>
      <c r="D2568" s="14">
        <v>14.666666666666666</v>
      </c>
      <c r="E2568" s="14">
        <v>4878</v>
      </c>
      <c r="F2568" s="14">
        <v>4730.6666666666661</v>
      </c>
      <c r="G2568" s="14">
        <v>294.66666666666663</v>
      </c>
      <c r="H2568" s="14">
        <v>109.33333333333331</v>
      </c>
      <c r="I2568" s="14">
        <v>160</v>
      </c>
      <c r="K2568" s="15"/>
    </row>
    <row r="2569" spans="1:11" ht="16.5" x14ac:dyDescent="0.2">
      <c r="A2569" s="4" t="s">
        <v>25</v>
      </c>
      <c r="B2569">
        <v>2010</v>
      </c>
      <c r="C2569" s="14">
        <v>2260.6666666666665</v>
      </c>
      <c r="D2569" s="14">
        <v>14.666666666666666</v>
      </c>
      <c r="E2569" s="14">
        <v>4876.6666666666661</v>
      </c>
      <c r="F2569" s="14">
        <v>4730</v>
      </c>
      <c r="G2569" s="14">
        <v>296.66666666666663</v>
      </c>
      <c r="H2569" s="14">
        <v>112.66666666666664</v>
      </c>
      <c r="I2569" s="14">
        <v>161.33333333333331</v>
      </c>
    </row>
    <row r="2570" spans="1:11" ht="16.5" x14ac:dyDescent="0.2">
      <c r="A2570" s="4" t="s">
        <v>25</v>
      </c>
      <c r="B2570">
        <v>2011</v>
      </c>
      <c r="C2570" s="14">
        <v>2256.6666666666665</v>
      </c>
      <c r="D2570" s="14">
        <v>14.666666666666666</v>
      </c>
      <c r="E2570" s="14">
        <v>4874.666666666667</v>
      </c>
      <c r="F2570" s="14">
        <v>4728.6666666666661</v>
      </c>
      <c r="G2570" s="14">
        <v>301.33333333333326</v>
      </c>
      <c r="H2570" s="14">
        <v>114.66666666666666</v>
      </c>
      <c r="I2570" s="14">
        <v>161.33333333333331</v>
      </c>
    </row>
    <row r="2571" spans="1:11" ht="16.5" x14ac:dyDescent="0.2">
      <c r="A2571" s="4" t="s">
        <v>25</v>
      </c>
      <c r="B2571">
        <v>2012</v>
      </c>
      <c r="C2571" s="14">
        <v>2247.3333333333335</v>
      </c>
      <c r="D2571" s="14">
        <v>14</v>
      </c>
      <c r="E2571" s="14">
        <v>4874</v>
      </c>
      <c r="F2571" s="14">
        <v>4728.6666666666661</v>
      </c>
      <c r="G2571" s="14">
        <v>311.99999999999994</v>
      </c>
      <c r="H2571" s="14">
        <v>115.33333333333333</v>
      </c>
      <c r="I2571" s="14">
        <v>161.33333333333331</v>
      </c>
      <c r="K2571" s="15"/>
    </row>
    <row r="2572" spans="1:11" ht="16.5" x14ac:dyDescent="0.2">
      <c r="A2572" s="4" t="s">
        <v>24</v>
      </c>
      <c r="B2572">
        <v>2009</v>
      </c>
      <c r="C2572" s="14">
        <v>526</v>
      </c>
      <c r="D2572" s="14">
        <v>0</v>
      </c>
      <c r="E2572" s="14">
        <v>4187.333333333333</v>
      </c>
      <c r="F2572" s="14">
        <v>22097.999999999996</v>
      </c>
      <c r="G2572" s="14">
        <v>86.666666666666657</v>
      </c>
      <c r="H2572" s="14">
        <v>57.999999999999993</v>
      </c>
      <c r="I2572" s="14">
        <v>2762</v>
      </c>
    </row>
    <row r="2573" spans="1:11" ht="16.5" x14ac:dyDescent="0.2">
      <c r="A2573" s="4" t="s">
        <v>24</v>
      </c>
      <c r="B2573">
        <v>2010</v>
      </c>
      <c r="C2573" s="14">
        <v>540.66666666666663</v>
      </c>
      <c r="D2573" s="14">
        <v>0</v>
      </c>
      <c r="E2573" s="14">
        <v>4186.6666666666661</v>
      </c>
      <c r="F2573" s="14">
        <v>22077.999999999996</v>
      </c>
      <c r="G2573" s="14">
        <v>88.666666666666657</v>
      </c>
      <c r="H2573" s="14">
        <v>61.333333333333321</v>
      </c>
      <c r="I2573" s="14">
        <v>2762</v>
      </c>
      <c r="K2573" s="15"/>
    </row>
    <row r="2574" spans="1:11" ht="16.5" x14ac:dyDescent="0.2">
      <c r="A2574" s="4" t="s">
        <v>24</v>
      </c>
      <c r="B2574">
        <v>2011</v>
      </c>
      <c r="C2574" s="14">
        <v>543.33333333333326</v>
      </c>
      <c r="D2574" s="14">
        <v>0</v>
      </c>
      <c r="E2574" s="14">
        <v>4185.9999999999991</v>
      </c>
      <c r="F2574" s="14">
        <v>22073.333333333332</v>
      </c>
      <c r="G2574" s="14">
        <v>90.666666666666671</v>
      </c>
      <c r="H2574" s="14">
        <v>61.333333333333321</v>
      </c>
      <c r="I2574" s="14">
        <v>2762</v>
      </c>
    </row>
    <row r="2575" spans="1:11" ht="16.5" x14ac:dyDescent="0.2">
      <c r="A2575" s="4" t="s">
        <v>24</v>
      </c>
      <c r="B2575">
        <v>2012</v>
      </c>
      <c r="C2575" s="14">
        <v>566</v>
      </c>
      <c r="D2575" s="14">
        <v>0</v>
      </c>
      <c r="E2575" s="14">
        <v>4185.9999999999991</v>
      </c>
      <c r="F2575" s="14">
        <v>22048.666666666664</v>
      </c>
      <c r="G2575" s="14">
        <v>92</v>
      </c>
      <c r="H2575" s="14">
        <v>62</v>
      </c>
      <c r="I2575" s="14">
        <v>2762</v>
      </c>
    </row>
    <row r="2576" spans="1:11" ht="16.5" x14ac:dyDescent="0.2">
      <c r="A2576" s="4" t="s">
        <v>24</v>
      </c>
      <c r="B2576">
        <v>2013</v>
      </c>
      <c r="C2576" s="14">
        <v>564.66666666666663</v>
      </c>
      <c r="D2576" s="14">
        <v>0</v>
      </c>
      <c r="E2576" s="14">
        <v>4185.9999999999991</v>
      </c>
      <c r="F2576" s="14">
        <v>22044.666666666664</v>
      </c>
      <c r="G2576" s="14">
        <v>97.333333333333329</v>
      </c>
      <c r="H2576" s="14">
        <v>62</v>
      </c>
      <c r="I2576" s="14">
        <v>2762</v>
      </c>
      <c r="K2576" s="15"/>
    </row>
    <row r="2577" spans="1:11" ht="16.5" x14ac:dyDescent="0.2">
      <c r="A2577" s="4" t="s">
        <v>24</v>
      </c>
      <c r="B2577">
        <v>2014</v>
      </c>
      <c r="C2577" s="14">
        <v>563.33333333333326</v>
      </c>
      <c r="D2577" s="14">
        <v>0</v>
      </c>
      <c r="E2577" s="14">
        <v>4185.333333333333</v>
      </c>
      <c r="F2577" s="14">
        <v>22043.999999999996</v>
      </c>
      <c r="G2577" s="14">
        <v>97.333333333333329</v>
      </c>
      <c r="H2577" s="14">
        <v>63.999999999999993</v>
      </c>
      <c r="I2577" s="14">
        <v>2762</v>
      </c>
    </row>
    <row r="2578" spans="1:11" ht="16.5" x14ac:dyDescent="0.2">
      <c r="A2578" s="4" t="s">
        <v>24</v>
      </c>
      <c r="B2578">
        <v>2015</v>
      </c>
      <c r="C2578" s="14">
        <v>563.33333333333326</v>
      </c>
      <c r="D2578" s="14">
        <v>0</v>
      </c>
      <c r="E2578" s="14">
        <v>4183.333333333333</v>
      </c>
      <c r="F2578" s="14">
        <v>22026</v>
      </c>
      <c r="G2578" s="14">
        <v>99.999999999999986</v>
      </c>
      <c r="H2578" s="14">
        <v>66.666666666666657</v>
      </c>
      <c r="I2578" s="14">
        <v>2776.6666666666665</v>
      </c>
      <c r="K2578" s="15"/>
    </row>
    <row r="2579" spans="1:11" ht="16.5" x14ac:dyDescent="0.2">
      <c r="A2579" s="4" t="s">
        <v>24</v>
      </c>
      <c r="B2579">
        <v>2016</v>
      </c>
      <c r="C2579" s="14">
        <v>567.33333333333326</v>
      </c>
      <c r="D2579" s="14">
        <v>0</v>
      </c>
      <c r="E2579" s="14">
        <v>4183.333333333333</v>
      </c>
      <c r="F2579" s="14">
        <v>22019.999999999996</v>
      </c>
      <c r="G2579" s="14">
        <v>101.33333333333331</v>
      </c>
      <c r="H2579" s="14">
        <v>67.333333333333329</v>
      </c>
      <c r="I2579" s="14">
        <v>2776.6666666666665</v>
      </c>
    </row>
    <row r="2580" spans="1:11" ht="16.5" x14ac:dyDescent="0.2">
      <c r="A2580" s="4" t="s">
        <v>23</v>
      </c>
      <c r="B2580">
        <v>2009</v>
      </c>
      <c r="C2580" s="14">
        <v>200.66666666666666</v>
      </c>
      <c r="D2580" s="14">
        <v>0.66666666666666663</v>
      </c>
      <c r="E2580" s="14">
        <v>2023.3333333333333</v>
      </c>
      <c r="F2580" s="14">
        <v>15279.999999999998</v>
      </c>
      <c r="G2580" s="14">
        <v>48.666666666666664</v>
      </c>
      <c r="H2580" s="14">
        <v>43.999999999999993</v>
      </c>
      <c r="I2580" s="14">
        <v>121.33333333333331</v>
      </c>
    </row>
    <row r="2581" spans="1:11" ht="16.5" x14ac:dyDescent="0.2">
      <c r="A2581" s="4" t="s">
        <v>23</v>
      </c>
      <c r="B2581">
        <v>2010</v>
      </c>
      <c r="C2581" s="14">
        <v>200.66666666666666</v>
      </c>
      <c r="D2581" s="14">
        <v>0.66666666666666663</v>
      </c>
      <c r="E2581" s="14">
        <v>2022.6666666666663</v>
      </c>
      <c r="F2581" s="14">
        <v>15278.666666666666</v>
      </c>
      <c r="G2581" s="14">
        <v>49.999999999999993</v>
      </c>
      <c r="H2581" s="14">
        <v>43.999999999999993</v>
      </c>
      <c r="I2581" s="14">
        <v>122</v>
      </c>
      <c r="K2581" s="15"/>
    </row>
    <row r="2582" spans="1:11" ht="16.5" x14ac:dyDescent="0.2">
      <c r="A2582" s="4" t="s">
        <v>23</v>
      </c>
      <c r="B2582">
        <v>2011</v>
      </c>
      <c r="C2582" s="14">
        <v>200.66666666666666</v>
      </c>
      <c r="D2582" s="14">
        <v>0.66666666666666663</v>
      </c>
      <c r="E2582" s="14">
        <v>2022.6666666666663</v>
      </c>
      <c r="F2582" s="14">
        <v>15277.999999999998</v>
      </c>
      <c r="G2582" s="14">
        <v>50.666666666666657</v>
      </c>
      <c r="H2582" s="14">
        <v>43.999999999999993</v>
      </c>
      <c r="I2582" s="14">
        <v>122</v>
      </c>
    </row>
    <row r="2583" spans="1:11" ht="16.5" x14ac:dyDescent="0.2">
      <c r="A2583" s="4" t="s">
        <v>23</v>
      </c>
      <c r="B2583">
        <v>2012</v>
      </c>
      <c r="C2583" s="14">
        <v>199.99999999999997</v>
      </c>
      <c r="D2583" s="14">
        <v>0.66666666666666663</v>
      </c>
      <c r="E2583" s="14">
        <v>2022.6666666666663</v>
      </c>
      <c r="F2583" s="14">
        <v>15276</v>
      </c>
      <c r="G2583" s="14">
        <v>53.333333333333329</v>
      </c>
      <c r="H2583" s="14">
        <v>43.999999999999993</v>
      </c>
      <c r="I2583" s="14">
        <v>122</v>
      </c>
      <c r="K2583" s="15"/>
    </row>
    <row r="2584" spans="1:11" ht="16.5" x14ac:dyDescent="0.2">
      <c r="A2584" s="4" t="s">
        <v>23</v>
      </c>
      <c r="B2584">
        <v>2013</v>
      </c>
      <c r="C2584" s="14">
        <v>199.33333333333331</v>
      </c>
      <c r="D2584" s="14">
        <v>0.66666666666666663</v>
      </c>
      <c r="E2584" s="14">
        <v>2022.6666666666663</v>
      </c>
      <c r="F2584" s="14">
        <v>15275.333333333334</v>
      </c>
      <c r="G2584" s="14">
        <v>53.999999999999993</v>
      </c>
      <c r="H2584" s="14">
        <v>44.666666666666664</v>
      </c>
      <c r="I2584" s="14">
        <v>122</v>
      </c>
    </row>
    <row r="2585" spans="1:11" ht="16.5" x14ac:dyDescent="0.2">
      <c r="A2585" s="4" t="s">
        <v>23</v>
      </c>
      <c r="B2585">
        <v>2014</v>
      </c>
      <c r="C2585" s="14">
        <v>198.66666666666666</v>
      </c>
      <c r="D2585" s="14">
        <v>0.66666666666666663</v>
      </c>
      <c r="E2585" s="14">
        <v>2022.6666666666663</v>
      </c>
      <c r="F2585" s="14">
        <v>15274.666666666664</v>
      </c>
      <c r="G2585" s="14">
        <v>53.999999999999993</v>
      </c>
      <c r="H2585" s="14">
        <v>45.333333333333329</v>
      </c>
      <c r="I2585" s="14">
        <v>122</v>
      </c>
    </row>
    <row r="2586" spans="1:11" ht="16.5" x14ac:dyDescent="0.2">
      <c r="A2586" s="4" t="s">
        <v>23</v>
      </c>
      <c r="B2586">
        <v>2015</v>
      </c>
      <c r="C2586" s="14">
        <v>198.66666666666666</v>
      </c>
      <c r="D2586" s="14">
        <v>0.66666666666666663</v>
      </c>
      <c r="E2586" s="14">
        <v>2022.6666666666663</v>
      </c>
      <c r="F2586" s="14">
        <v>15273.999999999998</v>
      </c>
      <c r="G2586" s="14">
        <v>54.666666666666657</v>
      </c>
      <c r="H2586" s="14">
        <v>45.333333333333329</v>
      </c>
      <c r="I2586" s="14">
        <v>122</v>
      </c>
      <c r="K2586" s="15"/>
    </row>
    <row r="2587" spans="1:11" ht="16.5" x14ac:dyDescent="0.2">
      <c r="A2587" s="4" t="s">
        <v>23</v>
      </c>
      <c r="B2587">
        <v>2016</v>
      </c>
      <c r="C2587" s="14">
        <v>198.66666666666666</v>
      </c>
      <c r="D2587" s="14">
        <v>0.66666666666666663</v>
      </c>
      <c r="E2587" s="14">
        <v>2022</v>
      </c>
      <c r="F2587" s="14">
        <v>15272</v>
      </c>
      <c r="G2587" s="14">
        <v>55.999999999999986</v>
      </c>
      <c r="H2587" s="14">
        <v>46</v>
      </c>
      <c r="I2587" s="14">
        <v>122</v>
      </c>
    </row>
    <row r="2588" spans="1:11" ht="16.5" x14ac:dyDescent="0.2">
      <c r="A2588" s="4" t="s">
        <v>22</v>
      </c>
      <c r="B2588">
        <v>2009</v>
      </c>
      <c r="C2588" s="14">
        <v>827.33333333333326</v>
      </c>
      <c r="D2588" s="14">
        <v>4.6666666666666661</v>
      </c>
      <c r="E2588" s="14">
        <v>2577.333333333333</v>
      </c>
      <c r="F2588" s="14">
        <v>33742</v>
      </c>
      <c r="G2588" s="14">
        <v>132.66666666666666</v>
      </c>
      <c r="H2588" s="14">
        <v>98.666666666666657</v>
      </c>
      <c r="I2588" s="14">
        <v>3251.333333333333</v>
      </c>
      <c r="K2588" s="15"/>
    </row>
    <row r="2589" spans="1:11" ht="16.5" x14ac:dyDescent="0.2">
      <c r="A2589" s="4" t="s">
        <v>22</v>
      </c>
      <c r="B2589">
        <v>2010</v>
      </c>
      <c r="C2589" s="14">
        <v>826.66666666666663</v>
      </c>
      <c r="D2589" s="14">
        <v>4.6666666666666661</v>
      </c>
      <c r="E2589" s="14">
        <v>2576.6666666666665</v>
      </c>
      <c r="F2589" s="14">
        <v>33732</v>
      </c>
      <c r="G2589" s="14">
        <v>134.66666666666666</v>
      </c>
      <c r="H2589" s="14">
        <v>106.66666666666666</v>
      </c>
      <c r="I2589" s="14">
        <v>3254</v>
      </c>
    </row>
    <row r="2590" spans="1:11" ht="16.5" x14ac:dyDescent="0.2">
      <c r="A2590" s="4" t="s">
        <v>22</v>
      </c>
      <c r="B2590">
        <v>2011</v>
      </c>
      <c r="C2590" s="14">
        <v>833.33333333333326</v>
      </c>
      <c r="D2590" s="14">
        <v>4.6666666666666661</v>
      </c>
      <c r="E2590" s="14">
        <v>2576.6666666666665</v>
      </c>
      <c r="F2590" s="14">
        <v>33718.666666666664</v>
      </c>
      <c r="G2590" s="14">
        <v>138.66666666666666</v>
      </c>
      <c r="H2590" s="14">
        <v>110.66666666666667</v>
      </c>
      <c r="I2590" s="14">
        <v>3254</v>
      </c>
    </row>
    <row r="2591" spans="1:11" ht="16.5" x14ac:dyDescent="0.2">
      <c r="A2591" s="4" t="s">
        <v>22</v>
      </c>
      <c r="B2591">
        <v>2012</v>
      </c>
      <c r="C2591" s="14">
        <v>832.66666666666663</v>
      </c>
      <c r="D2591" s="14">
        <v>4.6666666666666661</v>
      </c>
      <c r="E2591" s="14">
        <v>2575.9999999999995</v>
      </c>
      <c r="F2591" s="14">
        <v>33713.333333333328</v>
      </c>
      <c r="G2591" s="14">
        <v>142.66666666666666</v>
      </c>
      <c r="H2591" s="14">
        <v>112</v>
      </c>
      <c r="I2591" s="14">
        <v>3254</v>
      </c>
      <c r="K2591" s="15"/>
    </row>
    <row r="2592" spans="1:11" ht="16.5" x14ac:dyDescent="0.2">
      <c r="A2592" s="4" t="s">
        <v>22</v>
      </c>
      <c r="B2592">
        <v>2013</v>
      </c>
      <c r="C2592" s="14">
        <v>835.33333333333326</v>
      </c>
      <c r="D2592" s="14">
        <v>4.6666666666666661</v>
      </c>
      <c r="E2592" s="14">
        <v>2575.9999999999995</v>
      </c>
      <c r="F2592" s="14">
        <v>33674</v>
      </c>
      <c r="G2592" s="14">
        <v>177.99999999999997</v>
      </c>
      <c r="H2592" s="14">
        <v>114</v>
      </c>
      <c r="I2592" s="14">
        <v>3254</v>
      </c>
    </row>
    <row r="2593" spans="1:11" ht="16.5" x14ac:dyDescent="0.2">
      <c r="A2593" s="4" t="s">
        <v>22</v>
      </c>
      <c r="B2593">
        <v>2014</v>
      </c>
      <c r="C2593" s="14">
        <v>834.66666666666663</v>
      </c>
      <c r="D2593" s="14">
        <v>4.6666666666666661</v>
      </c>
      <c r="E2593" s="14">
        <v>2575.9999999999995</v>
      </c>
      <c r="F2593" s="14">
        <v>33702.666666666664</v>
      </c>
      <c r="G2593" s="14">
        <v>147.99999999999997</v>
      </c>
      <c r="H2593" s="14">
        <v>117.99999999999999</v>
      </c>
      <c r="I2593" s="14">
        <v>3250.6666666666665</v>
      </c>
      <c r="K2593" s="15"/>
    </row>
    <row r="2594" spans="1:11" ht="16.5" x14ac:dyDescent="0.2">
      <c r="A2594" s="4" t="s">
        <v>22</v>
      </c>
      <c r="B2594">
        <v>2015</v>
      </c>
      <c r="C2594" s="14">
        <v>836</v>
      </c>
      <c r="D2594" s="14">
        <v>4.6666666666666661</v>
      </c>
      <c r="E2594" s="14">
        <v>2575.9999999999995</v>
      </c>
      <c r="F2594" s="14">
        <v>33677.999999999993</v>
      </c>
      <c r="G2594" s="14">
        <v>170.66666666666663</v>
      </c>
      <c r="H2594" s="14">
        <v>118.66666666666666</v>
      </c>
      <c r="I2594" s="14">
        <v>3250.6666666666665</v>
      </c>
    </row>
    <row r="2595" spans="1:11" ht="16.5" x14ac:dyDescent="0.2">
      <c r="A2595" s="4" t="s">
        <v>22</v>
      </c>
      <c r="B2595">
        <v>2016</v>
      </c>
      <c r="C2595" s="14">
        <v>841.33333333333326</v>
      </c>
      <c r="D2595" s="14">
        <v>4.6666666666666661</v>
      </c>
      <c r="E2595" s="14">
        <v>2573.333333333333</v>
      </c>
      <c r="F2595" s="14">
        <v>33649.333333333328</v>
      </c>
      <c r="G2595" s="14">
        <v>197.99999999999997</v>
      </c>
      <c r="H2595" s="14">
        <v>119.33333333333331</v>
      </c>
      <c r="I2595" s="14">
        <v>3247.9999999999995</v>
      </c>
    </row>
    <row r="2596" spans="1:11" ht="16.5" x14ac:dyDescent="0.2">
      <c r="A2596" s="4" t="s">
        <v>21</v>
      </c>
      <c r="B2596">
        <v>2009</v>
      </c>
      <c r="C2596" s="14">
        <v>12.666666666666664</v>
      </c>
      <c r="D2596" s="14">
        <v>0</v>
      </c>
      <c r="E2596" s="14">
        <v>3242</v>
      </c>
      <c r="F2596" s="14">
        <v>61940.666666666664</v>
      </c>
      <c r="G2596" s="14">
        <v>26</v>
      </c>
      <c r="H2596" s="14">
        <v>42.666666666666664</v>
      </c>
      <c r="I2596" s="14">
        <v>2805.333333333333</v>
      </c>
      <c r="K2596" s="15"/>
    </row>
    <row r="2597" spans="1:11" ht="16.5" x14ac:dyDescent="0.2">
      <c r="A2597" s="4" t="s">
        <v>21</v>
      </c>
      <c r="B2597">
        <v>2010</v>
      </c>
      <c r="C2597" s="14">
        <v>12.666666666666664</v>
      </c>
      <c r="D2597" s="14">
        <v>0</v>
      </c>
      <c r="E2597" s="14">
        <v>3242</v>
      </c>
      <c r="F2597" s="14">
        <v>61939.999999999993</v>
      </c>
      <c r="G2597" s="14">
        <v>26.666666666666664</v>
      </c>
      <c r="H2597" s="14">
        <v>42.666666666666664</v>
      </c>
      <c r="I2597" s="14">
        <v>2805.333333333333</v>
      </c>
    </row>
    <row r="2598" spans="1:11" ht="16.5" x14ac:dyDescent="0.2">
      <c r="A2598" s="4" t="s">
        <v>21</v>
      </c>
      <c r="B2598">
        <v>2011</v>
      </c>
      <c r="C2598" s="14">
        <v>12.666666666666664</v>
      </c>
      <c r="D2598" s="14">
        <v>0</v>
      </c>
      <c r="E2598" s="14">
        <v>3242</v>
      </c>
      <c r="F2598" s="14">
        <v>61936.666666666664</v>
      </c>
      <c r="G2598" s="14">
        <v>27.333333333333329</v>
      </c>
      <c r="H2598" s="14">
        <v>45.333333333333329</v>
      </c>
      <c r="I2598" s="14">
        <v>2805.333333333333</v>
      </c>
      <c r="K2598" s="15"/>
    </row>
    <row r="2599" spans="1:11" ht="16.5" x14ac:dyDescent="0.2">
      <c r="A2599" s="4" t="s">
        <v>21</v>
      </c>
      <c r="B2599">
        <v>2012</v>
      </c>
      <c r="C2599" s="14">
        <v>12.666666666666664</v>
      </c>
      <c r="D2599" s="14">
        <v>0</v>
      </c>
      <c r="E2599" s="14">
        <v>3242</v>
      </c>
      <c r="F2599" s="14">
        <v>61934.666666666664</v>
      </c>
      <c r="G2599" s="14">
        <v>28.666666666666664</v>
      </c>
      <c r="H2599" s="14">
        <v>46</v>
      </c>
      <c r="I2599" s="14">
        <v>2805.333333333333</v>
      </c>
    </row>
    <row r="2600" spans="1:11" ht="16.5" x14ac:dyDescent="0.2">
      <c r="A2600" s="4" t="s">
        <v>21</v>
      </c>
      <c r="B2600">
        <v>2013</v>
      </c>
      <c r="C2600" s="14">
        <v>12.666666666666664</v>
      </c>
      <c r="D2600" s="14">
        <v>0</v>
      </c>
      <c r="E2600" s="14">
        <v>3242</v>
      </c>
      <c r="F2600" s="14">
        <v>61926.666666666664</v>
      </c>
      <c r="G2600" s="14">
        <v>29.333333333333329</v>
      </c>
      <c r="H2600" s="14">
        <v>53.333333333333329</v>
      </c>
      <c r="I2600" s="14">
        <v>2805.333333333333</v>
      </c>
    </row>
    <row r="2601" spans="1:11" ht="16.5" x14ac:dyDescent="0.2">
      <c r="A2601" s="4" t="s">
        <v>21</v>
      </c>
      <c r="B2601">
        <v>2014</v>
      </c>
      <c r="C2601" s="14">
        <v>12.666666666666664</v>
      </c>
      <c r="D2601" s="14">
        <v>0</v>
      </c>
      <c r="E2601" s="14">
        <v>3242</v>
      </c>
      <c r="F2601" s="14">
        <v>61915.333333333321</v>
      </c>
      <c r="G2601" s="14">
        <v>29.999999999999996</v>
      </c>
      <c r="H2601" s="14">
        <v>64.666666666666657</v>
      </c>
      <c r="I2601" s="14">
        <v>2805.333333333333</v>
      </c>
      <c r="K2601" s="15"/>
    </row>
    <row r="2602" spans="1:11" ht="16.5" x14ac:dyDescent="0.2">
      <c r="A2602" s="4" t="s">
        <v>21</v>
      </c>
      <c r="B2602">
        <v>2015</v>
      </c>
      <c r="C2602" s="14">
        <v>12.666666666666664</v>
      </c>
      <c r="D2602" s="14">
        <v>0</v>
      </c>
      <c r="E2602" s="14">
        <v>3242</v>
      </c>
      <c r="F2602" s="14">
        <v>61914</v>
      </c>
      <c r="G2602" s="14">
        <v>30.666666666666661</v>
      </c>
      <c r="H2602" s="14">
        <v>65.333333333333329</v>
      </c>
      <c r="I2602" s="14">
        <v>2805.333333333333</v>
      </c>
    </row>
    <row r="2603" spans="1:11" ht="16.5" x14ac:dyDescent="0.2">
      <c r="A2603" s="4" t="s">
        <v>21</v>
      </c>
      <c r="B2603">
        <v>2016</v>
      </c>
      <c r="C2603" s="14">
        <v>12.666666666666664</v>
      </c>
      <c r="D2603" s="14">
        <v>0</v>
      </c>
      <c r="E2603" s="14">
        <v>3242</v>
      </c>
      <c r="F2603" s="14">
        <v>61910.666666666664</v>
      </c>
      <c r="G2603" s="14">
        <v>31.999999999999996</v>
      </c>
      <c r="H2603" s="14">
        <v>66.666666666666657</v>
      </c>
      <c r="I2603" s="14">
        <v>2804.6666666666665</v>
      </c>
      <c r="K2603" s="15"/>
    </row>
    <row r="2604" spans="1:11" ht="16.5" x14ac:dyDescent="0.2">
      <c r="A2604" s="4" t="s">
        <v>20</v>
      </c>
      <c r="B2604">
        <v>2009</v>
      </c>
      <c r="C2604" s="14">
        <v>137.33333333333334</v>
      </c>
      <c r="D2604" s="14">
        <v>0</v>
      </c>
      <c r="E2604" s="14">
        <v>6513.333333333333</v>
      </c>
      <c r="F2604" s="14">
        <v>170731.99999999997</v>
      </c>
      <c r="G2604" s="14">
        <v>77.333333333333343</v>
      </c>
      <c r="H2604" s="14">
        <v>95.333333333333329</v>
      </c>
      <c r="I2604" s="14">
        <v>8243.9999999999982</v>
      </c>
    </row>
    <row r="2605" spans="1:11" ht="16.5" x14ac:dyDescent="0.2">
      <c r="A2605" s="4" t="s">
        <v>20</v>
      </c>
      <c r="B2605">
        <v>2010</v>
      </c>
      <c r="C2605" s="14">
        <v>135.99999999999997</v>
      </c>
      <c r="D2605" s="14">
        <v>0</v>
      </c>
      <c r="E2605" s="14">
        <v>6512.6666666666661</v>
      </c>
      <c r="F2605" s="14">
        <v>170726.66666666666</v>
      </c>
      <c r="G2605" s="14">
        <v>83.333333333333329</v>
      </c>
      <c r="H2605" s="14">
        <v>96.666666666666657</v>
      </c>
      <c r="I2605" s="14">
        <v>8243.9999999999982</v>
      </c>
    </row>
    <row r="2606" spans="1:11" ht="16.5" x14ac:dyDescent="0.2">
      <c r="A2606" s="4" t="s">
        <v>20</v>
      </c>
      <c r="B2606">
        <v>2011</v>
      </c>
      <c r="C2606" s="14">
        <v>135.33333333333331</v>
      </c>
      <c r="D2606" s="14">
        <v>0</v>
      </c>
      <c r="E2606" s="14">
        <v>6511.9999999999991</v>
      </c>
      <c r="F2606" s="14">
        <v>170720.66666666663</v>
      </c>
      <c r="G2606" s="14">
        <v>85.333333333333329</v>
      </c>
      <c r="H2606" s="14">
        <v>100.66666666666666</v>
      </c>
      <c r="I2606" s="14">
        <v>8243.9999999999982</v>
      </c>
      <c r="K2606" s="15"/>
    </row>
    <row r="2607" spans="1:11" ht="16.5" x14ac:dyDescent="0.2">
      <c r="A2607" s="4" t="s">
        <v>20</v>
      </c>
      <c r="B2607">
        <v>2012</v>
      </c>
      <c r="C2607" s="14">
        <v>134.66666666666666</v>
      </c>
      <c r="D2607" s="14">
        <v>0</v>
      </c>
      <c r="E2607" s="14">
        <v>6511.9999999999991</v>
      </c>
      <c r="F2607" s="14">
        <v>170715.33333333331</v>
      </c>
      <c r="G2607" s="14">
        <v>92</v>
      </c>
      <c r="H2607" s="14">
        <v>101.33333333333331</v>
      </c>
      <c r="I2607" s="14">
        <v>8243.9999999999982</v>
      </c>
    </row>
    <row r="2608" spans="1:11" ht="16.5" x14ac:dyDescent="0.2">
      <c r="A2608" s="4" t="s">
        <v>20</v>
      </c>
      <c r="B2608">
        <v>2013</v>
      </c>
      <c r="C2608" s="14">
        <v>134</v>
      </c>
      <c r="D2608" s="14">
        <v>0</v>
      </c>
      <c r="E2608" s="14">
        <v>6511.9999999999991</v>
      </c>
      <c r="F2608" s="14">
        <v>170709.33333333331</v>
      </c>
      <c r="G2608" s="14">
        <v>94</v>
      </c>
      <c r="H2608" s="14">
        <v>105.33333333333333</v>
      </c>
      <c r="I2608" s="14">
        <v>8243.3333333333321</v>
      </c>
      <c r="K2608" s="15"/>
    </row>
    <row r="2609" spans="1:11" ht="16.5" x14ac:dyDescent="0.2">
      <c r="A2609" s="4" t="s">
        <v>20</v>
      </c>
      <c r="B2609">
        <v>2014</v>
      </c>
      <c r="C2609" s="14">
        <v>134</v>
      </c>
      <c r="D2609" s="14">
        <v>0</v>
      </c>
      <c r="E2609" s="14">
        <v>6511.333333333333</v>
      </c>
      <c r="F2609" s="14">
        <v>170701.33333333331</v>
      </c>
      <c r="G2609" s="14">
        <v>97.333333333333329</v>
      </c>
      <c r="H2609" s="14">
        <v>111.33333333333331</v>
      </c>
      <c r="I2609" s="14">
        <v>8243.3333333333321</v>
      </c>
    </row>
    <row r="2610" spans="1:11" ht="16.5" x14ac:dyDescent="0.2">
      <c r="A2610" s="4" t="s">
        <v>20</v>
      </c>
      <c r="B2610">
        <v>2015</v>
      </c>
      <c r="C2610" s="14">
        <v>134</v>
      </c>
      <c r="D2610" s="14">
        <v>0</v>
      </c>
      <c r="E2610" s="14">
        <v>6511.333333333333</v>
      </c>
      <c r="F2610" s="14">
        <v>170699.33333333331</v>
      </c>
      <c r="G2610" s="14">
        <v>98.666666666666657</v>
      </c>
      <c r="H2610" s="14">
        <v>111.33333333333331</v>
      </c>
      <c r="I2610" s="14">
        <v>8243.3333333333321</v>
      </c>
    </row>
    <row r="2611" spans="1:11" ht="16.5" x14ac:dyDescent="0.2">
      <c r="A2611" s="4" t="s">
        <v>20</v>
      </c>
      <c r="B2611">
        <v>2016</v>
      </c>
      <c r="C2611" s="14">
        <v>132.66666666666666</v>
      </c>
      <c r="D2611" s="14">
        <v>0</v>
      </c>
      <c r="E2611" s="14">
        <v>6510.6666666666661</v>
      </c>
      <c r="F2611" s="14">
        <v>170692.66666666666</v>
      </c>
      <c r="G2611" s="14">
        <v>107.99999999999999</v>
      </c>
      <c r="H2611" s="14">
        <v>112</v>
      </c>
      <c r="I2611" s="14">
        <v>8243.3333333333321</v>
      </c>
      <c r="K2611" s="15"/>
    </row>
    <row r="2612" spans="1:11" ht="16.5" x14ac:dyDescent="0.2">
      <c r="A2612" s="4" t="s">
        <v>19</v>
      </c>
      <c r="B2612">
        <v>2009</v>
      </c>
      <c r="C2612" s="14">
        <v>397.33333333333331</v>
      </c>
      <c r="D2612" s="14">
        <v>39.333333333333336</v>
      </c>
      <c r="E2612" s="14">
        <v>9043.9999999999982</v>
      </c>
      <c r="F2612" s="14">
        <v>110612.66666666667</v>
      </c>
      <c r="G2612" s="14">
        <v>971.33333333333314</v>
      </c>
      <c r="H2612" s="14">
        <v>175.99999999999997</v>
      </c>
      <c r="I2612" s="14">
        <v>10773.999999999998</v>
      </c>
    </row>
    <row r="2613" spans="1:11" ht="16.5" x14ac:dyDescent="0.2">
      <c r="A2613" s="4" t="s">
        <v>19</v>
      </c>
      <c r="B2613">
        <v>2010</v>
      </c>
      <c r="C2613" s="14">
        <v>395.99999999999994</v>
      </c>
      <c r="D2613" s="14">
        <v>39.333333333333336</v>
      </c>
      <c r="E2613" s="14">
        <v>9041.9999999999982</v>
      </c>
      <c r="F2613" s="14">
        <v>110601.99999999999</v>
      </c>
      <c r="G2613" s="14">
        <v>979.99999999999989</v>
      </c>
      <c r="H2613" s="14">
        <v>187.99999999999997</v>
      </c>
      <c r="I2613" s="14">
        <v>10771.999999999998</v>
      </c>
      <c r="K2613" s="15"/>
    </row>
    <row r="2614" spans="1:11" ht="16.5" x14ac:dyDescent="0.2">
      <c r="A2614" s="4" t="s">
        <v>19</v>
      </c>
      <c r="B2614">
        <v>2011</v>
      </c>
      <c r="C2614" s="14">
        <v>406.66666666666663</v>
      </c>
      <c r="D2614" s="14">
        <v>40.666666666666657</v>
      </c>
      <c r="E2614" s="14">
        <v>9038.6666666666661</v>
      </c>
      <c r="F2614" s="14">
        <v>110579.99999999999</v>
      </c>
      <c r="G2614" s="14">
        <v>1004.6666666666665</v>
      </c>
      <c r="H2614" s="14">
        <v>198.66666666666666</v>
      </c>
      <c r="I2614" s="14">
        <v>10771.333333333332</v>
      </c>
    </row>
    <row r="2615" spans="1:11" ht="16.5" x14ac:dyDescent="0.2">
      <c r="A2615" s="4" t="s">
        <v>19</v>
      </c>
      <c r="B2615">
        <v>2012</v>
      </c>
      <c r="C2615" s="14">
        <v>409.99999999999994</v>
      </c>
      <c r="D2615" s="14">
        <v>40.666666666666657</v>
      </c>
      <c r="E2615" s="14">
        <v>9037.3333333333321</v>
      </c>
      <c r="F2615" s="14">
        <v>110555.33333333331</v>
      </c>
      <c r="G2615" s="14">
        <v>1036.6666666666665</v>
      </c>
      <c r="H2615" s="14">
        <v>204.66666666666666</v>
      </c>
      <c r="I2615" s="14">
        <v>10770.666666666664</v>
      </c>
    </row>
    <row r="2616" spans="1:11" ht="16.5" x14ac:dyDescent="0.2">
      <c r="A2616" s="4" t="s">
        <v>19</v>
      </c>
      <c r="B2616">
        <v>2013</v>
      </c>
      <c r="C2616" s="14">
        <v>433.33333333333331</v>
      </c>
      <c r="D2616" s="14">
        <v>40.666666666666657</v>
      </c>
      <c r="E2616" s="14">
        <v>9030</v>
      </c>
      <c r="F2616" s="14">
        <v>110513.33333333333</v>
      </c>
      <c r="G2616" s="14">
        <v>1074.6666666666665</v>
      </c>
      <c r="H2616" s="14">
        <v>245.33333333333329</v>
      </c>
      <c r="I2616" s="14">
        <v>10768.666666666666</v>
      </c>
      <c r="K2616" s="15"/>
    </row>
    <row r="2617" spans="1:11" ht="16.5" x14ac:dyDescent="0.2">
      <c r="A2617" s="4" t="s">
        <v>19</v>
      </c>
      <c r="B2617">
        <v>2014</v>
      </c>
      <c r="C2617" s="14">
        <v>435.33333333333326</v>
      </c>
      <c r="D2617" s="14">
        <v>40.666666666666657</v>
      </c>
      <c r="E2617" s="14">
        <v>9029.3333333333339</v>
      </c>
      <c r="F2617" s="14">
        <v>110518.66666666666</v>
      </c>
      <c r="G2617" s="14">
        <v>1036</v>
      </c>
      <c r="H2617" s="14">
        <v>259.33333333333331</v>
      </c>
      <c r="I2617" s="14">
        <v>10768.666666666666</v>
      </c>
    </row>
    <row r="2618" spans="1:11" ht="16.5" x14ac:dyDescent="0.2">
      <c r="A2618" s="4" t="s">
        <v>19</v>
      </c>
      <c r="B2618">
        <v>2015</v>
      </c>
      <c r="C2618" s="14">
        <v>465.33333333333326</v>
      </c>
      <c r="D2618" s="14">
        <v>40.666666666666657</v>
      </c>
      <c r="E2618" s="14">
        <v>9023.9999999999982</v>
      </c>
      <c r="F2618" s="14">
        <v>110486.66666666666</v>
      </c>
      <c r="G2618" s="14">
        <v>1048.6666666666667</v>
      </c>
      <c r="H2618" s="14">
        <v>260.66666666666663</v>
      </c>
      <c r="I2618" s="14">
        <v>10768.666666666666</v>
      </c>
      <c r="K2618" s="15"/>
    </row>
    <row r="2619" spans="1:11" ht="16.5" x14ac:dyDescent="0.2">
      <c r="A2619" s="4" t="s">
        <v>19</v>
      </c>
      <c r="B2619">
        <v>2016</v>
      </c>
      <c r="C2619" s="14">
        <v>477.33333333333326</v>
      </c>
      <c r="D2619" s="14">
        <v>40.666666666666657</v>
      </c>
      <c r="E2619" s="14">
        <v>9019.3333333333339</v>
      </c>
      <c r="F2619" s="14">
        <v>110458.66666666666</v>
      </c>
      <c r="G2619" s="14">
        <v>1070.6666666666665</v>
      </c>
      <c r="H2619" s="14">
        <v>283.33333333333331</v>
      </c>
      <c r="I2619" s="14">
        <v>10768</v>
      </c>
    </row>
    <row r="2620" spans="1:11" ht="16.5" x14ac:dyDescent="0.2">
      <c r="A2620" s="4" t="s">
        <v>18</v>
      </c>
      <c r="B2620">
        <v>2009</v>
      </c>
      <c r="C2620" s="14">
        <v>1457.9999999999998</v>
      </c>
      <c r="D2620" s="14">
        <v>184.66666666666666</v>
      </c>
      <c r="E2620" s="14">
        <v>644.66666666666663</v>
      </c>
      <c r="F2620" s="14">
        <v>3131.333333333333</v>
      </c>
      <c r="G2620" s="14">
        <v>478.66666666666663</v>
      </c>
      <c r="H2620" s="14">
        <v>147.99999999999997</v>
      </c>
      <c r="I2620" s="14">
        <v>627.33333333333326</v>
      </c>
    </row>
    <row r="2621" spans="1:11" ht="16.5" x14ac:dyDescent="0.2">
      <c r="A2621" s="4" t="s">
        <v>18</v>
      </c>
      <c r="B2621">
        <v>2010</v>
      </c>
      <c r="C2621" s="14">
        <v>1456.6666666666665</v>
      </c>
      <c r="D2621" s="14">
        <v>179.33333333333331</v>
      </c>
      <c r="E2621" s="14">
        <v>643.99999999999989</v>
      </c>
      <c r="F2621" s="14">
        <v>3111.333333333333</v>
      </c>
      <c r="G2621" s="14">
        <v>508</v>
      </c>
      <c r="H2621" s="14">
        <v>154.66666666666666</v>
      </c>
      <c r="I2621" s="14">
        <v>628.66666666666663</v>
      </c>
      <c r="K2621" s="15"/>
    </row>
    <row r="2622" spans="1:11" ht="16.5" x14ac:dyDescent="0.2">
      <c r="A2622" s="4" t="s">
        <v>18</v>
      </c>
      <c r="B2622">
        <v>2011</v>
      </c>
      <c r="C2622" s="14">
        <v>1442</v>
      </c>
      <c r="D2622" s="14">
        <v>172.66666666666663</v>
      </c>
      <c r="E2622" s="14">
        <v>633.33333333333326</v>
      </c>
      <c r="F2622" s="14">
        <v>2651.333333333333</v>
      </c>
      <c r="G2622" s="14">
        <v>527.33333333333326</v>
      </c>
      <c r="H2622" s="14">
        <v>155.33333333333331</v>
      </c>
      <c r="I2622" s="14">
        <v>617.33333333333326</v>
      </c>
    </row>
    <row r="2623" spans="1:11" ht="16.5" x14ac:dyDescent="0.2">
      <c r="A2623" s="4" t="s">
        <v>18</v>
      </c>
      <c r="B2623">
        <v>2012</v>
      </c>
      <c r="C2623" s="14">
        <v>1431.333333333333</v>
      </c>
      <c r="D2623" s="14">
        <v>174</v>
      </c>
      <c r="E2623" s="14">
        <v>627.33333333333326</v>
      </c>
      <c r="F2623" s="14">
        <v>2630.6666666666665</v>
      </c>
      <c r="G2623" s="14">
        <v>566.66666666666663</v>
      </c>
      <c r="H2623" s="14">
        <v>160</v>
      </c>
      <c r="I2623" s="14">
        <v>614.66666666666663</v>
      </c>
      <c r="K2623" s="15"/>
    </row>
    <row r="2624" spans="1:11" ht="16.5" x14ac:dyDescent="0.2">
      <c r="A2624" s="4" t="s">
        <v>18</v>
      </c>
      <c r="B2624">
        <v>2013</v>
      </c>
      <c r="C2624" s="14">
        <v>1426.6666666666665</v>
      </c>
      <c r="D2624" s="14">
        <v>172</v>
      </c>
      <c r="E2624" s="14">
        <v>624.66666666666663</v>
      </c>
      <c r="F2624" s="14">
        <v>2615.9999999999995</v>
      </c>
      <c r="G2624" s="14">
        <v>592.66666666666663</v>
      </c>
      <c r="H2624" s="14">
        <v>164.66666666666666</v>
      </c>
      <c r="I2624" s="14">
        <v>616.66666666666663</v>
      </c>
    </row>
    <row r="2625" spans="1:11" ht="16.5" x14ac:dyDescent="0.2">
      <c r="A2625" s="4" t="s">
        <v>18</v>
      </c>
      <c r="B2625">
        <v>2014</v>
      </c>
      <c r="C2625" s="14">
        <v>1423.3333333333333</v>
      </c>
      <c r="D2625" s="14">
        <v>169.33333333333331</v>
      </c>
      <c r="E2625" s="14">
        <v>623.33333333333326</v>
      </c>
      <c r="F2625" s="14">
        <v>2602</v>
      </c>
      <c r="G2625" s="14">
        <v>613.99999999999989</v>
      </c>
      <c r="H2625" s="14">
        <v>172</v>
      </c>
      <c r="I2625" s="14">
        <v>615.33333333333326</v>
      </c>
    </row>
    <row r="2626" spans="1:11" ht="16.5" x14ac:dyDescent="0.2">
      <c r="A2626" s="4" t="s">
        <v>18</v>
      </c>
      <c r="B2626">
        <v>2015</v>
      </c>
      <c r="C2626" s="14">
        <v>1423.9999999999998</v>
      </c>
      <c r="D2626" s="14">
        <v>164</v>
      </c>
      <c r="E2626" s="14">
        <v>617.33333333333326</v>
      </c>
      <c r="F2626" s="14">
        <v>2588.6666666666665</v>
      </c>
      <c r="G2626" s="14">
        <v>636</v>
      </c>
      <c r="H2626" s="14">
        <v>180.66666666666666</v>
      </c>
      <c r="I2626" s="14">
        <v>613.99999999999989</v>
      </c>
      <c r="K2626" s="15"/>
    </row>
    <row r="2627" spans="1:11" ht="16.5" x14ac:dyDescent="0.2">
      <c r="A2627" s="4" t="s">
        <v>18</v>
      </c>
      <c r="B2627">
        <v>2016</v>
      </c>
      <c r="C2627" s="14">
        <v>1416.6666666666665</v>
      </c>
      <c r="D2627" s="14">
        <v>162.66666666666663</v>
      </c>
      <c r="E2627" s="14">
        <v>616.66666666666663</v>
      </c>
      <c r="F2627" s="14">
        <v>2582</v>
      </c>
      <c r="G2627" s="14">
        <v>649.99999999999989</v>
      </c>
      <c r="H2627" s="14">
        <v>187.99999999999997</v>
      </c>
      <c r="I2627" s="14">
        <v>611.33333333333326</v>
      </c>
    </row>
    <row r="2628" spans="1:11" ht="16.5" x14ac:dyDescent="0.2">
      <c r="A2628" s="4" t="s">
        <v>17</v>
      </c>
      <c r="B2628">
        <v>2009</v>
      </c>
      <c r="C2628" s="14">
        <v>842.66666666666663</v>
      </c>
      <c r="D2628" s="14">
        <v>28.666666666666664</v>
      </c>
      <c r="E2628" s="14">
        <v>265.33333333333331</v>
      </c>
      <c r="F2628" s="14">
        <v>1083.3333333333333</v>
      </c>
      <c r="G2628" s="14">
        <v>341.33333333333331</v>
      </c>
      <c r="H2628" s="14">
        <v>63.999999999999993</v>
      </c>
      <c r="I2628" s="14">
        <v>483.33333333333331</v>
      </c>
      <c r="K2628" s="15"/>
    </row>
    <row r="2629" spans="1:11" ht="16.5" x14ac:dyDescent="0.2">
      <c r="A2629" s="4" t="s">
        <v>17</v>
      </c>
      <c r="B2629">
        <v>2010</v>
      </c>
      <c r="C2629" s="14">
        <v>843.33333333333326</v>
      </c>
      <c r="D2629" s="14">
        <v>28.666666666666664</v>
      </c>
      <c r="E2629" s="14">
        <v>264.66666666666669</v>
      </c>
      <c r="F2629" s="14">
        <v>1077.3333333333333</v>
      </c>
      <c r="G2629" s="14">
        <v>354.66666666666663</v>
      </c>
      <c r="H2629" s="14">
        <v>66</v>
      </c>
      <c r="I2629" s="14">
        <v>481.99999999999994</v>
      </c>
    </row>
    <row r="2630" spans="1:11" ht="16.5" x14ac:dyDescent="0.2">
      <c r="A2630" s="4" t="s">
        <v>17</v>
      </c>
      <c r="B2630">
        <v>2011</v>
      </c>
      <c r="C2630" s="14">
        <v>843.99999999999989</v>
      </c>
      <c r="D2630" s="14">
        <v>28</v>
      </c>
      <c r="E2630" s="14">
        <v>264</v>
      </c>
      <c r="F2630" s="14">
        <v>1074.6666666666665</v>
      </c>
      <c r="G2630" s="14">
        <v>364</v>
      </c>
      <c r="H2630" s="14">
        <v>67.999999999999986</v>
      </c>
      <c r="I2630" s="14">
        <v>479.33333333333331</v>
      </c>
    </row>
    <row r="2631" spans="1:11" ht="16.5" x14ac:dyDescent="0.2">
      <c r="A2631" s="4" t="s">
        <v>17</v>
      </c>
      <c r="B2631">
        <v>2012</v>
      </c>
      <c r="C2631" s="14">
        <v>846</v>
      </c>
      <c r="D2631" s="14">
        <v>28</v>
      </c>
      <c r="E2631" s="14">
        <v>265.33333333333331</v>
      </c>
      <c r="F2631" s="14">
        <v>1070.6666666666665</v>
      </c>
      <c r="G2631" s="14">
        <v>371.99999999999994</v>
      </c>
      <c r="H2631" s="14">
        <v>70</v>
      </c>
      <c r="I2631" s="14">
        <v>478</v>
      </c>
      <c r="K2631" s="15"/>
    </row>
    <row r="2632" spans="1:11" ht="16.5" x14ac:dyDescent="0.2">
      <c r="A2632" s="4" t="s">
        <v>17</v>
      </c>
      <c r="B2632">
        <v>2013</v>
      </c>
      <c r="C2632" s="14">
        <v>849.33333333333326</v>
      </c>
      <c r="D2632" s="14">
        <v>27.333333333333329</v>
      </c>
      <c r="E2632" s="14">
        <v>264.66666666666669</v>
      </c>
      <c r="F2632" s="14">
        <v>1066.6666666666665</v>
      </c>
      <c r="G2632" s="14">
        <v>379.33333333333331</v>
      </c>
      <c r="H2632" s="14">
        <v>72.666666666666657</v>
      </c>
      <c r="I2632" s="14">
        <v>476.66666666666663</v>
      </c>
    </row>
    <row r="2633" spans="1:11" ht="16.5" x14ac:dyDescent="0.2">
      <c r="A2633" s="4" t="s">
        <v>17</v>
      </c>
      <c r="B2633">
        <v>2014</v>
      </c>
      <c r="C2633" s="14">
        <v>865.33333333333337</v>
      </c>
      <c r="D2633" s="14">
        <v>27.333333333333329</v>
      </c>
      <c r="E2633" s="14">
        <v>264</v>
      </c>
      <c r="F2633" s="14">
        <v>1063.3333333333333</v>
      </c>
      <c r="G2633" s="14">
        <v>385.33333333333331</v>
      </c>
      <c r="H2633" s="14">
        <v>73.333333333333329</v>
      </c>
      <c r="I2633" s="14">
        <v>477.33333333333326</v>
      </c>
      <c r="K2633" s="15"/>
    </row>
    <row r="2634" spans="1:11" ht="16.5" x14ac:dyDescent="0.2">
      <c r="A2634" s="4" t="s">
        <v>17</v>
      </c>
      <c r="B2634">
        <v>2015</v>
      </c>
      <c r="C2634" s="14">
        <v>876.66666666666663</v>
      </c>
      <c r="D2634" s="14">
        <v>27.333333333333329</v>
      </c>
      <c r="E2634" s="14">
        <v>258</v>
      </c>
      <c r="F2634" s="14">
        <v>1060.6666666666665</v>
      </c>
      <c r="G2634" s="14">
        <v>389.99999999999994</v>
      </c>
      <c r="H2634" s="14">
        <v>73.333333333333329</v>
      </c>
      <c r="I2634" s="14">
        <v>477.33333333333326</v>
      </c>
    </row>
    <row r="2635" spans="1:11" ht="16.5" x14ac:dyDescent="0.2">
      <c r="A2635" s="4" t="s">
        <v>17</v>
      </c>
      <c r="B2635">
        <v>2016</v>
      </c>
      <c r="C2635" s="14">
        <v>879.33333333333326</v>
      </c>
      <c r="D2635" s="14">
        <v>27.333333333333329</v>
      </c>
      <c r="E2635" s="14">
        <v>258</v>
      </c>
      <c r="F2635" s="14">
        <v>1059.3333333333333</v>
      </c>
      <c r="G2635" s="14">
        <v>393.33333333333331</v>
      </c>
      <c r="H2635" s="14">
        <v>73.999999999999986</v>
      </c>
      <c r="I2635" s="14">
        <v>476.66666666666663</v>
      </c>
    </row>
    <row r="2636" spans="1:11" ht="16.5" x14ac:dyDescent="0.2">
      <c r="A2636" s="4" t="s">
        <v>16</v>
      </c>
      <c r="B2636">
        <v>2009</v>
      </c>
      <c r="C2636" s="14">
        <v>3450.6666666666665</v>
      </c>
      <c r="D2636" s="14">
        <v>126.66666666666666</v>
      </c>
      <c r="E2636" s="14">
        <v>1982</v>
      </c>
      <c r="F2636" s="14">
        <v>8331.9999999999982</v>
      </c>
      <c r="G2636" s="14">
        <v>524</v>
      </c>
      <c r="H2636" s="14">
        <v>181.33333333333331</v>
      </c>
      <c r="I2636" s="14">
        <v>315.33333333333331</v>
      </c>
      <c r="K2636" s="15"/>
    </row>
    <row r="2637" spans="1:11" ht="16.5" x14ac:dyDescent="0.2">
      <c r="A2637" s="4" t="s">
        <v>16</v>
      </c>
      <c r="B2637">
        <v>2010</v>
      </c>
      <c r="C2637" s="14">
        <v>3437.333333333333</v>
      </c>
      <c r="D2637" s="14">
        <v>125.99999999999999</v>
      </c>
      <c r="E2637" s="14">
        <v>1979.9999999999998</v>
      </c>
      <c r="F2637" s="14">
        <v>8313.9999999999982</v>
      </c>
      <c r="G2637" s="14">
        <v>550</v>
      </c>
      <c r="H2637" s="14">
        <v>187.33333333333331</v>
      </c>
      <c r="I2637" s="14">
        <v>315.33333333333331</v>
      </c>
    </row>
    <row r="2638" spans="1:11" ht="16.5" x14ac:dyDescent="0.2">
      <c r="A2638" s="4" t="s">
        <v>16</v>
      </c>
      <c r="B2638">
        <v>2011</v>
      </c>
      <c r="C2638" s="14">
        <v>3444.6666666666665</v>
      </c>
      <c r="D2638" s="14">
        <v>133.33333333333331</v>
      </c>
      <c r="E2638" s="14">
        <v>1985.3333333333333</v>
      </c>
      <c r="F2638" s="14">
        <v>8740.6666666666661</v>
      </c>
      <c r="G2638" s="14">
        <v>570</v>
      </c>
      <c r="H2638" s="14">
        <v>194</v>
      </c>
      <c r="I2638" s="14">
        <v>325.99999999999994</v>
      </c>
      <c r="K2638" s="15"/>
    </row>
    <row r="2639" spans="1:11" ht="16.5" x14ac:dyDescent="0.2">
      <c r="A2639" s="4" t="s">
        <v>16</v>
      </c>
      <c r="B2639">
        <v>2012</v>
      </c>
      <c r="C2639" s="14">
        <v>3455.3333333333326</v>
      </c>
      <c r="D2639" s="14">
        <v>130.66666666666666</v>
      </c>
      <c r="E2639" s="14">
        <v>1982</v>
      </c>
      <c r="F2639" s="14">
        <v>8710.6666666666661</v>
      </c>
      <c r="G2639" s="14">
        <v>588</v>
      </c>
      <c r="H2639" s="14">
        <v>198.66666666666666</v>
      </c>
      <c r="I2639" s="14">
        <v>325.33333333333326</v>
      </c>
    </row>
    <row r="2640" spans="1:11" ht="16.5" x14ac:dyDescent="0.2">
      <c r="A2640" s="4" t="s">
        <v>16</v>
      </c>
      <c r="B2640">
        <v>2013</v>
      </c>
      <c r="C2640" s="14">
        <v>3462.6666666666661</v>
      </c>
      <c r="D2640" s="14">
        <v>128.66666666666666</v>
      </c>
      <c r="E2640" s="14">
        <v>1977.3333333333333</v>
      </c>
      <c r="F2640" s="14">
        <v>8702.6666666666661</v>
      </c>
      <c r="G2640" s="14">
        <v>587.33333333333326</v>
      </c>
      <c r="H2640" s="14">
        <v>202</v>
      </c>
      <c r="I2640" s="14">
        <v>325.33333333333326</v>
      </c>
    </row>
    <row r="2641" spans="1:11" ht="16.5" x14ac:dyDescent="0.2">
      <c r="A2641" s="4" t="s">
        <v>16</v>
      </c>
      <c r="B2641">
        <v>2014</v>
      </c>
      <c r="C2641" s="14">
        <v>3511.9999999999995</v>
      </c>
      <c r="D2641" s="14">
        <v>127.99999999999999</v>
      </c>
      <c r="E2641" s="14">
        <v>1964</v>
      </c>
      <c r="F2641" s="14">
        <v>8649.3333333333339</v>
      </c>
      <c r="G2641" s="14">
        <v>599.33333333333326</v>
      </c>
      <c r="H2641" s="14">
        <v>207.33333333333331</v>
      </c>
      <c r="I2641" s="14">
        <v>325.33333333333326</v>
      </c>
      <c r="K2641" s="15"/>
    </row>
    <row r="2642" spans="1:11" ht="16.5" x14ac:dyDescent="0.2">
      <c r="A2642" s="4" t="s">
        <v>16</v>
      </c>
      <c r="B2642">
        <v>2015</v>
      </c>
      <c r="C2642" s="14">
        <v>3529.9999999999995</v>
      </c>
      <c r="D2642" s="14">
        <v>127.99999999999999</v>
      </c>
      <c r="E2642" s="14">
        <v>1959.9999999999998</v>
      </c>
      <c r="F2642" s="14">
        <v>8623.9999999999982</v>
      </c>
      <c r="G2642" s="14">
        <v>606.66666666666663</v>
      </c>
      <c r="H2642" s="14">
        <v>208.66666666666666</v>
      </c>
      <c r="I2642" s="14">
        <v>325.33333333333326</v>
      </c>
    </row>
    <row r="2643" spans="1:11" ht="16.5" x14ac:dyDescent="0.2">
      <c r="A2643" s="4" t="s">
        <v>16</v>
      </c>
      <c r="B2643">
        <v>2016</v>
      </c>
      <c r="C2643" s="14">
        <v>3525.3333333333326</v>
      </c>
      <c r="D2643" s="14">
        <v>127.33333333333333</v>
      </c>
      <c r="E2643" s="14">
        <v>1958.6666666666665</v>
      </c>
      <c r="F2643" s="14">
        <v>8613.3333333333321</v>
      </c>
      <c r="G2643" s="14">
        <v>616</v>
      </c>
      <c r="H2643" s="14">
        <v>214</v>
      </c>
      <c r="I2643" s="14">
        <v>325.99999999999994</v>
      </c>
      <c r="K2643" s="15"/>
    </row>
    <row r="2644" spans="1:11" ht="16.5" x14ac:dyDescent="0.2">
      <c r="A2644" s="4" t="s">
        <v>15</v>
      </c>
      <c r="B2644">
        <v>2009</v>
      </c>
      <c r="C2644" s="14">
        <v>4065.3333333333326</v>
      </c>
      <c r="D2644" s="14">
        <v>18.666666666666664</v>
      </c>
      <c r="E2644" s="14">
        <v>3805.9999999999995</v>
      </c>
      <c r="F2644" s="14">
        <v>1292</v>
      </c>
      <c r="G2644" s="14">
        <v>436.66666666666663</v>
      </c>
      <c r="H2644" s="14">
        <v>137.33333333333334</v>
      </c>
      <c r="I2644" s="14">
        <v>80.666666666666657</v>
      </c>
    </row>
    <row r="2645" spans="1:11" ht="16.5" x14ac:dyDescent="0.2">
      <c r="A2645" s="4" t="s">
        <v>15</v>
      </c>
      <c r="B2645">
        <v>2010</v>
      </c>
      <c r="C2645" s="14">
        <v>4065.9999999999995</v>
      </c>
      <c r="D2645" s="14">
        <v>18.666666666666664</v>
      </c>
      <c r="E2645" s="14">
        <v>3803.333333333333</v>
      </c>
      <c r="F2645" s="14">
        <v>1285.3333333333333</v>
      </c>
      <c r="G2645" s="14">
        <v>440.66666666666657</v>
      </c>
      <c r="H2645" s="14">
        <v>138.66666666666666</v>
      </c>
      <c r="I2645" s="14">
        <v>80.666666666666657</v>
      </c>
    </row>
    <row r="2646" spans="1:11" ht="16.5" x14ac:dyDescent="0.2">
      <c r="A2646" s="4" t="s">
        <v>15</v>
      </c>
      <c r="B2646">
        <v>2011</v>
      </c>
      <c r="C2646" s="14">
        <v>4067.333333333333</v>
      </c>
      <c r="D2646" s="14">
        <v>19.333333333333332</v>
      </c>
      <c r="E2646" s="14">
        <v>3799.333333333333</v>
      </c>
      <c r="F2646" s="14">
        <v>1277.9999999999998</v>
      </c>
      <c r="G2646" s="14">
        <v>448</v>
      </c>
      <c r="H2646" s="14">
        <v>139.33333333333331</v>
      </c>
      <c r="I2646" s="14">
        <v>81.333333333333314</v>
      </c>
      <c r="K2646" s="15"/>
    </row>
    <row r="2647" spans="1:11" ht="16.5" x14ac:dyDescent="0.2">
      <c r="A2647" s="4" t="s">
        <v>15</v>
      </c>
      <c r="B2647">
        <v>2012</v>
      </c>
      <c r="C2647" s="14">
        <v>4053.333333333333</v>
      </c>
      <c r="D2647" s="14">
        <v>18.666666666666664</v>
      </c>
      <c r="E2647" s="14">
        <v>3798.6666666666661</v>
      </c>
      <c r="F2647" s="14">
        <v>1289.3333333333333</v>
      </c>
      <c r="G2647" s="14">
        <v>450.66666666666657</v>
      </c>
      <c r="H2647" s="14">
        <v>141.33333333333331</v>
      </c>
      <c r="I2647" s="14">
        <v>81.333333333333314</v>
      </c>
    </row>
    <row r="2648" spans="1:11" ht="16.5" x14ac:dyDescent="0.2">
      <c r="A2648" s="4" t="s">
        <v>15</v>
      </c>
      <c r="B2648">
        <v>2013</v>
      </c>
      <c r="C2648" s="14">
        <v>4048.6666666666661</v>
      </c>
      <c r="D2648" s="14">
        <v>18</v>
      </c>
      <c r="E2648" s="14">
        <v>3797.333333333333</v>
      </c>
      <c r="F2648" s="14">
        <v>1281.333333333333</v>
      </c>
      <c r="G2648" s="14">
        <v>459.33333333333326</v>
      </c>
      <c r="H2648" s="14">
        <v>145.99999999999997</v>
      </c>
      <c r="I2648" s="14">
        <v>81.333333333333314</v>
      </c>
      <c r="K2648" s="15"/>
    </row>
    <row r="2649" spans="1:11" ht="16.5" x14ac:dyDescent="0.2">
      <c r="A2649" s="4" t="s">
        <v>15</v>
      </c>
      <c r="B2649">
        <v>2014</v>
      </c>
      <c r="C2649" s="14">
        <v>4042.6666666666661</v>
      </c>
      <c r="D2649" s="14">
        <v>18</v>
      </c>
      <c r="E2649" s="14">
        <v>3795.9999999999995</v>
      </c>
      <c r="F2649" s="14">
        <v>1279.3333333333333</v>
      </c>
      <c r="G2649" s="14">
        <v>466.66666666666663</v>
      </c>
      <c r="H2649" s="14">
        <v>148.66666666666666</v>
      </c>
      <c r="I2649" s="14">
        <v>80.666666666666657</v>
      </c>
    </row>
    <row r="2650" spans="1:11" ht="16.5" x14ac:dyDescent="0.2">
      <c r="A2650" s="4" t="s">
        <v>15</v>
      </c>
      <c r="B2650">
        <v>2015</v>
      </c>
      <c r="C2650" s="14">
        <v>4044.6666666666665</v>
      </c>
      <c r="D2650" s="14">
        <v>18</v>
      </c>
      <c r="E2650" s="14">
        <v>3794</v>
      </c>
      <c r="F2650" s="14">
        <v>1276.6666666666665</v>
      </c>
      <c r="G2650" s="14">
        <v>465.99999999999989</v>
      </c>
      <c r="H2650" s="14">
        <v>152</v>
      </c>
      <c r="I2650" s="14">
        <v>80.666666666666657</v>
      </c>
    </row>
    <row r="2651" spans="1:11" ht="16.5" x14ac:dyDescent="0.2">
      <c r="A2651" s="4" t="s">
        <v>15</v>
      </c>
      <c r="B2651">
        <v>2016</v>
      </c>
      <c r="C2651" s="14">
        <v>4039.9999999999995</v>
      </c>
      <c r="D2651" s="14">
        <v>18</v>
      </c>
      <c r="E2651" s="14">
        <v>3793.333333333333</v>
      </c>
      <c r="F2651" s="14">
        <v>1275.3333333333333</v>
      </c>
      <c r="G2651" s="14">
        <v>470.66666666666657</v>
      </c>
      <c r="H2651" s="14">
        <v>152.66666666666666</v>
      </c>
      <c r="I2651" s="14">
        <v>81.333333333333314</v>
      </c>
      <c r="K2651" s="15"/>
    </row>
    <row r="2652" spans="1:11" ht="16.5" x14ac:dyDescent="0.2">
      <c r="A2652" s="4" t="s">
        <v>14</v>
      </c>
      <c r="B2652">
        <v>2009</v>
      </c>
      <c r="C2652" s="14">
        <v>3064</v>
      </c>
      <c r="D2652" s="14">
        <v>172</v>
      </c>
      <c r="E2652" s="14">
        <v>1042</v>
      </c>
      <c r="F2652" s="14">
        <v>7404.6666666666661</v>
      </c>
      <c r="G2652" s="14">
        <v>390.66666666666657</v>
      </c>
      <c r="H2652" s="14">
        <v>160</v>
      </c>
      <c r="I2652" s="14">
        <v>265.33333333333331</v>
      </c>
    </row>
    <row r="2653" spans="1:11" ht="16.5" x14ac:dyDescent="0.2">
      <c r="A2653" s="4" t="s">
        <v>14</v>
      </c>
      <c r="B2653">
        <v>2010</v>
      </c>
      <c r="C2653" s="14">
        <v>3062.6666666666661</v>
      </c>
      <c r="D2653" s="14">
        <v>171.33333333333331</v>
      </c>
      <c r="E2653" s="14">
        <v>1042</v>
      </c>
      <c r="F2653" s="14">
        <v>7394.6666666666661</v>
      </c>
      <c r="G2653" s="14">
        <v>402.66666666666663</v>
      </c>
      <c r="H2653" s="14">
        <v>161.33333333333331</v>
      </c>
      <c r="I2653" s="14">
        <v>265.99999999999994</v>
      </c>
      <c r="K2653" s="15"/>
    </row>
    <row r="2654" spans="1:11" ht="16.5" x14ac:dyDescent="0.2">
      <c r="A2654" s="4" t="s">
        <v>14</v>
      </c>
      <c r="B2654">
        <v>2011</v>
      </c>
      <c r="C2654" s="14">
        <v>3052</v>
      </c>
      <c r="D2654" s="14">
        <v>170.66666666666666</v>
      </c>
      <c r="E2654" s="14">
        <v>1041.3333333333333</v>
      </c>
      <c r="F2654" s="14">
        <v>7396</v>
      </c>
      <c r="G2654" s="14">
        <v>417.33333333333331</v>
      </c>
      <c r="H2654" s="14">
        <v>162.66666666666663</v>
      </c>
      <c r="I2654" s="14">
        <v>265.99999999999994</v>
      </c>
    </row>
    <row r="2655" spans="1:11" ht="16.5" x14ac:dyDescent="0.2">
      <c r="A2655" s="4" t="s">
        <v>14</v>
      </c>
      <c r="B2655">
        <v>2012</v>
      </c>
      <c r="C2655" s="14">
        <v>3041.333333333333</v>
      </c>
      <c r="D2655" s="14">
        <v>169.99999999999997</v>
      </c>
      <c r="E2655" s="14">
        <v>1042</v>
      </c>
      <c r="F2655" s="14">
        <v>7396</v>
      </c>
      <c r="G2655" s="14">
        <v>428.66666666666663</v>
      </c>
      <c r="H2655" s="14">
        <v>162.66666666666663</v>
      </c>
      <c r="I2655" s="14">
        <v>265.33333333333331</v>
      </c>
    </row>
    <row r="2656" spans="1:11" ht="16.5" x14ac:dyDescent="0.2">
      <c r="A2656" s="4" t="s">
        <v>14</v>
      </c>
      <c r="B2656">
        <v>2013</v>
      </c>
      <c r="C2656" s="14">
        <v>3022.6666666666661</v>
      </c>
      <c r="D2656" s="14">
        <v>168.66666666666666</v>
      </c>
      <c r="E2656" s="14">
        <v>1041.3333333333333</v>
      </c>
      <c r="F2656" s="14">
        <v>7406.6666666666661</v>
      </c>
      <c r="G2656" s="14">
        <v>435.99999999999989</v>
      </c>
      <c r="H2656" s="14">
        <v>166.66666666666666</v>
      </c>
      <c r="I2656" s="14">
        <v>265.33333333333331</v>
      </c>
      <c r="K2656" s="15"/>
    </row>
    <row r="2657" spans="1:11" ht="16.5" x14ac:dyDescent="0.2">
      <c r="A2657" s="4" t="s">
        <v>14</v>
      </c>
      <c r="B2657">
        <v>2014</v>
      </c>
      <c r="C2657" s="14">
        <v>3014.6666666666665</v>
      </c>
      <c r="D2657" s="14">
        <v>167.33333333333331</v>
      </c>
      <c r="E2657" s="14">
        <v>1039.3333333333333</v>
      </c>
      <c r="F2657" s="14">
        <v>7400.6666666666652</v>
      </c>
      <c r="G2657" s="14">
        <v>453.33333333333331</v>
      </c>
      <c r="H2657" s="14">
        <v>168.66666666666666</v>
      </c>
      <c r="I2657" s="14">
        <v>265.99999999999994</v>
      </c>
    </row>
    <row r="2658" spans="1:11" ht="16.5" x14ac:dyDescent="0.2">
      <c r="A2658" s="4" t="s">
        <v>14</v>
      </c>
      <c r="B2658">
        <v>2015</v>
      </c>
      <c r="C2658" s="14">
        <v>3025.9999999999995</v>
      </c>
      <c r="D2658" s="14">
        <v>166.66666666666666</v>
      </c>
      <c r="E2658" s="14">
        <v>1038.6666666666667</v>
      </c>
      <c r="F2658" s="14">
        <v>7382.666666666667</v>
      </c>
      <c r="G2658" s="14">
        <v>464.66666666666663</v>
      </c>
      <c r="H2658" s="14">
        <v>168.66666666666666</v>
      </c>
      <c r="I2658" s="14">
        <v>265.99999999999994</v>
      </c>
      <c r="K2658" s="15"/>
    </row>
    <row r="2659" spans="1:11" ht="16.5" x14ac:dyDescent="0.2">
      <c r="A2659" s="4" t="s">
        <v>14</v>
      </c>
      <c r="B2659">
        <v>2016</v>
      </c>
      <c r="C2659" s="14">
        <v>3026.6666666666665</v>
      </c>
      <c r="D2659" s="14">
        <v>165.99999999999997</v>
      </c>
      <c r="E2659" s="14">
        <v>1041.3333333333333</v>
      </c>
      <c r="F2659" s="14">
        <v>7370.6666666666652</v>
      </c>
      <c r="G2659" s="14">
        <v>467.33333333333337</v>
      </c>
      <c r="H2659" s="14">
        <v>174.66666666666666</v>
      </c>
      <c r="I2659" s="14">
        <v>266.66666666666663</v>
      </c>
    </row>
    <row r="2660" spans="1:11" ht="16.5" x14ac:dyDescent="0.2">
      <c r="A2660" s="4" t="s">
        <v>13</v>
      </c>
      <c r="B2660">
        <v>2009</v>
      </c>
      <c r="C2660" s="14">
        <v>802.66666666666663</v>
      </c>
      <c r="D2660" s="14">
        <v>55.333333333333336</v>
      </c>
      <c r="E2660" s="14">
        <v>801.99999999999989</v>
      </c>
      <c r="F2660" s="14">
        <v>7826.6666666666661</v>
      </c>
      <c r="G2660" s="14">
        <v>475.99999999999989</v>
      </c>
      <c r="H2660" s="14">
        <v>134</v>
      </c>
      <c r="I2660" s="14">
        <v>418.66666666666663</v>
      </c>
    </row>
    <row r="2661" spans="1:11" ht="16.5" x14ac:dyDescent="0.2">
      <c r="A2661" s="4" t="s">
        <v>13</v>
      </c>
      <c r="B2661">
        <v>2010</v>
      </c>
      <c r="C2661" s="14">
        <v>799.33333333333326</v>
      </c>
      <c r="D2661" s="14">
        <v>54.666666666666657</v>
      </c>
      <c r="E2661" s="14">
        <v>806</v>
      </c>
      <c r="F2661" s="14">
        <v>7789.333333333333</v>
      </c>
      <c r="G2661" s="14">
        <v>503.99999999999994</v>
      </c>
      <c r="H2661" s="14">
        <v>142</v>
      </c>
      <c r="I2661" s="14">
        <v>418</v>
      </c>
      <c r="K2661" s="15"/>
    </row>
    <row r="2662" spans="1:11" ht="16.5" x14ac:dyDescent="0.2">
      <c r="A2662" s="4" t="s">
        <v>13</v>
      </c>
      <c r="B2662">
        <v>2011</v>
      </c>
      <c r="C2662" s="14">
        <v>793.33333333333326</v>
      </c>
      <c r="D2662" s="14">
        <v>51.999999999999993</v>
      </c>
      <c r="E2662" s="14">
        <v>806.66666666666663</v>
      </c>
      <c r="F2662" s="14">
        <v>7770.6666666666652</v>
      </c>
      <c r="G2662" s="14">
        <v>530</v>
      </c>
      <c r="H2662" s="14">
        <v>142</v>
      </c>
      <c r="I2662" s="14">
        <v>417.33333333333331</v>
      </c>
    </row>
    <row r="2663" spans="1:11" ht="16.5" x14ac:dyDescent="0.2">
      <c r="A2663" s="4" t="s">
        <v>13</v>
      </c>
      <c r="B2663">
        <v>2012</v>
      </c>
      <c r="C2663" s="14">
        <v>782.66666666666663</v>
      </c>
      <c r="D2663" s="14">
        <v>50.666666666666657</v>
      </c>
      <c r="E2663" s="14">
        <v>805.33333333333326</v>
      </c>
      <c r="F2663" s="14">
        <v>7755.3333333333321</v>
      </c>
      <c r="G2663" s="14">
        <v>556</v>
      </c>
      <c r="H2663" s="14">
        <v>145.99999999999997</v>
      </c>
      <c r="I2663" s="14">
        <v>417.33333333333331</v>
      </c>
      <c r="K2663" s="15"/>
    </row>
    <row r="2664" spans="1:11" ht="16.5" x14ac:dyDescent="0.2">
      <c r="A2664" s="4" t="s">
        <v>13</v>
      </c>
      <c r="B2664">
        <v>2013</v>
      </c>
      <c r="C2664" s="14">
        <v>773.99999999999989</v>
      </c>
      <c r="D2664" s="14">
        <v>49.333333333333329</v>
      </c>
      <c r="E2664" s="14">
        <v>802.66666666666663</v>
      </c>
      <c r="F2664" s="14">
        <v>7726.6666666666661</v>
      </c>
      <c r="G2664" s="14">
        <v>589.33333333333337</v>
      </c>
      <c r="H2664" s="14">
        <v>153.33333333333331</v>
      </c>
      <c r="I2664" s="14">
        <v>416.66666666666663</v>
      </c>
    </row>
    <row r="2665" spans="1:11" ht="16.5" x14ac:dyDescent="0.2">
      <c r="A2665" s="4" t="s">
        <v>13</v>
      </c>
      <c r="B2665">
        <v>2014</v>
      </c>
      <c r="C2665" s="14">
        <v>766</v>
      </c>
      <c r="D2665" s="14">
        <v>47.333333333333329</v>
      </c>
      <c r="E2665" s="14">
        <v>798.66666666666663</v>
      </c>
      <c r="F2665" s="14">
        <v>7691.333333333333</v>
      </c>
      <c r="G2665" s="14">
        <v>631.99999999999989</v>
      </c>
      <c r="H2665" s="14">
        <v>163.33333333333331</v>
      </c>
      <c r="I2665" s="14">
        <v>416.66666666666663</v>
      </c>
    </row>
    <row r="2666" spans="1:11" ht="16.5" x14ac:dyDescent="0.2">
      <c r="A2666" s="4" t="s">
        <v>13</v>
      </c>
      <c r="B2666">
        <v>2015</v>
      </c>
      <c r="C2666" s="14">
        <v>758.66666666666663</v>
      </c>
      <c r="D2666" s="14">
        <v>46</v>
      </c>
      <c r="E2666" s="14">
        <v>796.66666666666663</v>
      </c>
      <c r="F2666" s="14">
        <v>7676.6666666666661</v>
      </c>
      <c r="G2666" s="14">
        <v>654</v>
      </c>
      <c r="H2666" s="14">
        <v>167.33333333333331</v>
      </c>
      <c r="I2666" s="14">
        <v>415.99999999999994</v>
      </c>
      <c r="K2666" s="15"/>
    </row>
    <row r="2667" spans="1:11" ht="16.5" x14ac:dyDescent="0.2">
      <c r="A2667" s="4" t="s">
        <v>13</v>
      </c>
      <c r="B2667">
        <v>2016</v>
      </c>
      <c r="C2667" s="14">
        <v>749.33333333333326</v>
      </c>
      <c r="D2667" s="14">
        <v>44.666666666666664</v>
      </c>
      <c r="E2667" s="14">
        <v>794.66666666666663</v>
      </c>
      <c r="F2667" s="14">
        <v>7666.6666666666661</v>
      </c>
      <c r="G2667" s="14">
        <v>672.66666666666663</v>
      </c>
      <c r="H2667" s="14">
        <v>171.33333333333331</v>
      </c>
      <c r="I2667" s="14">
        <v>415.99999999999994</v>
      </c>
    </row>
    <row r="2668" spans="1:11" ht="16.5" x14ac:dyDescent="0.2">
      <c r="A2668" s="4" t="s">
        <v>12</v>
      </c>
      <c r="B2668">
        <v>2009</v>
      </c>
      <c r="C2668" s="14">
        <v>635.33333333333326</v>
      </c>
      <c r="D2668" s="14">
        <v>21.333333333333332</v>
      </c>
      <c r="E2668" s="14">
        <v>2230.6666666666665</v>
      </c>
      <c r="F2668" s="14">
        <v>2287.9999999999995</v>
      </c>
      <c r="G2668" s="14">
        <v>704.66666666666663</v>
      </c>
      <c r="H2668" s="14">
        <v>65.333333333333329</v>
      </c>
      <c r="I2668" s="14">
        <v>185.99999999999997</v>
      </c>
      <c r="K2668" s="15"/>
    </row>
    <row r="2669" spans="1:11" ht="16.5" x14ac:dyDescent="0.2">
      <c r="A2669" s="4" t="s">
        <v>12</v>
      </c>
      <c r="B2669">
        <v>2010</v>
      </c>
      <c r="C2669" s="14">
        <v>634.66666666666663</v>
      </c>
      <c r="D2669" s="14">
        <v>21.333333333333332</v>
      </c>
      <c r="E2669" s="14">
        <v>2227.9999999999995</v>
      </c>
      <c r="F2669" s="14">
        <v>2282</v>
      </c>
      <c r="G2669" s="14">
        <v>711.99999999999989</v>
      </c>
      <c r="H2669" s="14">
        <v>70</v>
      </c>
      <c r="I2669" s="14">
        <v>184</v>
      </c>
    </row>
    <row r="2670" spans="1:11" ht="16.5" x14ac:dyDescent="0.2">
      <c r="A2670" s="4" t="s">
        <v>12</v>
      </c>
      <c r="B2670">
        <v>2011</v>
      </c>
      <c r="C2670" s="14">
        <v>628</v>
      </c>
      <c r="D2670" s="14">
        <v>21.333333333333332</v>
      </c>
      <c r="E2670" s="14">
        <v>2225.333333333333</v>
      </c>
      <c r="F2670" s="14">
        <v>2268.6666666666665</v>
      </c>
      <c r="G2670" s="14">
        <v>728.66666666666663</v>
      </c>
      <c r="H2670" s="14">
        <v>80.666666666666657</v>
      </c>
      <c r="I2670" s="14">
        <v>184</v>
      </c>
    </row>
    <row r="2671" spans="1:11" ht="16.5" x14ac:dyDescent="0.2">
      <c r="A2671" s="4" t="s">
        <v>12</v>
      </c>
      <c r="B2671">
        <v>2012</v>
      </c>
      <c r="C2671" s="14">
        <v>627.33333333333326</v>
      </c>
      <c r="D2671" s="14">
        <v>21.333333333333332</v>
      </c>
      <c r="E2671" s="14">
        <v>2215.333333333333</v>
      </c>
      <c r="F2671" s="14">
        <v>2264.6666666666665</v>
      </c>
      <c r="G2671" s="14">
        <v>735.99999999999989</v>
      </c>
      <c r="H2671" s="14">
        <v>87.999999999999986</v>
      </c>
      <c r="I2671" s="14">
        <v>184</v>
      </c>
      <c r="K2671" s="15"/>
    </row>
    <row r="2672" spans="1:11" ht="16.5" x14ac:dyDescent="0.2">
      <c r="A2672" s="4" t="s">
        <v>12</v>
      </c>
      <c r="B2672">
        <v>2013</v>
      </c>
      <c r="C2672" s="14">
        <v>629.33333333333337</v>
      </c>
      <c r="D2672" s="14">
        <v>21.333333333333332</v>
      </c>
      <c r="E2672" s="14">
        <v>2213.333333333333</v>
      </c>
      <c r="F2672" s="14">
        <v>2260</v>
      </c>
      <c r="G2672" s="14">
        <v>743.99999999999989</v>
      </c>
      <c r="H2672" s="14">
        <v>89.999999999999986</v>
      </c>
      <c r="I2672" s="14">
        <v>184</v>
      </c>
    </row>
    <row r="2673" spans="1:11" ht="16.5" x14ac:dyDescent="0.2">
      <c r="A2673" s="4" t="s">
        <v>12</v>
      </c>
      <c r="B2673">
        <v>2014</v>
      </c>
      <c r="C2673" s="14">
        <v>630.66666666666663</v>
      </c>
      <c r="D2673" s="14">
        <v>21.333333333333332</v>
      </c>
      <c r="E2673" s="14">
        <v>2210.6666666666665</v>
      </c>
      <c r="F2673" s="14">
        <v>2255.333333333333</v>
      </c>
      <c r="G2673" s="14">
        <v>751.33333333333326</v>
      </c>
      <c r="H2673" s="14">
        <v>92.666666666666657</v>
      </c>
      <c r="I2673" s="14">
        <v>184</v>
      </c>
      <c r="K2673" s="15"/>
    </row>
    <row r="2674" spans="1:11" ht="16.5" x14ac:dyDescent="0.2">
      <c r="A2674" s="4" t="s">
        <v>12</v>
      </c>
      <c r="B2674">
        <v>2015</v>
      </c>
      <c r="C2674" s="14">
        <v>632.66666666666663</v>
      </c>
      <c r="D2674" s="14">
        <v>21.333333333333332</v>
      </c>
      <c r="E2674" s="14">
        <v>2208.6666666666665</v>
      </c>
      <c r="F2674" s="14">
        <v>2250</v>
      </c>
      <c r="G2674" s="14">
        <v>758.66666666666663</v>
      </c>
      <c r="H2674" s="14">
        <v>94.666666666666657</v>
      </c>
      <c r="I2674" s="14">
        <v>184</v>
      </c>
    </row>
    <row r="2675" spans="1:11" ht="16.5" x14ac:dyDescent="0.2">
      <c r="A2675" s="4" t="s">
        <v>12</v>
      </c>
      <c r="B2675">
        <v>2016</v>
      </c>
      <c r="C2675" s="14">
        <v>656.66666666666663</v>
      </c>
      <c r="D2675" s="14">
        <v>21.333333333333332</v>
      </c>
      <c r="E2675" s="14">
        <v>2207.9999999999995</v>
      </c>
      <c r="F2675" s="14">
        <v>2247.3333333333335</v>
      </c>
      <c r="G2675" s="14">
        <v>761.99999999999989</v>
      </c>
      <c r="H2675" s="14">
        <v>95.333333333333329</v>
      </c>
      <c r="I2675" s="14">
        <v>184</v>
      </c>
    </row>
    <row r="2676" spans="1:11" ht="16.5" x14ac:dyDescent="0.2">
      <c r="A2676" s="4" t="s">
        <v>11</v>
      </c>
      <c r="B2676">
        <v>2009</v>
      </c>
      <c r="C2676" s="14">
        <v>581.33333333333326</v>
      </c>
      <c r="D2676" s="14">
        <v>451.99999999999994</v>
      </c>
      <c r="E2676" s="14">
        <v>958.66666666666663</v>
      </c>
      <c r="F2676" s="14">
        <v>11458</v>
      </c>
      <c r="G2676" s="14">
        <v>344.66666666666663</v>
      </c>
      <c r="H2676" s="14">
        <v>154.66666666666666</v>
      </c>
      <c r="I2676" s="14">
        <v>232.66666666666663</v>
      </c>
      <c r="K2676" s="15"/>
    </row>
    <row r="2677" spans="1:11" ht="16.5" x14ac:dyDescent="0.2">
      <c r="A2677" s="4" t="s">
        <v>11</v>
      </c>
      <c r="B2677">
        <v>2010</v>
      </c>
      <c r="C2677" s="14">
        <v>581.33333333333326</v>
      </c>
      <c r="D2677" s="14">
        <v>449.99999999999994</v>
      </c>
      <c r="E2677" s="14">
        <v>956.66666666666663</v>
      </c>
      <c r="F2677" s="14">
        <v>11458.666666666666</v>
      </c>
      <c r="G2677" s="14">
        <v>353.99999999999994</v>
      </c>
      <c r="H2677" s="14">
        <v>162</v>
      </c>
      <c r="I2677" s="14">
        <v>232.66666666666663</v>
      </c>
    </row>
    <row r="2678" spans="1:11" ht="16.5" x14ac:dyDescent="0.2">
      <c r="A2678" s="4" t="s">
        <v>11</v>
      </c>
      <c r="B2678">
        <v>2011</v>
      </c>
      <c r="C2678" s="14">
        <v>581.33333333333326</v>
      </c>
      <c r="D2678" s="14">
        <v>449.99999999999994</v>
      </c>
      <c r="E2678" s="14">
        <v>956</v>
      </c>
      <c r="F2678" s="14">
        <v>11457.333333333332</v>
      </c>
      <c r="G2678" s="14">
        <v>366.66666666666663</v>
      </c>
      <c r="H2678" s="14">
        <v>168.66666666666666</v>
      </c>
      <c r="I2678" s="14">
        <v>232.66666666666663</v>
      </c>
      <c r="K2678" s="15"/>
    </row>
    <row r="2679" spans="1:11" ht="16.5" x14ac:dyDescent="0.2">
      <c r="A2679" s="4" t="s">
        <v>11</v>
      </c>
      <c r="B2679">
        <v>2012</v>
      </c>
      <c r="C2679" s="14">
        <v>584.66666666666663</v>
      </c>
      <c r="D2679" s="14">
        <v>449.33333333333331</v>
      </c>
      <c r="E2679" s="14">
        <v>956</v>
      </c>
      <c r="F2679" s="14">
        <v>11453.333333333332</v>
      </c>
      <c r="G2679" s="14">
        <v>377.33333333333326</v>
      </c>
      <c r="H2679" s="14">
        <v>171.33333333333331</v>
      </c>
      <c r="I2679" s="14">
        <v>232.66666666666663</v>
      </c>
    </row>
    <row r="2680" spans="1:11" ht="16.5" x14ac:dyDescent="0.2">
      <c r="A2680" s="4" t="s">
        <v>11</v>
      </c>
      <c r="B2680">
        <v>2013</v>
      </c>
      <c r="C2680" s="14">
        <v>584.66666666666663</v>
      </c>
      <c r="D2680" s="14">
        <v>448</v>
      </c>
      <c r="E2680" s="14">
        <v>956</v>
      </c>
      <c r="F2680" s="14">
        <v>11449.999999999998</v>
      </c>
      <c r="G2680" s="14">
        <v>403.33333333333331</v>
      </c>
      <c r="H2680" s="14">
        <v>172</v>
      </c>
      <c r="I2680" s="14">
        <v>232.66666666666663</v>
      </c>
    </row>
    <row r="2681" spans="1:11" ht="16.5" x14ac:dyDescent="0.2">
      <c r="A2681" s="4" t="s">
        <v>11</v>
      </c>
      <c r="B2681">
        <v>2014</v>
      </c>
      <c r="C2681" s="14">
        <v>584.66666666666663</v>
      </c>
      <c r="D2681" s="14">
        <v>446.66666666666663</v>
      </c>
      <c r="E2681" s="14">
        <v>956</v>
      </c>
      <c r="F2681" s="14">
        <v>11446</v>
      </c>
      <c r="G2681" s="14">
        <v>423.33333333333331</v>
      </c>
      <c r="H2681" s="14">
        <v>174</v>
      </c>
      <c r="I2681" s="14">
        <v>234.66666666666666</v>
      </c>
      <c r="K2681" s="15"/>
    </row>
    <row r="2682" spans="1:11" ht="16.5" x14ac:dyDescent="0.2">
      <c r="A2682" s="4" t="s">
        <v>11</v>
      </c>
      <c r="B2682">
        <v>2015</v>
      </c>
      <c r="C2682" s="14">
        <v>586</v>
      </c>
      <c r="D2682" s="14">
        <v>446</v>
      </c>
      <c r="E2682" s="14">
        <v>955.33333333333337</v>
      </c>
      <c r="F2682" s="14">
        <v>11439.999999999998</v>
      </c>
      <c r="G2682" s="14">
        <v>443.33333333333331</v>
      </c>
      <c r="H2682" s="14">
        <v>174.66666666666666</v>
      </c>
      <c r="I2682" s="14">
        <v>235.33333333333329</v>
      </c>
    </row>
    <row r="2683" spans="1:11" ht="16.5" x14ac:dyDescent="0.2">
      <c r="A2683" s="4" t="s">
        <v>11</v>
      </c>
      <c r="B2683">
        <v>2016</v>
      </c>
      <c r="C2683" s="14">
        <v>586</v>
      </c>
      <c r="D2683" s="14">
        <v>444.66666666666663</v>
      </c>
      <c r="E2683" s="14">
        <v>955.33333333333337</v>
      </c>
      <c r="F2683" s="14">
        <v>11438</v>
      </c>
      <c r="G2683" s="14">
        <v>453.33333333333331</v>
      </c>
      <c r="H2683" s="14">
        <v>181.33333333333331</v>
      </c>
      <c r="I2683" s="14">
        <v>235.33333333333329</v>
      </c>
      <c r="K2683" s="15"/>
    </row>
    <row r="2684" spans="1:11" ht="16.5" x14ac:dyDescent="0.2">
      <c r="A2684" s="4" t="s">
        <v>10</v>
      </c>
      <c r="B2684">
        <v>2009</v>
      </c>
      <c r="C2684" s="14">
        <v>993.99999999999989</v>
      </c>
      <c r="D2684" s="14">
        <v>217.33333333333331</v>
      </c>
      <c r="E2684" s="14">
        <v>2903.333333333333</v>
      </c>
      <c r="F2684" s="14">
        <v>51009.999999999993</v>
      </c>
      <c r="G2684" s="14">
        <v>381.33333333333331</v>
      </c>
      <c r="H2684" s="14">
        <v>203.33333333333331</v>
      </c>
      <c r="I2684" s="14">
        <v>416.66666666666663</v>
      </c>
    </row>
    <row r="2685" spans="1:11" ht="16.5" x14ac:dyDescent="0.2">
      <c r="A2685" s="4" t="s">
        <v>10</v>
      </c>
      <c r="B2685">
        <v>2010</v>
      </c>
      <c r="C2685" s="14">
        <v>994.66666666666652</v>
      </c>
      <c r="D2685" s="14">
        <v>217.33333333333331</v>
      </c>
      <c r="E2685" s="14">
        <v>2902.6666666666661</v>
      </c>
      <c r="F2685" s="14">
        <v>50998.666666666664</v>
      </c>
      <c r="G2685" s="14">
        <v>391.33333333333326</v>
      </c>
      <c r="H2685" s="14">
        <v>264.66666666666669</v>
      </c>
      <c r="I2685" s="14">
        <v>417.33333333333331</v>
      </c>
    </row>
    <row r="2686" spans="1:11" ht="16.5" x14ac:dyDescent="0.2">
      <c r="A2686" s="4" t="s">
        <v>10</v>
      </c>
      <c r="B2686">
        <v>2011</v>
      </c>
      <c r="C2686" s="14">
        <v>1000.6666666666665</v>
      </c>
      <c r="D2686" s="14">
        <v>216.66666666666666</v>
      </c>
      <c r="E2686" s="14">
        <v>2902.6666666666661</v>
      </c>
      <c r="F2686" s="14">
        <v>50987.333333333328</v>
      </c>
      <c r="G2686" s="14">
        <v>404.66666666666663</v>
      </c>
      <c r="H2686" s="14">
        <v>266.66666666666663</v>
      </c>
      <c r="I2686" s="14">
        <v>418.66666666666663</v>
      </c>
      <c r="K2686" s="15"/>
    </row>
    <row r="2687" spans="1:11" ht="16.5" x14ac:dyDescent="0.2">
      <c r="A2687" s="4" t="s">
        <v>10</v>
      </c>
      <c r="B2687">
        <v>2012</v>
      </c>
      <c r="C2687" s="14">
        <v>1002</v>
      </c>
      <c r="D2687" s="14">
        <v>215.99999999999997</v>
      </c>
      <c r="E2687" s="14">
        <v>2902</v>
      </c>
      <c r="F2687" s="14">
        <v>50975.333333333328</v>
      </c>
      <c r="G2687" s="14">
        <v>422.66666666666669</v>
      </c>
      <c r="H2687" s="14">
        <v>268</v>
      </c>
      <c r="I2687" s="14">
        <v>418.66666666666663</v>
      </c>
    </row>
    <row r="2688" spans="1:11" ht="16.5" x14ac:dyDescent="0.2">
      <c r="A2688" s="4" t="s">
        <v>10</v>
      </c>
      <c r="B2688">
        <v>2013</v>
      </c>
      <c r="C2688" s="14">
        <v>1000.6666666666665</v>
      </c>
      <c r="D2688" s="14">
        <v>215.33333333333329</v>
      </c>
      <c r="E2688" s="14">
        <v>2902</v>
      </c>
      <c r="F2688" s="14">
        <v>50944.666666666664</v>
      </c>
      <c r="G2688" s="14">
        <v>460.66666666666657</v>
      </c>
      <c r="H2688" s="14">
        <v>299.33333333333331</v>
      </c>
      <c r="I2688" s="14">
        <v>418.66666666666663</v>
      </c>
      <c r="K2688" s="15"/>
    </row>
    <row r="2689" spans="1:11" ht="16.5" x14ac:dyDescent="0.2">
      <c r="A2689" s="4" t="s">
        <v>10</v>
      </c>
      <c r="B2689">
        <v>2014</v>
      </c>
      <c r="C2689" s="14">
        <v>1002.6666666666666</v>
      </c>
      <c r="D2689" s="14">
        <v>214.66666666666666</v>
      </c>
      <c r="E2689" s="14">
        <v>2901.333333333333</v>
      </c>
      <c r="F2689" s="14">
        <v>50925.999999999993</v>
      </c>
      <c r="G2689" s="14">
        <v>490.66666666666657</v>
      </c>
      <c r="H2689" s="14">
        <v>311.33333333333331</v>
      </c>
      <c r="I2689" s="14">
        <v>418.66666666666663</v>
      </c>
    </row>
    <row r="2690" spans="1:11" ht="16.5" x14ac:dyDescent="0.2">
      <c r="A2690" s="4" t="s">
        <v>10</v>
      </c>
      <c r="B2690">
        <v>2015</v>
      </c>
      <c r="C2690" s="14">
        <v>1001.3333333333331</v>
      </c>
      <c r="D2690" s="14">
        <v>214</v>
      </c>
      <c r="E2690" s="14">
        <v>2901.333333333333</v>
      </c>
      <c r="F2690" s="14">
        <v>50913.333333333328</v>
      </c>
      <c r="G2690" s="14">
        <v>533.99999999999989</v>
      </c>
      <c r="H2690" s="14">
        <v>317.33333333333331</v>
      </c>
      <c r="I2690" s="14">
        <v>418.66666666666663</v>
      </c>
    </row>
    <row r="2691" spans="1:11" ht="16.5" x14ac:dyDescent="0.2">
      <c r="A2691" s="4" t="s">
        <v>10</v>
      </c>
      <c r="B2691">
        <v>2016</v>
      </c>
      <c r="C2691" s="14">
        <v>1001.3333333333331</v>
      </c>
      <c r="D2691" s="14">
        <v>214</v>
      </c>
      <c r="E2691" s="14">
        <v>2900.6666666666665</v>
      </c>
      <c r="F2691" s="14">
        <v>50895.999999999993</v>
      </c>
      <c r="G2691" s="14">
        <v>548.66666666666663</v>
      </c>
      <c r="H2691" s="14">
        <v>331.99999999999994</v>
      </c>
      <c r="I2691" s="14">
        <v>418.66666666666663</v>
      </c>
      <c r="K2691" s="15"/>
    </row>
    <row r="2692" spans="1:11" ht="16.5" x14ac:dyDescent="0.2">
      <c r="A2692" s="4" t="s">
        <v>9</v>
      </c>
      <c r="B2692">
        <v>2009</v>
      </c>
      <c r="C2692" s="14">
        <v>7405.3333333333321</v>
      </c>
      <c r="D2692" s="14">
        <v>177.33333333333331</v>
      </c>
      <c r="E2692" s="14">
        <v>10674.666666666666</v>
      </c>
      <c r="F2692" s="14">
        <v>34266.666666666664</v>
      </c>
      <c r="G2692" s="14">
        <v>927.99999999999989</v>
      </c>
      <c r="H2692" s="14">
        <v>443.33333333333331</v>
      </c>
      <c r="I2692" s="14">
        <v>1187.9999999999998</v>
      </c>
    </row>
    <row r="2693" spans="1:11" ht="16.5" x14ac:dyDescent="0.2">
      <c r="A2693" s="4" t="s">
        <v>9</v>
      </c>
      <c r="B2693">
        <v>2010</v>
      </c>
      <c r="C2693" s="14">
        <v>7413.9999999999991</v>
      </c>
      <c r="D2693" s="14">
        <v>179.33333333333331</v>
      </c>
      <c r="E2693" s="14">
        <v>10672.666666666666</v>
      </c>
      <c r="F2693" s="14">
        <v>34218.666666666664</v>
      </c>
      <c r="G2693" s="14">
        <v>962</v>
      </c>
      <c r="H2693" s="14">
        <v>454.66666666666663</v>
      </c>
      <c r="I2693" s="14">
        <v>1193.3333333333333</v>
      </c>
      <c r="K2693" s="15"/>
    </row>
    <row r="2694" spans="1:11" ht="16.5" x14ac:dyDescent="0.2">
      <c r="A2694" s="4" t="s">
        <v>9</v>
      </c>
      <c r="B2694">
        <v>2011</v>
      </c>
      <c r="C2694" s="14">
        <v>7411.333333333333</v>
      </c>
      <c r="D2694" s="14">
        <v>177.99999999999997</v>
      </c>
      <c r="E2694" s="14">
        <v>10666.666666666666</v>
      </c>
      <c r="F2694" s="14">
        <v>34142</v>
      </c>
      <c r="G2694" s="14">
        <v>1035.3333333333333</v>
      </c>
      <c r="H2694" s="14">
        <v>471.99999999999994</v>
      </c>
      <c r="I2694" s="14">
        <v>1202</v>
      </c>
    </row>
    <row r="2695" spans="1:11" ht="16.5" x14ac:dyDescent="0.2">
      <c r="A2695" s="4" t="s">
        <v>9</v>
      </c>
      <c r="B2695">
        <v>2012</v>
      </c>
      <c r="C2695" s="14">
        <v>7423.333333333333</v>
      </c>
      <c r="D2695" s="14">
        <v>176.66666666666666</v>
      </c>
      <c r="E2695" s="14">
        <v>10656.666666666666</v>
      </c>
      <c r="F2695" s="14">
        <v>34111.333333333328</v>
      </c>
      <c r="G2695" s="14">
        <v>1063.9999999999998</v>
      </c>
      <c r="H2695" s="14">
        <v>479.33333333333331</v>
      </c>
      <c r="I2695" s="14">
        <v>1205.3333333333333</v>
      </c>
    </row>
    <row r="2696" spans="1:11" ht="16.5" x14ac:dyDescent="0.2">
      <c r="A2696" s="4" t="s">
        <v>9</v>
      </c>
      <c r="B2696">
        <v>2013</v>
      </c>
      <c r="C2696" s="14">
        <v>7420.6666666666652</v>
      </c>
      <c r="D2696" s="14">
        <v>175.99999999999997</v>
      </c>
      <c r="E2696" s="14">
        <v>10651.999999999998</v>
      </c>
      <c r="F2696" s="14">
        <v>34070.666666666664</v>
      </c>
      <c r="G2696" s="14">
        <v>1103.9999999999998</v>
      </c>
      <c r="H2696" s="14">
        <v>485.33333333333326</v>
      </c>
      <c r="I2696" s="14">
        <v>1206.6666666666665</v>
      </c>
      <c r="K2696" s="15"/>
    </row>
    <row r="2697" spans="1:11" ht="16.5" x14ac:dyDescent="0.2">
      <c r="A2697" s="4" t="s">
        <v>9</v>
      </c>
      <c r="B2697">
        <v>2014</v>
      </c>
      <c r="C2697" s="14">
        <v>7427.3333333333321</v>
      </c>
      <c r="D2697" s="14">
        <v>175.33333333333331</v>
      </c>
      <c r="E2697" s="14">
        <v>10649.333333333332</v>
      </c>
      <c r="F2697" s="14">
        <v>34048.666666666664</v>
      </c>
      <c r="G2697" s="14">
        <v>1140</v>
      </c>
      <c r="H2697" s="14">
        <v>491.33333333333331</v>
      </c>
      <c r="I2697" s="14">
        <v>1206.6666666666665</v>
      </c>
    </row>
    <row r="2698" spans="1:11" ht="16.5" x14ac:dyDescent="0.2">
      <c r="A2698" s="4" t="s">
        <v>9</v>
      </c>
      <c r="B2698">
        <v>2015</v>
      </c>
      <c r="C2698" s="14">
        <v>7423.333333333333</v>
      </c>
      <c r="D2698" s="14">
        <v>174</v>
      </c>
      <c r="E2698" s="14">
        <v>10647.333333333332</v>
      </c>
      <c r="F2698" s="14">
        <v>34027.999999999993</v>
      </c>
      <c r="G2698" s="14">
        <v>1173.9999999999998</v>
      </c>
      <c r="H2698" s="14">
        <v>493.33333333333331</v>
      </c>
      <c r="I2698" s="14">
        <v>1207.3333333333333</v>
      </c>
      <c r="K2698" s="15"/>
    </row>
    <row r="2699" spans="1:11" ht="16.5" x14ac:dyDescent="0.2">
      <c r="A2699" s="4" t="s">
        <v>9</v>
      </c>
      <c r="B2699">
        <v>2016</v>
      </c>
      <c r="C2699" s="14">
        <v>7433.9999999999991</v>
      </c>
      <c r="D2699" s="14">
        <v>174</v>
      </c>
      <c r="E2699" s="14">
        <v>10645.333333333332</v>
      </c>
      <c r="F2699" s="14">
        <v>34005.999999999993</v>
      </c>
      <c r="G2699" s="14">
        <v>1188.6666666666667</v>
      </c>
      <c r="H2699" s="14">
        <v>497.33333333333326</v>
      </c>
      <c r="I2699" s="14">
        <v>1208.6666666666667</v>
      </c>
    </row>
    <row r="2700" spans="1:11" ht="16.5" x14ac:dyDescent="0.2">
      <c r="A2700" s="4" t="s">
        <v>8</v>
      </c>
      <c r="B2700">
        <v>2009</v>
      </c>
      <c r="C2700" s="14">
        <v>1866.6666666666665</v>
      </c>
      <c r="D2700" s="14">
        <v>39.333333333333336</v>
      </c>
      <c r="E2700" s="14">
        <v>3838</v>
      </c>
      <c r="F2700" s="14">
        <v>14363.333333333332</v>
      </c>
      <c r="G2700" s="14">
        <v>209.99999999999997</v>
      </c>
      <c r="H2700" s="14">
        <v>114.66666666666666</v>
      </c>
      <c r="I2700" s="14">
        <v>2164</v>
      </c>
    </row>
    <row r="2701" spans="1:11" ht="16.5" x14ac:dyDescent="0.2">
      <c r="A2701" s="4" t="s">
        <v>8</v>
      </c>
      <c r="B2701">
        <v>2010</v>
      </c>
      <c r="C2701" s="14">
        <v>1864.6666666666665</v>
      </c>
      <c r="D2701" s="14">
        <v>40</v>
      </c>
      <c r="E2701" s="14">
        <v>3838</v>
      </c>
      <c r="F2701" s="14">
        <v>14359.333333333332</v>
      </c>
      <c r="G2701" s="14">
        <v>216.66666666666666</v>
      </c>
      <c r="H2701" s="14">
        <v>114.66666666666666</v>
      </c>
      <c r="I2701" s="14">
        <v>2164</v>
      </c>
      <c r="K2701" s="15"/>
    </row>
    <row r="2702" spans="1:11" ht="16.5" x14ac:dyDescent="0.2">
      <c r="A2702" s="4" t="s">
        <v>8</v>
      </c>
      <c r="B2702">
        <v>2011</v>
      </c>
      <c r="C2702" s="14">
        <v>1863.3333333333333</v>
      </c>
      <c r="D2702" s="14">
        <v>40</v>
      </c>
      <c r="E2702" s="14">
        <v>3837.333333333333</v>
      </c>
      <c r="F2702" s="14">
        <v>14357.333333333332</v>
      </c>
      <c r="G2702" s="14">
        <v>219.33333333333334</v>
      </c>
      <c r="H2702" s="14">
        <v>115.33333333333333</v>
      </c>
      <c r="I2702" s="14">
        <v>2164.6666666666665</v>
      </c>
    </row>
    <row r="2703" spans="1:11" ht="16.5" x14ac:dyDescent="0.2">
      <c r="A2703" s="4" t="s">
        <v>8</v>
      </c>
      <c r="B2703">
        <v>2012</v>
      </c>
      <c r="C2703" s="14">
        <v>1861.333333333333</v>
      </c>
      <c r="D2703" s="14">
        <v>40</v>
      </c>
      <c r="E2703" s="14">
        <v>3836.6666666666665</v>
      </c>
      <c r="F2703" s="14">
        <v>14349.999999999998</v>
      </c>
      <c r="G2703" s="14">
        <v>232.66666666666663</v>
      </c>
      <c r="H2703" s="14">
        <v>117.33333333333333</v>
      </c>
      <c r="I2703" s="14">
        <v>2164.6666666666665</v>
      </c>
      <c r="K2703" s="15"/>
    </row>
    <row r="2704" spans="1:11" ht="16.5" x14ac:dyDescent="0.2">
      <c r="A2704" s="4" t="s">
        <v>8</v>
      </c>
      <c r="B2704">
        <v>2013</v>
      </c>
      <c r="C2704" s="14">
        <v>1867.9999999999998</v>
      </c>
      <c r="D2704" s="14">
        <v>39.333333333333336</v>
      </c>
      <c r="E2704" s="14">
        <v>3835.9999999999995</v>
      </c>
      <c r="F2704" s="14">
        <v>14332.666666666666</v>
      </c>
      <c r="G2704" s="14">
        <v>244</v>
      </c>
      <c r="H2704" s="14">
        <v>119.99999999999999</v>
      </c>
      <c r="I2704" s="14">
        <v>2164.6666666666665</v>
      </c>
    </row>
    <row r="2705" spans="1:11" ht="16.5" x14ac:dyDescent="0.2">
      <c r="A2705" s="4" t="s">
        <v>8</v>
      </c>
      <c r="B2705">
        <v>2014</v>
      </c>
      <c r="C2705" s="14">
        <v>1867.3333333333333</v>
      </c>
      <c r="D2705" s="14">
        <v>39.333333333333336</v>
      </c>
      <c r="E2705" s="14">
        <v>3835.3333333333326</v>
      </c>
      <c r="F2705" s="14">
        <v>14322.666666666666</v>
      </c>
      <c r="G2705" s="14">
        <v>254.66666666666666</v>
      </c>
      <c r="H2705" s="14">
        <v>121.33333333333331</v>
      </c>
      <c r="I2705" s="14">
        <v>2164.6666666666665</v>
      </c>
    </row>
    <row r="2706" spans="1:11" ht="16.5" x14ac:dyDescent="0.2">
      <c r="A2706" s="4" t="s">
        <v>8</v>
      </c>
      <c r="B2706">
        <v>2015</v>
      </c>
      <c r="C2706" s="14">
        <v>1868.6666666666665</v>
      </c>
      <c r="D2706" s="14">
        <v>39.333333333333336</v>
      </c>
      <c r="E2706" s="14">
        <v>3835.3333333333326</v>
      </c>
      <c r="F2706" s="14">
        <v>14309.333333333332</v>
      </c>
      <c r="G2706" s="14">
        <v>265.99999999999994</v>
      </c>
      <c r="H2706" s="14">
        <v>125.33333333333333</v>
      </c>
      <c r="I2706" s="14">
        <v>2164.6666666666665</v>
      </c>
      <c r="K2706" s="15"/>
    </row>
    <row r="2707" spans="1:11" ht="16.5" x14ac:dyDescent="0.2">
      <c r="A2707" s="4" t="s">
        <v>8</v>
      </c>
      <c r="B2707">
        <v>2016</v>
      </c>
      <c r="C2707" s="14">
        <v>1878.6666666666665</v>
      </c>
      <c r="D2707" s="14">
        <v>39.333333333333336</v>
      </c>
      <c r="E2707" s="14">
        <v>3834.6666666666665</v>
      </c>
      <c r="F2707" s="14">
        <v>14305.333333333334</v>
      </c>
      <c r="G2707" s="14">
        <v>271.33333333333331</v>
      </c>
      <c r="H2707" s="14">
        <v>125.99999999999999</v>
      </c>
      <c r="I2707" s="14">
        <v>2164</v>
      </c>
    </row>
    <row r="2708" spans="1:11" ht="16.5" x14ac:dyDescent="0.2">
      <c r="A2708" s="4" t="s">
        <v>7</v>
      </c>
      <c r="B2708">
        <v>2009</v>
      </c>
      <c r="C2708" s="14">
        <v>3665.9999999999995</v>
      </c>
      <c r="D2708" s="14">
        <v>896</v>
      </c>
      <c r="E2708" s="14">
        <v>22262.666666666664</v>
      </c>
      <c r="F2708" s="14">
        <v>73229.333333333328</v>
      </c>
      <c r="G2708" s="14">
        <v>606</v>
      </c>
      <c r="H2708" s="14">
        <v>394</v>
      </c>
      <c r="I2708" s="14">
        <v>10267.333333333332</v>
      </c>
      <c r="K2708" s="15"/>
    </row>
    <row r="2709" spans="1:11" ht="16.5" x14ac:dyDescent="0.2">
      <c r="A2709" s="4" t="s">
        <v>7</v>
      </c>
      <c r="B2709">
        <v>2010</v>
      </c>
      <c r="C2709" s="14">
        <v>3663.333333333333</v>
      </c>
      <c r="D2709" s="14">
        <v>892.66666666666663</v>
      </c>
      <c r="E2709" s="14">
        <v>22259.333333333332</v>
      </c>
      <c r="F2709" s="14">
        <v>73215.333333333328</v>
      </c>
      <c r="G2709" s="14">
        <v>623.33333333333326</v>
      </c>
      <c r="H2709" s="14">
        <v>398</v>
      </c>
      <c r="I2709" s="14">
        <v>10267.333333333332</v>
      </c>
    </row>
    <row r="2710" spans="1:11" ht="16.5" x14ac:dyDescent="0.2">
      <c r="A2710" s="4" t="s">
        <v>7</v>
      </c>
      <c r="B2710">
        <v>2011</v>
      </c>
      <c r="C2710" s="14">
        <v>3671.9999999999995</v>
      </c>
      <c r="D2710" s="14">
        <v>891.33333333333314</v>
      </c>
      <c r="E2710" s="14">
        <v>22257.999999999996</v>
      </c>
      <c r="F2710" s="14">
        <v>73202.666666666657</v>
      </c>
      <c r="G2710" s="14">
        <v>642</v>
      </c>
      <c r="H2710" s="14">
        <v>408</v>
      </c>
      <c r="I2710" s="14">
        <v>10268</v>
      </c>
    </row>
    <row r="2711" spans="1:11" ht="16.5" x14ac:dyDescent="0.2">
      <c r="A2711" s="4" t="s">
        <v>7</v>
      </c>
      <c r="B2711">
        <v>2012</v>
      </c>
      <c r="C2711" s="14">
        <v>3674</v>
      </c>
      <c r="D2711" s="14">
        <v>878.66666666666663</v>
      </c>
      <c r="E2711" s="14">
        <v>22263.999999999996</v>
      </c>
      <c r="F2711" s="14">
        <v>73185.999999999985</v>
      </c>
      <c r="G2711" s="14">
        <v>676.66666666666663</v>
      </c>
      <c r="H2711" s="14">
        <v>409.33333333333331</v>
      </c>
      <c r="I2711" s="14">
        <v>10268</v>
      </c>
      <c r="K2711" s="15"/>
    </row>
    <row r="2712" spans="1:11" ht="16.5" x14ac:dyDescent="0.2">
      <c r="A2712" s="4" t="s">
        <v>7</v>
      </c>
      <c r="B2712">
        <v>2013</v>
      </c>
      <c r="C2712" s="14">
        <v>3685.3333333333326</v>
      </c>
      <c r="D2712" s="14">
        <v>875.33333333333337</v>
      </c>
      <c r="E2712" s="14">
        <v>22261.333333333328</v>
      </c>
      <c r="F2712" s="14">
        <v>73158</v>
      </c>
      <c r="G2712" s="14">
        <v>722.66666666666663</v>
      </c>
      <c r="H2712" s="14">
        <v>419.99999999999994</v>
      </c>
      <c r="I2712" s="14">
        <v>10268.666666666666</v>
      </c>
    </row>
    <row r="2713" spans="1:11" ht="16.5" x14ac:dyDescent="0.2">
      <c r="A2713" s="4" t="s">
        <v>7</v>
      </c>
      <c r="B2713">
        <v>2014</v>
      </c>
      <c r="C2713" s="14">
        <v>3710.6666666666665</v>
      </c>
      <c r="D2713" s="14">
        <v>873.99999999999989</v>
      </c>
      <c r="E2713" s="14">
        <v>22259.333333333332</v>
      </c>
      <c r="F2713" s="14">
        <v>73130.666666666657</v>
      </c>
      <c r="G2713" s="14">
        <v>730.66666666666652</v>
      </c>
      <c r="H2713" s="14">
        <v>421.33333333333331</v>
      </c>
      <c r="I2713" s="14">
        <v>10268.666666666666</v>
      </c>
      <c r="K2713" s="15"/>
    </row>
    <row r="2714" spans="1:11" ht="16.5" x14ac:dyDescent="0.2">
      <c r="A2714" s="4" t="s">
        <v>7</v>
      </c>
      <c r="B2714">
        <v>2015</v>
      </c>
      <c r="C2714" s="14">
        <v>3756.6666666666665</v>
      </c>
      <c r="D2714" s="14">
        <v>872</v>
      </c>
      <c r="E2714" s="14">
        <v>22257.999999999996</v>
      </c>
      <c r="F2714" s="14">
        <v>73077.333333333328</v>
      </c>
      <c r="G2714" s="14">
        <v>754.66666666666674</v>
      </c>
      <c r="H2714" s="14">
        <v>421.99999999999994</v>
      </c>
      <c r="I2714" s="14">
        <v>10268.666666666666</v>
      </c>
    </row>
    <row r="2715" spans="1:11" ht="16.5" x14ac:dyDescent="0.2">
      <c r="A2715" s="4" t="s">
        <v>7</v>
      </c>
      <c r="B2715">
        <v>2016</v>
      </c>
      <c r="C2715" s="14">
        <v>3781.9999999999995</v>
      </c>
      <c r="D2715" s="14">
        <v>869.99999999999989</v>
      </c>
      <c r="E2715" s="14">
        <v>22239.333333333332</v>
      </c>
      <c r="F2715" s="14">
        <v>73065.999999999985</v>
      </c>
      <c r="G2715" s="14">
        <v>764.66666666666652</v>
      </c>
      <c r="H2715" s="14">
        <v>424.66666666666663</v>
      </c>
      <c r="I2715" s="14">
        <v>10268.666666666666</v>
      </c>
    </row>
    <row r="2716" spans="1:11" ht="16.5" x14ac:dyDescent="0.2">
      <c r="A2716" s="4" t="s">
        <v>6</v>
      </c>
      <c r="B2716">
        <v>2009</v>
      </c>
      <c r="C2716" s="14">
        <v>6606.6666666666661</v>
      </c>
      <c r="D2716" s="14">
        <v>1834</v>
      </c>
      <c r="E2716" s="14">
        <v>9750.6666666666661</v>
      </c>
      <c r="F2716" s="14">
        <v>37483.333333333328</v>
      </c>
      <c r="G2716" s="14">
        <v>867.33333333333326</v>
      </c>
      <c r="H2716" s="14">
        <v>460.66666666666657</v>
      </c>
      <c r="I2716" s="14">
        <v>6175.3333333333321</v>
      </c>
      <c r="K2716" s="15"/>
    </row>
    <row r="2717" spans="1:11" ht="16.5" x14ac:dyDescent="0.2">
      <c r="A2717" s="4" t="s">
        <v>6</v>
      </c>
      <c r="B2717">
        <v>2010</v>
      </c>
      <c r="C2717" s="14">
        <v>6606.6666666666661</v>
      </c>
      <c r="D2717" s="14">
        <v>1847.3333333333333</v>
      </c>
      <c r="E2717" s="14">
        <v>9747.3333333333321</v>
      </c>
      <c r="F2717" s="14">
        <v>37440.666666666664</v>
      </c>
      <c r="G2717" s="14">
        <v>885.33333333333337</v>
      </c>
      <c r="H2717" s="14">
        <v>487.33333333333326</v>
      </c>
      <c r="I2717" s="14">
        <v>6181.9999999999991</v>
      </c>
    </row>
    <row r="2718" spans="1:11" ht="16.5" x14ac:dyDescent="0.2">
      <c r="A2718" s="4" t="s">
        <v>6</v>
      </c>
      <c r="B2718">
        <v>2011</v>
      </c>
      <c r="C2718" s="14">
        <v>6611.333333333333</v>
      </c>
      <c r="D2718" s="14">
        <v>1842</v>
      </c>
      <c r="E2718" s="14">
        <v>9746</v>
      </c>
      <c r="F2718" s="14">
        <v>37420</v>
      </c>
      <c r="G2718" s="14">
        <v>919.99999999999989</v>
      </c>
      <c r="H2718" s="14">
        <v>489.33333333333331</v>
      </c>
      <c r="I2718" s="14">
        <v>6183.333333333333</v>
      </c>
      <c r="K2718" s="15"/>
    </row>
    <row r="2719" spans="1:11" ht="16.5" x14ac:dyDescent="0.2">
      <c r="A2719" s="4" t="s">
        <v>6</v>
      </c>
      <c r="B2719">
        <v>2012</v>
      </c>
      <c r="C2719" s="14">
        <v>6601.9999999999991</v>
      </c>
      <c r="D2719" s="14">
        <v>1834</v>
      </c>
      <c r="E2719" s="14">
        <v>9740.6666666666661</v>
      </c>
      <c r="F2719" s="14">
        <v>37407.333333333336</v>
      </c>
      <c r="G2719" s="14">
        <v>967.99999999999989</v>
      </c>
      <c r="H2719" s="14">
        <v>493.33333333333331</v>
      </c>
      <c r="I2719" s="14">
        <v>6184</v>
      </c>
    </row>
    <row r="2720" spans="1:11" ht="16.5" x14ac:dyDescent="0.2">
      <c r="A2720" s="4" t="s">
        <v>6</v>
      </c>
      <c r="B2720">
        <v>2013</v>
      </c>
      <c r="C2720" s="14">
        <v>6603.333333333333</v>
      </c>
      <c r="D2720" s="14">
        <v>1831.333333333333</v>
      </c>
      <c r="E2720" s="14">
        <v>9738.6666666666661</v>
      </c>
      <c r="F2720" s="14">
        <v>37390.666666666664</v>
      </c>
      <c r="G2720" s="14">
        <v>1002</v>
      </c>
      <c r="H2720" s="14">
        <v>498.66666666666663</v>
      </c>
      <c r="I2720" s="14">
        <v>6183.333333333333</v>
      </c>
    </row>
    <row r="2721" spans="1:11" ht="16.5" x14ac:dyDescent="0.2">
      <c r="A2721" s="4" t="s">
        <v>6</v>
      </c>
      <c r="B2721">
        <v>2014</v>
      </c>
      <c r="C2721" s="14">
        <v>6599.333333333333</v>
      </c>
      <c r="D2721" s="14">
        <v>1826.6666666666665</v>
      </c>
      <c r="E2721" s="14">
        <v>9736.6666666666661</v>
      </c>
      <c r="F2721" s="14">
        <v>37381.333333333328</v>
      </c>
      <c r="G2721" s="14">
        <v>1032</v>
      </c>
      <c r="H2721" s="14">
        <v>501.33333333333331</v>
      </c>
      <c r="I2721" s="14">
        <v>6179.9999999999991</v>
      </c>
      <c r="K2721" s="15"/>
    </row>
    <row r="2722" spans="1:11" ht="16.5" x14ac:dyDescent="0.2">
      <c r="A2722" s="4" t="s">
        <v>6</v>
      </c>
      <c r="B2722">
        <v>2015</v>
      </c>
      <c r="C2722" s="14">
        <v>6594.6666666666661</v>
      </c>
      <c r="D2722" s="14">
        <v>1818.6666666666665</v>
      </c>
      <c r="E2722" s="14">
        <v>9732.6666666666661</v>
      </c>
      <c r="F2722" s="14">
        <v>37366.666666666664</v>
      </c>
      <c r="G2722" s="14">
        <v>1077.3333333333333</v>
      </c>
      <c r="H2722" s="14">
        <v>503.33333333333331</v>
      </c>
      <c r="I2722" s="14">
        <v>6181.333333333333</v>
      </c>
    </row>
    <row r="2723" spans="1:11" ht="16.5" x14ac:dyDescent="0.2">
      <c r="A2723" s="4" t="s">
        <v>6</v>
      </c>
      <c r="B2723">
        <v>2016</v>
      </c>
      <c r="C2723" s="14">
        <v>6594.6666666666661</v>
      </c>
      <c r="D2723" s="14">
        <v>1815.9999999999998</v>
      </c>
      <c r="E2723" s="14">
        <v>9731.9999999999982</v>
      </c>
      <c r="F2723" s="14">
        <v>37354</v>
      </c>
      <c r="G2723" s="14">
        <v>1091.9999999999998</v>
      </c>
      <c r="H2723" s="14">
        <v>506.66666666666663</v>
      </c>
      <c r="I2723" s="14">
        <v>6182.6666666666661</v>
      </c>
      <c r="K2723" s="15"/>
    </row>
    <row r="2724" spans="1:11" ht="16.5" x14ac:dyDescent="0.2">
      <c r="A2724" s="4" t="s">
        <v>5</v>
      </c>
      <c r="B2724">
        <v>2009</v>
      </c>
      <c r="C2724" s="14">
        <v>554.66666666666663</v>
      </c>
      <c r="D2724" s="14">
        <v>82</v>
      </c>
      <c r="E2724" s="14">
        <v>2227.3333333333335</v>
      </c>
      <c r="F2724" s="14">
        <v>46840.666666666664</v>
      </c>
      <c r="G2724" s="14">
        <v>148.66666666666666</v>
      </c>
      <c r="H2724" s="14">
        <v>84.666666666666657</v>
      </c>
      <c r="I2724" s="14">
        <v>3121.333333333333</v>
      </c>
    </row>
    <row r="2725" spans="1:11" ht="16.5" x14ac:dyDescent="0.2">
      <c r="A2725" s="4" t="s">
        <v>5</v>
      </c>
      <c r="B2725">
        <v>2010</v>
      </c>
      <c r="C2725" s="14">
        <v>558.66666666666663</v>
      </c>
      <c r="D2725" s="14">
        <v>81.333333333333314</v>
      </c>
      <c r="E2725" s="14">
        <v>2225.9999999999995</v>
      </c>
      <c r="F2725" s="14">
        <v>46803.333333333328</v>
      </c>
      <c r="G2725" s="14">
        <v>153.33333333333331</v>
      </c>
      <c r="H2725" s="14">
        <v>84.666666666666657</v>
      </c>
      <c r="I2725" s="14">
        <v>3146.6666666666665</v>
      </c>
    </row>
    <row r="2726" spans="1:11" ht="16.5" x14ac:dyDescent="0.2">
      <c r="A2726" s="4" t="s">
        <v>5</v>
      </c>
      <c r="B2726">
        <v>2011</v>
      </c>
      <c r="C2726" s="14">
        <v>558.66666666666663</v>
      </c>
      <c r="D2726" s="14">
        <v>80.666666666666657</v>
      </c>
      <c r="E2726" s="14">
        <v>2225.333333333333</v>
      </c>
      <c r="F2726" s="14">
        <v>46748.666666666664</v>
      </c>
      <c r="G2726" s="14">
        <v>159.33333333333334</v>
      </c>
      <c r="H2726" s="14">
        <v>85.333333333333329</v>
      </c>
      <c r="I2726" s="14">
        <v>3140.6666666666665</v>
      </c>
      <c r="K2726" s="15"/>
    </row>
    <row r="2727" spans="1:11" ht="16.5" x14ac:dyDescent="0.2">
      <c r="A2727" s="4" t="s">
        <v>5</v>
      </c>
      <c r="B2727">
        <v>2012</v>
      </c>
      <c r="C2727" s="14">
        <v>563.99999999999989</v>
      </c>
      <c r="D2727" s="14">
        <v>80.666666666666657</v>
      </c>
      <c r="E2727" s="14">
        <v>2224.6666666666665</v>
      </c>
      <c r="F2727" s="14">
        <v>46732</v>
      </c>
      <c r="G2727" s="14">
        <v>169.99999999999997</v>
      </c>
      <c r="H2727" s="14">
        <v>87.999999999999986</v>
      </c>
      <c r="I2727" s="14">
        <v>3140.6666666666665</v>
      </c>
    </row>
    <row r="2728" spans="1:11" ht="16.5" x14ac:dyDescent="0.2">
      <c r="A2728" s="4" t="s">
        <v>5</v>
      </c>
      <c r="B2728">
        <v>2013</v>
      </c>
      <c r="C2728" s="14">
        <v>565.33333333333326</v>
      </c>
      <c r="D2728" s="14">
        <v>80</v>
      </c>
      <c r="E2728" s="14">
        <v>2223.333333333333</v>
      </c>
      <c r="F2728" s="14">
        <v>46712</v>
      </c>
      <c r="G2728" s="14">
        <v>188.66666666666666</v>
      </c>
      <c r="H2728" s="14">
        <v>92.666666666666657</v>
      </c>
      <c r="I2728" s="14">
        <v>3140.6666666666665</v>
      </c>
      <c r="K2728" s="15"/>
    </row>
    <row r="2729" spans="1:11" ht="16.5" x14ac:dyDescent="0.2">
      <c r="A2729" s="4" t="s">
        <v>5</v>
      </c>
      <c r="B2729">
        <v>2014</v>
      </c>
      <c r="C2729" s="14">
        <v>564.66666666666663</v>
      </c>
      <c r="D2729" s="14">
        <v>80</v>
      </c>
      <c r="E2729" s="14">
        <v>2222.6666666666665</v>
      </c>
      <c r="F2729" s="14">
        <v>46702.666666666657</v>
      </c>
      <c r="G2729" s="14">
        <v>199.33333333333334</v>
      </c>
      <c r="H2729" s="14">
        <v>95.333333333333329</v>
      </c>
      <c r="I2729" s="14">
        <v>3140.6666666666665</v>
      </c>
    </row>
    <row r="2730" spans="1:11" ht="16.5" x14ac:dyDescent="0.2">
      <c r="A2730" s="4" t="s">
        <v>5</v>
      </c>
      <c r="B2730">
        <v>2015</v>
      </c>
      <c r="C2730" s="14">
        <v>566</v>
      </c>
      <c r="D2730" s="14">
        <v>81.333333333333314</v>
      </c>
      <c r="E2730" s="14">
        <v>2222.6666666666665</v>
      </c>
      <c r="F2730" s="14">
        <v>46685.333333333328</v>
      </c>
      <c r="G2730" s="14">
        <v>211.99999999999997</v>
      </c>
      <c r="H2730" s="14">
        <v>96.666666666666657</v>
      </c>
      <c r="I2730" s="14">
        <v>3141.333333333333</v>
      </c>
    </row>
    <row r="2731" spans="1:11" ht="16.5" x14ac:dyDescent="0.2">
      <c r="A2731" s="4" t="s">
        <v>5</v>
      </c>
      <c r="B2731">
        <v>2016</v>
      </c>
      <c r="C2731" s="14">
        <v>566.66666666666663</v>
      </c>
      <c r="D2731" s="14">
        <v>81.333333333333314</v>
      </c>
      <c r="E2731" s="14">
        <v>2222.6666666666665</v>
      </c>
      <c r="F2731" s="14">
        <v>46677.999999999993</v>
      </c>
      <c r="G2731" s="14">
        <v>216.66666666666666</v>
      </c>
      <c r="H2731" s="14">
        <v>99.333333333333329</v>
      </c>
      <c r="I2731" s="14">
        <v>3141.333333333333</v>
      </c>
      <c r="K2731" s="15"/>
    </row>
    <row r="2732" spans="1:11" ht="16.5" x14ac:dyDescent="0.2">
      <c r="A2732" s="4" t="s">
        <v>4</v>
      </c>
      <c r="B2732">
        <v>2009</v>
      </c>
      <c r="C2732" s="14">
        <v>6938</v>
      </c>
      <c r="D2732" s="14">
        <v>1228.6666666666667</v>
      </c>
      <c r="E2732" s="14">
        <v>5138.6666666666661</v>
      </c>
      <c r="F2732" s="14">
        <v>13400.666666666664</v>
      </c>
      <c r="G2732" s="14">
        <v>1278</v>
      </c>
      <c r="H2732" s="14">
        <v>519.33333333333337</v>
      </c>
      <c r="I2732" s="14">
        <v>8150.6666666666652</v>
      </c>
    </row>
    <row r="2733" spans="1:11" ht="16.5" x14ac:dyDescent="0.2">
      <c r="A2733" s="4" t="s">
        <v>4</v>
      </c>
      <c r="B2733">
        <v>2010</v>
      </c>
      <c r="C2733" s="14">
        <v>6942.666666666667</v>
      </c>
      <c r="D2733" s="14">
        <v>1227.3333333333333</v>
      </c>
      <c r="E2733" s="14">
        <v>5135.3333333333321</v>
      </c>
      <c r="F2733" s="14">
        <v>13391.999999999998</v>
      </c>
      <c r="G2733" s="14">
        <v>1302.6666666666665</v>
      </c>
      <c r="H2733" s="14">
        <v>521.99999999999989</v>
      </c>
      <c r="I2733" s="14">
        <v>8150.6666666666652</v>
      </c>
      <c r="K2733" s="15"/>
    </row>
    <row r="2734" spans="1:11" ht="16.5" x14ac:dyDescent="0.2">
      <c r="A2734" s="4" t="s">
        <v>4</v>
      </c>
      <c r="B2734">
        <v>2011</v>
      </c>
      <c r="C2734" s="14">
        <v>6962.666666666667</v>
      </c>
      <c r="D2734" s="14">
        <v>1216.6666666666665</v>
      </c>
      <c r="E2734" s="14">
        <v>5131.333333333333</v>
      </c>
      <c r="F2734" s="14">
        <v>13349.999999999998</v>
      </c>
      <c r="G2734" s="14">
        <v>1366</v>
      </c>
      <c r="H2734" s="14">
        <v>530</v>
      </c>
      <c r="I2734" s="14">
        <v>8146</v>
      </c>
    </row>
    <row r="2735" spans="1:11" ht="16.5" x14ac:dyDescent="0.2">
      <c r="A2735" s="4" t="s">
        <v>4</v>
      </c>
      <c r="B2735">
        <v>2012</v>
      </c>
      <c r="C2735" s="14">
        <v>6950.6666666666652</v>
      </c>
      <c r="D2735" s="14">
        <v>1210.6666666666665</v>
      </c>
      <c r="E2735" s="14">
        <v>5128</v>
      </c>
      <c r="F2735" s="14">
        <v>13328</v>
      </c>
      <c r="G2735" s="14">
        <v>1443.333333333333</v>
      </c>
      <c r="H2735" s="14">
        <v>557.33333333333326</v>
      </c>
      <c r="I2735" s="14">
        <v>8145.3333333333321</v>
      </c>
    </row>
    <row r="2736" spans="1:11" ht="16.5" x14ac:dyDescent="0.2">
      <c r="A2736" s="4" t="s">
        <v>4</v>
      </c>
      <c r="B2736">
        <v>2013</v>
      </c>
      <c r="C2736" s="14">
        <v>6967.3333333333321</v>
      </c>
      <c r="D2736" s="14">
        <v>1205.3333333333333</v>
      </c>
      <c r="E2736" s="14">
        <v>5125.3333333333321</v>
      </c>
      <c r="F2736" s="14">
        <v>13295.333333333332</v>
      </c>
      <c r="G2736" s="14">
        <v>1495.9999999999998</v>
      </c>
      <c r="H2736" s="14">
        <v>566.66666666666663</v>
      </c>
      <c r="I2736" s="14">
        <v>8143.333333333333</v>
      </c>
      <c r="K2736" s="15"/>
    </row>
    <row r="2737" spans="1:11" ht="16.5" x14ac:dyDescent="0.2">
      <c r="A2737" s="4" t="s">
        <v>4</v>
      </c>
      <c r="B2737">
        <v>2014</v>
      </c>
      <c r="C2737" s="14">
        <v>6975.3333333333321</v>
      </c>
      <c r="D2737" s="14">
        <v>1201.3333333333333</v>
      </c>
      <c r="E2737" s="14">
        <v>5124</v>
      </c>
      <c r="F2737" s="14">
        <v>13278.666666666666</v>
      </c>
      <c r="G2737" s="14">
        <v>1537.3333333333333</v>
      </c>
      <c r="H2737" s="14">
        <v>570</v>
      </c>
      <c r="I2737" s="14">
        <v>8141.9999999999991</v>
      </c>
    </row>
    <row r="2738" spans="1:11" ht="16.5" x14ac:dyDescent="0.2">
      <c r="A2738" s="4" t="s">
        <v>4</v>
      </c>
      <c r="B2738">
        <v>2015</v>
      </c>
      <c r="C2738" s="14">
        <v>6986.6666666666661</v>
      </c>
      <c r="D2738" s="14">
        <v>1198.6666666666667</v>
      </c>
      <c r="E2738" s="14">
        <v>5121.9999999999991</v>
      </c>
      <c r="F2738" s="14">
        <v>13258.666666666666</v>
      </c>
      <c r="G2738" s="14">
        <v>1574.6666666666665</v>
      </c>
      <c r="H2738" s="14">
        <v>576</v>
      </c>
      <c r="I2738" s="14">
        <v>8143.333333333333</v>
      </c>
      <c r="K2738" s="15"/>
    </row>
    <row r="2739" spans="1:11" ht="16.5" x14ac:dyDescent="0.2">
      <c r="A2739" s="4" t="s">
        <v>4</v>
      </c>
      <c r="B2739">
        <v>2016</v>
      </c>
      <c r="C2739" s="14">
        <v>7011.9999999999991</v>
      </c>
      <c r="D2739" s="14">
        <v>1194.6666666666665</v>
      </c>
      <c r="E2739" s="14">
        <v>5122.6666666666661</v>
      </c>
      <c r="F2739" s="14">
        <v>13241.333333333332</v>
      </c>
      <c r="G2739" s="14">
        <v>1623.9999999999995</v>
      </c>
      <c r="H2739" s="14">
        <v>581.99999999999989</v>
      </c>
      <c r="I2739" s="14">
        <v>8142.666666666667</v>
      </c>
    </row>
    <row r="2740" spans="1:11" ht="16.5" x14ac:dyDescent="0.2">
      <c r="A2740" s="4" t="s">
        <v>3</v>
      </c>
      <c r="B2740">
        <v>2009</v>
      </c>
      <c r="C2740" s="14">
        <v>2157.9999999999995</v>
      </c>
      <c r="D2740" s="14">
        <v>427.33333333333326</v>
      </c>
      <c r="E2740" s="14">
        <v>3661.9999999999995</v>
      </c>
      <c r="F2740" s="14">
        <v>30010.666666666668</v>
      </c>
      <c r="G2740" s="14">
        <v>657.33333333333337</v>
      </c>
      <c r="H2740" s="14">
        <v>227.33333333333331</v>
      </c>
      <c r="I2740" s="14">
        <v>9361.9999999999982</v>
      </c>
    </row>
    <row r="2741" spans="1:11" ht="16.5" x14ac:dyDescent="0.2">
      <c r="A2741" s="4" t="s">
        <v>3</v>
      </c>
      <c r="B2741">
        <v>2010</v>
      </c>
      <c r="C2741" s="14">
        <v>2164</v>
      </c>
      <c r="D2741" s="14">
        <v>425.99999999999994</v>
      </c>
      <c r="E2741" s="14">
        <v>3659.9999999999995</v>
      </c>
      <c r="F2741" s="14">
        <v>30004</v>
      </c>
      <c r="G2741" s="14">
        <v>664.66666666666663</v>
      </c>
      <c r="H2741" s="14">
        <v>231.33333333333334</v>
      </c>
      <c r="I2741" s="14">
        <v>9368</v>
      </c>
      <c r="K2741" s="15"/>
    </row>
    <row r="2742" spans="1:11" ht="16.5" x14ac:dyDescent="0.2">
      <c r="A2742" s="4" t="s">
        <v>3</v>
      </c>
      <c r="B2742">
        <v>2011</v>
      </c>
      <c r="C2742" s="14">
        <v>2175.333333333333</v>
      </c>
      <c r="D2742" s="14">
        <v>428</v>
      </c>
      <c r="E2742" s="14">
        <v>3659.333333333333</v>
      </c>
      <c r="F2742" s="14">
        <v>29998.666666666664</v>
      </c>
      <c r="G2742" s="14">
        <v>680.66666666666652</v>
      </c>
      <c r="H2742" s="14">
        <v>234</v>
      </c>
      <c r="I2742" s="14">
        <v>9367.3333333333321</v>
      </c>
    </row>
    <row r="2743" spans="1:11" ht="16.5" x14ac:dyDescent="0.2">
      <c r="A2743" s="4" t="s">
        <v>3</v>
      </c>
      <c r="B2743">
        <v>2012</v>
      </c>
      <c r="C2743" s="14">
        <v>2177.3333333333335</v>
      </c>
      <c r="D2743" s="14">
        <v>427.33333333333326</v>
      </c>
      <c r="E2743" s="14">
        <v>3659.333333333333</v>
      </c>
      <c r="F2743" s="14">
        <v>29995.999999999996</v>
      </c>
      <c r="G2743" s="14">
        <v>693.33333333333326</v>
      </c>
      <c r="H2743" s="14">
        <v>235.33333333333329</v>
      </c>
      <c r="I2743" s="14">
        <v>9366</v>
      </c>
      <c r="K2743" s="15"/>
    </row>
    <row r="2744" spans="1:11" ht="16.5" x14ac:dyDescent="0.2">
      <c r="A2744" s="4" t="s">
        <v>3</v>
      </c>
      <c r="B2744">
        <v>2013</v>
      </c>
      <c r="C2744" s="14">
        <v>2190</v>
      </c>
      <c r="D2744" s="14">
        <v>426.66666666666663</v>
      </c>
      <c r="E2744" s="14">
        <v>3659.333333333333</v>
      </c>
      <c r="F2744" s="14">
        <v>29992.666666666661</v>
      </c>
      <c r="G2744" s="14">
        <v>708.66666666666663</v>
      </c>
      <c r="H2744" s="14">
        <v>236.66666666666666</v>
      </c>
      <c r="I2744" s="14">
        <v>9365.3333333333321</v>
      </c>
    </row>
    <row r="2745" spans="1:11" ht="16.5" x14ac:dyDescent="0.2">
      <c r="A2745" s="4" t="s">
        <v>3</v>
      </c>
      <c r="B2745">
        <v>2014</v>
      </c>
      <c r="C2745" s="14">
        <v>2192</v>
      </c>
      <c r="D2745" s="14">
        <v>425.99999999999994</v>
      </c>
      <c r="E2745" s="14">
        <v>3659.333333333333</v>
      </c>
      <c r="F2745" s="14">
        <v>29990.666666666668</v>
      </c>
      <c r="G2745" s="14">
        <v>718.66666666666663</v>
      </c>
      <c r="H2745" s="14">
        <v>238</v>
      </c>
      <c r="I2745" s="14">
        <v>9365.3333333333321</v>
      </c>
    </row>
    <row r="2746" spans="1:11" ht="16.5" x14ac:dyDescent="0.2">
      <c r="A2746" s="4" t="s">
        <v>3</v>
      </c>
      <c r="B2746">
        <v>2015</v>
      </c>
      <c r="C2746" s="14">
        <v>2199.333333333333</v>
      </c>
      <c r="D2746" s="14">
        <v>425.33333333333326</v>
      </c>
      <c r="E2746" s="14">
        <v>3658.6666666666661</v>
      </c>
      <c r="F2746" s="14">
        <v>29987.999999999996</v>
      </c>
      <c r="G2746" s="14">
        <v>738</v>
      </c>
      <c r="H2746" s="14">
        <v>238.66666666666663</v>
      </c>
      <c r="I2746" s="14">
        <v>9364.6666666666661</v>
      </c>
      <c r="K2746" s="15"/>
    </row>
    <row r="2747" spans="1:11" ht="16.5" x14ac:dyDescent="0.2">
      <c r="A2747" s="4" t="s">
        <v>3</v>
      </c>
      <c r="B2747">
        <v>2016</v>
      </c>
      <c r="C2747" s="14">
        <v>2227.3333333333335</v>
      </c>
      <c r="D2747" s="14">
        <v>422.66666666666663</v>
      </c>
      <c r="E2747" s="14">
        <v>3658</v>
      </c>
      <c r="F2747" s="14">
        <v>29984</v>
      </c>
      <c r="G2747" s="14">
        <v>745.33333333333326</v>
      </c>
      <c r="H2747" s="14">
        <v>241.33333333333334</v>
      </c>
      <c r="I2747" s="14">
        <v>9364.6666666666661</v>
      </c>
    </row>
    <row r="2748" spans="1:11" ht="16.5" x14ac:dyDescent="0.2">
      <c r="A2748" s="4" t="s">
        <v>2</v>
      </c>
      <c r="B2748">
        <v>2009</v>
      </c>
      <c r="C2748" s="14">
        <v>6445.9999999999991</v>
      </c>
      <c r="D2748" s="14">
        <v>306.66666666666663</v>
      </c>
      <c r="E2748" s="14">
        <v>5708</v>
      </c>
      <c r="F2748" s="14">
        <v>33538.666666666664</v>
      </c>
      <c r="G2748" s="14">
        <v>976.66666666666663</v>
      </c>
      <c r="H2748" s="14">
        <v>334.66666666666663</v>
      </c>
      <c r="I2748" s="14">
        <v>2822</v>
      </c>
      <c r="K2748" s="15"/>
    </row>
    <row r="2749" spans="1:11" ht="16.5" x14ac:dyDescent="0.2">
      <c r="A2749" s="4" t="s">
        <v>2</v>
      </c>
      <c r="B2749">
        <v>2010</v>
      </c>
      <c r="C2749" s="14">
        <v>6421.9999999999991</v>
      </c>
      <c r="D2749" s="14">
        <v>310</v>
      </c>
      <c r="E2749" s="14">
        <v>5707.333333333333</v>
      </c>
      <c r="F2749" s="14">
        <v>33520.666666666664</v>
      </c>
      <c r="G2749" s="14">
        <v>1009.9999999999999</v>
      </c>
      <c r="H2749" s="14">
        <v>336.66666666666663</v>
      </c>
      <c r="I2749" s="14">
        <v>2827.333333333333</v>
      </c>
    </row>
    <row r="2750" spans="1:11" ht="16.5" x14ac:dyDescent="0.2">
      <c r="A2750" s="4" t="s">
        <v>2</v>
      </c>
      <c r="B2750">
        <v>2011</v>
      </c>
      <c r="C2750" s="14">
        <v>6497.333333333333</v>
      </c>
      <c r="D2750" s="14">
        <v>311.99999999999994</v>
      </c>
      <c r="E2750" s="14">
        <v>5705.9999999999991</v>
      </c>
      <c r="F2750" s="14">
        <v>33395.333333333328</v>
      </c>
      <c r="G2750" s="14">
        <v>1079.3333333333333</v>
      </c>
      <c r="H2750" s="14">
        <v>338.66666666666663</v>
      </c>
      <c r="I2750" s="14">
        <v>2828.6666666666665</v>
      </c>
    </row>
    <row r="2751" spans="1:11" ht="16.5" x14ac:dyDescent="0.2">
      <c r="A2751" s="4" t="s">
        <v>2</v>
      </c>
      <c r="B2751">
        <v>2012</v>
      </c>
      <c r="C2751" s="14">
        <v>6579.333333333333</v>
      </c>
      <c r="D2751" s="14">
        <v>311.99999999999994</v>
      </c>
      <c r="E2751" s="14">
        <v>5704.6666666666661</v>
      </c>
      <c r="F2751" s="14">
        <v>33297.333333333336</v>
      </c>
      <c r="G2751" s="14">
        <v>1099.3333333333333</v>
      </c>
      <c r="H2751" s="14">
        <v>349.99999999999994</v>
      </c>
      <c r="I2751" s="14">
        <v>2829.333333333333</v>
      </c>
      <c r="K2751" s="15"/>
    </row>
    <row r="2752" spans="1:11" ht="16.5" x14ac:dyDescent="0.2">
      <c r="A2752" s="4" t="s">
        <v>2</v>
      </c>
      <c r="B2752">
        <v>2013</v>
      </c>
      <c r="C2752" s="14">
        <v>6633.333333333333</v>
      </c>
      <c r="D2752" s="14">
        <v>320</v>
      </c>
      <c r="E2752" s="14">
        <v>5701.333333333333</v>
      </c>
      <c r="F2752" s="14">
        <v>33225.999999999993</v>
      </c>
      <c r="G2752" s="14">
        <v>1166</v>
      </c>
      <c r="H2752" s="14">
        <v>355.99999999999994</v>
      </c>
      <c r="I2752" s="14">
        <v>2830.6666666666665</v>
      </c>
    </row>
    <row r="2753" spans="1:11" ht="16.5" x14ac:dyDescent="0.2">
      <c r="A2753" s="4" t="s">
        <v>2</v>
      </c>
      <c r="B2753">
        <v>2014</v>
      </c>
      <c r="C2753" s="14">
        <v>6664</v>
      </c>
      <c r="D2753" s="14">
        <v>319.33333333333331</v>
      </c>
      <c r="E2753" s="14">
        <v>5698.6666666666661</v>
      </c>
      <c r="F2753" s="14">
        <v>33194</v>
      </c>
      <c r="G2753" s="14">
        <v>1183.3333333333333</v>
      </c>
      <c r="H2753" s="14">
        <v>361.33333333333331</v>
      </c>
      <c r="I2753" s="14">
        <v>2830.6666666666665</v>
      </c>
      <c r="K2753" s="15"/>
    </row>
    <row r="2754" spans="1:11" ht="16.5" x14ac:dyDescent="0.2">
      <c r="A2754" s="4" t="s">
        <v>2</v>
      </c>
      <c r="B2754">
        <v>2015</v>
      </c>
      <c r="C2754" s="14">
        <v>6704</v>
      </c>
      <c r="D2754" s="14">
        <v>314.66666666666669</v>
      </c>
      <c r="E2754" s="14">
        <v>5695.9999999999991</v>
      </c>
      <c r="F2754" s="14">
        <v>33135.999999999993</v>
      </c>
      <c r="G2754" s="14">
        <v>1207.3333333333333</v>
      </c>
      <c r="H2754" s="14">
        <v>361.99999999999994</v>
      </c>
      <c r="I2754" s="14">
        <v>2834.6666666666665</v>
      </c>
    </row>
    <row r="2755" spans="1:11" ht="16.5" x14ac:dyDescent="0.2">
      <c r="A2755" s="4" t="s">
        <v>2</v>
      </c>
      <c r="B2755">
        <v>2016</v>
      </c>
      <c r="C2755" s="14">
        <v>6725.9999999999991</v>
      </c>
      <c r="D2755" s="14">
        <v>323.33333333333331</v>
      </c>
      <c r="E2755" s="14">
        <v>5695.3333333333321</v>
      </c>
      <c r="F2755" s="14">
        <v>33110.666666666664</v>
      </c>
      <c r="G2755" s="14">
        <v>1219.3333333333333</v>
      </c>
      <c r="H2755" s="14">
        <v>368</v>
      </c>
      <c r="I2755" s="14">
        <v>2835.333333333333</v>
      </c>
    </row>
    <row r="2756" spans="1:11" ht="16.5" x14ac:dyDescent="0.2">
      <c r="A2756" s="4" t="s">
        <v>1</v>
      </c>
      <c r="B2756">
        <v>2009</v>
      </c>
      <c r="C2756" s="14">
        <v>7985.3333333333321</v>
      </c>
      <c r="D2756" s="14">
        <v>106.66666666666666</v>
      </c>
      <c r="E2756" s="14">
        <v>8759.3333333333339</v>
      </c>
      <c r="F2756" s="14">
        <v>61225.333333333321</v>
      </c>
      <c r="G2756" s="14">
        <v>1090.6666666666665</v>
      </c>
      <c r="H2756" s="14">
        <v>443.33333333333331</v>
      </c>
      <c r="I2756" s="14">
        <v>2144.6666666666665</v>
      </c>
      <c r="K2756" s="15"/>
    </row>
    <row r="2757" spans="1:11" ht="16.5" x14ac:dyDescent="0.2">
      <c r="A2757" s="4" t="s">
        <v>1</v>
      </c>
      <c r="B2757">
        <v>2010</v>
      </c>
      <c r="C2757" s="14">
        <v>7983.9999999999991</v>
      </c>
      <c r="D2757" s="14">
        <v>107.99999999999999</v>
      </c>
      <c r="E2757" s="14">
        <v>8760</v>
      </c>
      <c r="F2757" s="14">
        <v>61212.666666666657</v>
      </c>
      <c r="G2757" s="14">
        <v>1101.3333333333333</v>
      </c>
      <c r="H2757" s="14">
        <v>443.99999999999994</v>
      </c>
      <c r="I2757" s="14">
        <v>2146.6666666666665</v>
      </c>
    </row>
    <row r="2758" spans="1:11" ht="16.5" x14ac:dyDescent="0.2">
      <c r="A2758" s="4" t="s">
        <v>1</v>
      </c>
      <c r="B2758">
        <v>2011</v>
      </c>
      <c r="C2758" s="14">
        <v>8015.3333333333321</v>
      </c>
      <c r="D2758" s="14">
        <v>107.33333333333333</v>
      </c>
      <c r="E2758" s="14">
        <v>8756</v>
      </c>
      <c r="F2758" s="14">
        <v>61180.666666666664</v>
      </c>
      <c r="G2758" s="14">
        <v>1111.3333333333333</v>
      </c>
      <c r="H2758" s="14">
        <v>444.66666666666663</v>
      </c>
      <c r="I2758" s="14">
        <v>2150</v>
      </c>
      <c r="K2758" s="15"/>
    </row>
    <row r="2759" spans="1:11" ht="16.5" x14ac:dyDescent="0.2">
      <c r="A2759" s="4" t="s">
        <v>1</v>
      </c>
      <c r="B2759">
        <v>2012</v>
      </c>
      <c r="C2759" s="14">
        <v>8054.6666666666661</v>
      </c>
      <c r="D2759" s="14">
        <v>106.66666666666666</v>
      </c>
      <c r="E2759" s="14">
        <v>8753.3333333333321</v>
      </c>
      <c r="F2759" s="14">
        <v>61142.666666666657</v>
      </c>
      <c r="G2759" s="14">
        <v>1121.3333333333333</v>
      </c>
      <c r="H2759" s="14">
        <v>447.33333333333326</v>
      </c>
      <c r="I2759" s="14">
        <v>2149.333333333333</v>
      </c>
    </row>
    <row r="2760" spans="1:11" ht="16.5" x14ac:dyDescent="0.2">
      <c r="A2760" s="4" t="s">
        <v>1</v>
      </c>
      <c r="B2760">
        <v>2013</v>
      </c>
      <c r="C2760" s="14">
        <v>8051.9999999999991</v>
      </c>
      <c r="D2760" s="14">
        <v>106</v>
      </c>
      <c r="E2760" s="14">
        <v>8752.6666666666661</v>
      </c>
      <c r="F2760" s="14">
        <v>61119.333333333328</v>
      </c>
      <c r="G2760" s="14">
        <v>1136</v>
      </c>
      <c r="H2760" s="14">
        <v>466.66666666666663</v>
      </c>
      <c r="I2760" s="14">
        <v>2149.333333333333</v>
      </c>
    </row>
    <row r="2761" spans="1:11" ht="16.5" x14ac:dyDescent="0.2">
      <c r="A2761" s="4" t="s">
        <v>1</v>
      </c>
      <c r="B2761">
        <v>2014</v>
      </c>
      <c r="C2761" s="14">
        <v>8056.6666666666661</v>
      </c>
      <c r="D2761" s="14">
        <v>106</v>
      </c>
      <c r="E2761" s="14">
        <v>8750.6666666666661</v>
      </c>
      <c r="F2761" s="14">
        <v>61104.666666666664</v>
      </c>
      <c r="G2761" s="14">
        <v>1144.6666666666667</v>
      </c>
      <c r="H2761" s="14">
        <v>471.33333333333331</v>
      </c>
      <c r="I2761" s="14">
        <v>2150.6666666666665</v>
      </c>
      <c r="K2761" s="15"/>
    </row>
    <row r="2762" spans="1:11" ht="16.5" x14ac:dyDescent="0.2">
      <c r="A2762" s="4" t="s">
        <v>1</v>
      </c>
      <c r="B2762">
        <v>2015</v>
      </c>
      <c r="C2762" s="14">
        <v>8059.333333333333</v>
      </c>
      <c r="D2762" s="14">
        <v>105.33333333333333</v>
      </c>
      <c r="E2762" s="14">
        <v>8750</v>
      </c>
      <c r="F2762" s="14">
        <v>61089.999999999993</v>
      </c>
      <c r="G2762" s="14">
        <v>1162</v>
      </c>
      <c r="H2762" s="14">
        <v>473.99999999999994</v>
      </c>
      <c r="I2762" s="14">
        <v>2151.333333333333</v>
      </c>
    </row>
    <row r="2763" spans="1:11" ht="16.5" x14ac:dyDescent="0.2">
      <c r="A2763" s="4" t="s">
        <v>1</v>
      </c>
      <c r="B2763">
        <v>2016</v>
      </c>
      <c r="C2763" s="14">
        <v>8140.6666666666652</v>
      </c>
      <c r="D2763" s="14">
        <v>105.33333333333333</v>
      </c>
      <c r="E2763" s="14">
        <v>8748.6666666666661</v>
      </c>
      <c r="F2763" s="14">
        <v>61084</v>
      </c>
      <c r="G2763" s="14">
        <v>1172.6666666666665</v>
      </c>
      <c r="H2763" s="14">
        <v>476</v>
      </c>
      <c r="I2763" s="14">
        <v>2150</v>
      </c>
      <c r="K2763" s="15"/>
    </row>
    <row r="2764" spans="1:11" ht="16.5" x14ac:dyDescent="0.2">
      <c r="A2764" s="4" t="s">
        <v>0</v>
      </c>
      <c r="B2764">
        <v>2009</v>
      </c>
      <c r="C2764" s="14">
        <v>2484</v>
      </c>
      <c r="D2764" s="14">
        <v>26.666666666666664</v>
      </c>
      <c r="E2764" s="14">
        <v>9840.6666666666661</v>
      </c>
      <c r="F2764" s="14">
        <v>84466.666666666657</v>
      </c>
      <c r="G2764" s="14">
        <v>328.66666666666669</v>
      </c>
      <c r="H2764" s="14">
        <v>234.66666666666666</v>
      </c>
      <c r="I2764" s="14">
        <v>2702.6666666666661</v>
      </c>
    </row>
    <row r="2765" spans="1:11" ht="16.5" x14ac:dyDescent="0.2">
      <c r="A2765" s="4" t="s">
        <v>0</v>
      </c>
      <c r="B2765">
        <v>2010</v>
      </c>
      <c r="C2765" s="14">
        <v>2501.333333333333</v>
      </c>
      <c r="D2765" s="14">
        <v>26.666666666666664</v>
      </c>
      <c r="E2765" s="14">
        <v>9856.6666666666661</v>
      </c>
      <c r="F2765" s="14">
        <v>84410.666666666657</v>
      </c>
      <c r="G2765" s="14">
        <v>347.99999999999994</v>
      </c>
      <c r="H2765" s="14">
        <v>237.33333333333331</v>
      </c>
      <c r="I2765" s="14">
        <v>2714</v>
      </c>
    </row>
    <row r="2766" spans="1:11" ht="16.5" x14ac:dyDescent="0.2">
      <c r="A2766" s="4" t="s">
        <v>0</v>
      </c>
      <c r="B2766">
        <v>2011</v>
      </c>
      <c r="C2766" s="14">
        <v>2510.6666666666665</v>
      </c>
      <c r="D2766" s="14">
        <v>26.666666666666664</v>
      </c>
      <c r="E2766" s="14">
        <v>9854.6666666666661</v>
      </c>
      <c r="F2766" s="14">
        <v>84369.999999999985</v>
      </c>
      <c r="G2766" s="14">
        <v>369.33333333333331</v>
      </c>
      <c r="H2766" s="14">
        <v>249.33333333333331</v>
      </c>
      <c r="I2766" s="14">
        <v>2720.6666666666665</v>
      </c>
      <c r="K2766" s="15"/>
    </row>
    <row r="2767" spans="1:11" ht="16.5" x14ac:dyDescent="0.2">
      <c r="A2767" s="4" t="s">
        <v>0</v>
      </c>
      <c r="B2767">
        <v>2012</v>
      </c>
      <c r="C2767" s="14">
        <v>2532</v>
      </c>
      <c r="D2767" s="14">
        <v>26.666666666666664</v>
      </c>
      <c r="E2767" s="14">
        <v>9851.9999999999982</v>
      </c>
      <c r="F2767" s="14">
        <v>84324.666666666657</v>
      </c>
      <c r="G2767" s="14">
        <v>393.99999999999994</v>
      </c>
      <c r="H2767" s="14">
        <v>250.66666666666666</v>
      </c>
      <c r="I2767" s="14">
        <v>2724.6666666666665</v>
      </c>
    </row>
    <row r="2768" spans="1:11" ht="16.5" x14ac:dyDescent="0.2">
      <c r="A2768" s="4" t="s">
        <v>0</v>
      </c>
      <c r="B2768">
        <v>2013</v>
      </c>
      <c r="C2768" s="14">
        <v>2579.9999999999995</v>
      </c>
      <c r="D2768" s="14">
        <v>26.666666666666664</v>
      </c>
      <c r="E2768" s="14">
        <v>9853.9999999999982</v>
      </c>
      <c r="F2768" s="14">
        <v>84252.666666666657</v>
      </c>
      <c r="G2768" s="14">
        <v>412.66666666666663</v>
      </c>
      <c r="H2768" s="14">
        <v>255.99999999999997</v>
      </c>
      <c r="I2768" s="14">
        <v>2725.333333333333</v>
      </c>
      <c r="K2768" s="15"/>
    </row>
    <row r="2769" spans="1:11" ht="16.5" x14ac:dyDescent="0.2">
      <c r="A2769" s="4" t="s">
        <v>0</v>
      </c>
      <c r="B2769">
        <v>2014</v>
      </c>
      <c r="C2769" s="14">
        <v>2612</v>
      </c>
      <c r="D2769" s="14">
        <v>26.666666666666664</v>
      </c>
      <c r="E2769" s="14">
        <v>9851.9999999999982</v>
      </c>
      <c r="F2769" s="14">
        <v>84187.333333333328</v>
      </c>
      <c r="G2769" s="14">
        <v>432.66666666666669</v>
      </c>
      <c r="H2769" s="14">
        <v>261.33333333333331</v>
      </c>
      <c r="I2769" s="14">
        <v>2735.9999999999995</v>
      </c>
    </row>
    <row r="2770" spans="1:11" ht="16.5" x14ac:dyDescent="0.2">
      <c r="A2770" s="4" t="s">
        <v>0</v>
      </c>
      <c r="B2770">
        <v>2015</v>
      </c>
      <c r="C2770" s="14">
        <v>2717.333333333333</v>
      </c>
      <c r="D2770" s="14">
        <v>26.666666666666664</v>
      </c>
      <c r="E2770" s="14">
        <v>9851.3333333333321</v>
      </c>
      <c r="F2770" s="14">
        <v>84075.999999999985</v>
      </c>
      <c r="G2770" s="14">
        <v>441.33333333333331</v>
      </c>
      <c r="H2770" s="14">
        <v>264</v>
      </c>
      <c r="I2770" s="14">
        <v>2734.6666666666665</v>
      </c>
    </row>
    <row r="2771" spans="1:11" ht="16.5" x14ac:dyDescent="0.2">
      <c r="A2771" s="4" t="s">
        <v>0</v>
      </c>
      <c r="B2771">
        <v>2016</v>
      </c>
      <c r="C2771" s="14">
        <v>2769.9999999999995</v>
      </c>
      <c r="D2771" s="14">
        <v>26.666666666666664</v>
      </c>
      <c r="E2771" s="14">
        <v>9850</v>
      </c>
      <c r="F2771" s="14">
        <v>84021.333333333328</v>
      </c>
      <c r="G2771" s="14">
        <v>450.66666666666657</v>
      </c>
      <c r="H2771" s="14">
        <v>267.33333333333331</v>
      </c>
      <c r="I2771" s="14">
        <v>2735.333333333333</v>
      </c>
      <c r="K2771" s="15"/>
    </row>
    <row r="2772" spans="1:11" ht="16.5" x14ac:dyDescent="0.35">
      <c r="A2772" s="3"/>
      <c r="B2772" s="3"/>
      <c r="C2772" s="2"/>
      <c r="D2772" s="2"/>
      <c r="E2772" s="2"/>
      <c r="F2772" s="2"/>
      <c r="H2772" s="2"/>
      <c r="I2772" s="2"/>
    </row>
    <row r="2773" spans="1:11" ht="16.5" x14ac:dyDescent="0.35">
      <c r="A2773" s="3"/>
      <c r="B2773" s="3"/>
      <c r="C2773" s="2"/>
      <c r="D2773" s="2"/>
      <c r="E2773" s="2"/>
      <c r="F2773" s="2"/>
      <c r="H2773" s="2"/>
      <c r="I2773" s="2"/>
      <c r="K2773" s="15"/>
    </row>
    <row r="2774" spans="1:11" ht="16.5" x14ac:dyDescent="0.35">
      <c r="A2774" s="3"/>
      <c r="B2774" s="3"/>
      <c r="C2774" s="2"/>
      <c r="D2774" s="2"/>
      <c r="E2774" s="2"/>
      <c r="F2774" s="2"/>
      <c r="H2774" s="2"/>
      <c r="I2774" s="2"/>
    </row>
    <row r="2775" spans="1:11" x14ac:dyDescent="0.2">
      <c r="K2775" s="15"/>
    </row>
    <row r="2777" spans="1:11" x14ac:dyDescent="0.2">
      <c r="K2777" s="15"/>
    </row>
    <row r="2779" spans="1:11" x14ac:dyDescent="0.2">
      <c r="K2779" s="15"/>
    </row>
    <row r="2781" spans="1:11" x14ac:dyDescent="0.2">
      <c r="K2781" s="15"/>
    </row>
    <row r="2783" spans="1:11" x14ac:dyDescent="0.2">
      <c r="K2783" s="15"/>
    </row>
    <row r="2785" spans="11:11" x14ac:dyDescent="0.2">
      <c r="K2785" s="15"/>
    </row>
    <row r="2787" spans="11:11" x14ac:dyDescent="0.2">
      <c r="K2787" s="15"/>
    </row>
    <row r="2789" spans="11:11" x14ac:dyDescent="0.2">
      <c r="K2789" s="15"/>
    </row>
    <row r="2791" spans="11:11" x14ac:dyDescent="0.2">
      <c r="K2791" s="15"/>
    </row>
    <row r="2793" spans="11:11" x14ac:dyDescent="0.2">
      <c r="K2793" s="15"/>
    </row>
    <row r="2795" spans="11:11" x14ac:dyDescent="0.2">
      <c r="K2795" s="15"/>
    </row>
    <row r="2797" spans="11:11" x14ac:dyDescent="0.2">
      <c r="K2797" s="15"/>
    </row>
    <row r="2799" spans="11:11" x14ac:dyDescent="0.2">
      <c r="K2799" s="15"/>
    </row>
    <row r="2801" spans="11:11" x14ac:dyDescent="0.2">
      <c r="K2801" s="15"/>
    </row>
    <row r="2803" spans="11:11" x14ac:dyDescent="0.2">
      <c r="K2803" s="15"/>
    </row>
    <row r="2805" spans="11:11" x14ac:dyDescent="0.2">
      <c r="K2805" s="15"/>
    </row>
    <row r="2807" spans="11:11" x14ac:dyDescent="0.2">
      <c r="K2807" s="15"/>
    </row>
    <row r="2809" spans="11:11" x14ac:dyDescent="0.2">
      <c r="K2809" s="15"/>
    </row>
    <row r="2811" spans="11:11" x14ac:dyDescent="0.2">
      <c r="K2811" s="15"/>
    </row>
    <row r="2813" spans="11:11" x14ac:dyDescent="0.2">
      <c r="K2813" s="15"/>
    </row>
    <row r="2815" spans="11:11" x14ac:dyDescent="0.2">
      <c r="K2815" s="15"/>
    </row>
    <row r="2817" spans="11:11" x14ac:dyDescent="0.2">
      <c r="K2817" s="15"/>
    </row>
    <row r="2819" spans="11:11" x14ac:dyDescent="0.2">
      <c r="K2819" s="15"/>
    </row>
    <row r="2821" spans="11:11" x14ac:dyDescent="0.2">
      <c r="K2821" s="15"/>
    </row>
    <row r="2823" spans="11:11" x14ac:dyDescent="0.2">
      <c r="K2823" s="15"/>
    </row>
    <row r="2825" spans="11:11" x14ac:dyDescent="0.2">
      <c r="K2825" s="15"/>
    </row>
    <row r="2827" spans="11:11" x14ac:dyDescent="0.2">
      <c r="K2827" s="15"/>
    </row>
    <row r="2829" spans="11:11" x14ac:dyDescent="0.2">
      <c r="K2829" s="15"/>
    </row>
    <row r="2831" spans="11:11" x14ac:dyDescent="0.2">
      <c r="K2831" s="15"/>
    </row>
    <row r="2833" spans="11:11" x14ac:dyDescent="0.2">
      <c r="K2833" s="15"/>
    </row>
    <row r="2835" spans="11:11" x14ac:dyDescent="0.2">
      <c r="K2835" s="15"/>
    </row>
    <row r="2837" spans="11:11" x14ac:dyDescent="0.2">
      <c r="K2837" s="15"/>
    </row>
    <row r="2839" spans="11:11" x14ac:dyDescent="0.2">
      <c r="K2839" s="15"/>
    </row>
    <row r="2841" spans="11:11" x14ac:dyDescent="0.2">
      <c r="K2841" s="15"/>
    </row>
    <row r="2843" spans="11:11" x14ac:dyDescent="0.2">
      <c r="K2843" s="15"/>
    </row>
    <row r="2845" spans="11:11" x14ac:dyDescent="0.2">
      <c r="K2845" s="15"/>
    </row>
    <row r="2847" spans="11:11" x14ac:dyDescent="0.2">
      <c r="K2847" s="15"/>
    </row>
    <row r="2849" spans="11:11" x14ac:dyDescent="0.2">
      <c r="K2849" s="15"/>
    </row>
    <row r="2851" spans="11:11" x14ac:dyDescent="0.2">
      <c r="K2851" s="15"/>
    </row>
    <row r="2853" spans="11:11" x14ac:dyDescent="0.2">
      <c r="K2853" s="15"/>
    </row>
    <row r="2855" spans="11:11" x14ac:dyDescent="0.2">
      <c r="K2855" s="15"/>
    </row>
    <row r="2857" spans="11:11" x14ac:dyDescent="0.2">
      <c r="K2857" s="15"/>
    </row>
    <row r="2859" spans="11:11" x14ac:dyDescent="0.2">
      <c r="K2859" s="15"/>
    </row>
    <row r="2861" spans="11:11" x14ac:dyDescent="0.2">
      <c r="K2861" s="15"/>
    </row>
    <row r="2863" spans="11:11" x14ac:dyDescent="0.2">
      <c r="K2863" s="15"/>
    </row>
    <row r="2865" spans="11:11" x14ac:dyDescent="0.2">
      <c r="K2865" s="15"/>
    </row>
    <row r="2867" spans="11:11" x14ac:dyDescent="0.2">
      <c r="K2867" s="15"/>
    </row>
    <row r="2869" spans="11:11" x14ac:dyDescent="0.2">
      <c r="K2869" s="15"/>
    </row>
    <row r="2871" spans="11:11" x14ac:dyDescent="0.2">
      <c r="K2871" s="15"/>
    </row>
    <row r="2873" spans="11:11" x14ac:dyDescent="0.2">
      <c r="K2873" s="15"/>
    </row>
    <row r="2875" spans="11:11" x14ac:dyDescent="0.2">
      <c r="K2875" s="15"/>
    </row>
    <row r="2877" spans="11:11" x14ac:dyDescent="0.2">
      <c r="K2877" s="15"/>
    </row>
    <row r="2879" spans="11:11" x14ac:dyDescent="0.2">
      <c r="K2879" s="15"/>
    </row>
    <row r="2881" spans="11:11" x14ac:dyDescent="0.2">
      <c r="K2881" s="15"/>
    </row>
    <row r="2883" spans="11:11" x14ac:dyDescent="0.2">
      <c r="K2883" s="15"/>
    </row>
    <row r="2885" spans="11:11" x14ac:dyDescent="0.2">
      <c r="K2885" s="15"/>
    </row>
    <row r="2887" spans="11:11" x14ac:dyDescent="0.2">
      <c r="K2887" s="15"/>
    </row>
    <row r="2889" spans="11:11" x14ac:dyDescent="0.2">
      <c r="K2889" s="15"/>
    </row>
    <row r="2891" spans="11:11" x14ac:dyDescent="0.2">
      <c r="K2891" s="15"/>
    </row>
    <row r="2893" spans="11:11" x14ac:dyDescent="0.2">
      <c r="K2893" s="15"/>
    </row>
    <row r="2895" spans="11:11" x14ac:dyDescent="0.2">
      <c r="K2895" s="15"/>
    </row>
    <row r="2897" spans="11:11" x14ac:dyDescent="0.2">
      <c r="K2897" s="15"/>
    </row>
    <row r="2899" spans="11:11" x14ac:dyDescent="0.2">
      <c r="K2899" s="15"/>
    </row>
    <row r="2901" spans="11:11" x14ac:dyDescent="0.2">
      <c r="K2901" s="15"/>
    </row>
    <row r="2903" spans="11:11" x14ac:dyDescent="0.2">
      <c r="K2903" s="15"/>
    </row>
    <row r="2905" spans="11:11" x14ac:dyDescent="0.2">
      <c r="K2905" s="15"/>
    </row>
    <row r="2907" spans="11:11" x14ac:dyDescent="0.2">
      <c r="K2907" s="15"/>
    </row>
    <row r="2909" spans="11:11" x14ac:dyDescent="0.2">
      <c r="K2909" s="15"/>
    </row>
    <row r="2911" spans="11:11" x14ac:dyDescent="0.2">
      <c r="K2911" s="15"/>
    </row>
    <row r="2913" spans="11:11" x14ac:dyDescent="0.2">
      <c r="K2913" s="15"/>
    </row>
    <row r="2915" spans="11:11" x14ac:dyDescent="0.2">
      <c r="K2915" s="15"/>
    </row>
    <row r="2917" spans="11:11" x14ac:dyDescent="0.2">
      <c r="K2917" s="15"/>
    </row>
    <row r="2919" spans="11:11" x14ac:dyDescent="0.2">
      <c r="K2919" s="15"/>
    </row>
    <row r="2921" spans="11:11" x14ac:dyDescent="0.2">
      <c r="K2921" s="15"/>
    </row>
    <row r="2923" spans="11:11" x14ac:dyDescent="0.2">
      <c r="K2923" s="15"/>
    </row>
    <row r="2925" spans="11:11" x14ac:dyDescent="0.2">
      <c r="K2925" s="15"/>
    </row>
    <row r="2927" spans="11:11" x14ac:dyDescent="0.2">
      <c r="K2927" s="15"/>
    </row>
    <row r="2929" spans="11:11" x14ac:dyDescent="0.2">
      <c r="K2929" s="15"/>
    </row>
    <row r="2931" spans="11:11" x14ac:dyDescent="0.2">
      <c r="K2931" s="15"/>
    </row>
    <row r="2933" spans="11:11" x14ac:dyDescent="0.2">
      <c r="K2933" s="15"/>
    </row>
    <row r="2935" spans="11:11" x14ac:dyDescent="0.2">
      <c r="K2935" s="15"/>
    </row>
    <row r="2937" spans="11:11" x14ac:dyDescent="0.2">
      <c r="K2937" s="15"/>
    </row>
    <row r="2939" spans="11:11" x14ac:dyDescent="0.2">
      <c r="K2939" s="15"/>
    </row>
    <row r="2941" spans="11:11" x14ac:dyDescent="0.2">
      <c r="K2941" s="15"/>
    </row>
    <row r="2943" spans="11:11" x14ac:dyDescent="0.2">
      <c r="K2943" s="15"/>
    </row>
    <row r="2945" spans="11:11" x14ac:dyDescent="0.2">
      <c r="K2945" s="15"/>
    </row>
    <row r="2947" spans="11:11" x14ac:dyDescent="0.2">
      <c r="K2947" s="15"/>
    </row>
    <row r="2949" spans="11:11" x14ac:dyDescent="0.2">
      <c r="K2949" s="15"/>
    </row>
    <row r="2951" spans="11:11" x14ac:dyDescent="0.2">
      <c r="K2951" s="15"/>
    </row>
    <row r="2953" spans="11:11" x14ac:dyDescent="0.2">
      <c r="K2953" s="15"/>
    </row>
    <row r="2955" spans="11:11" x14ac:dyDescent="0.2">
      <c r="K2955" s="15"/>
    </row>
    <row r="2957" spans="11:11" x14ac:dyDescent="0.2">
      <c r="K2957" s="15"/>
    </row>
    <row r="2959" spans="11:11" x14ac:dyDescent="0.2">
      <c r="K2959" s="15"/>
    </row>
    <row r="2961" spans="11:11" x14ac:dyDescent="0.2">
      <c r="K2961" s="15"/>
    </row>
    <row r="2963" spans="11:11" x14ac:dyDescent="0.2">
      <c r="K2963" s="15"/>
    </row>
    <row r="2965" spans="11:11" x14ac:dyDescent="0.2">
      <c r="K2965" s="15"/>
    </row>
    <row r="2967" spans="11:11" x14ac:dyDescent="0.2">
      <c r="K2967" s="15"/>
    </row>
    <row r="2969" spans="11:11" x14ac:dyDescent="0.2">
      <c r="K2969" s="15"/>
    </row>
    <row r="2971" spans="11:11" x14ac:dyDescent="0.2">
      <c r="K2971" s="15"/>
    </row>
    <row r="2973" spans="11:11" x14ac:dyDescent="0.2">
      <c r="K2973" s="15"/>
    </row>
    <row r="2975" spans="11:11" x14ac:dyDescent="0.2">
      <c r="K2975" s="15"/>
    </row>
    <row r="2977" spans="11:11" x14ac:dyDescent="0.2">
      <c r="K2977" s="15"/>
    </row>
    <row r="2979" spans="11:11" x14ac:dyDescent="0.2">
      <c r="K2979" s="15"/>
    </row>
    <row r="2981" spans="11:11" x14ac:dyDescent="0.2">
      <c r="K2981" s="15"/>
    </row>
    <row r="2983" spans="11:11" x14ac:dyDescent="0.2">
      <c r="K2983" s="15"/>
    </row>
    <row r="2985" spans="11:11" x14ac:dyDescent="0.2">
      <c r="K2985" s="15"/>
    </row>
    <row r="2987" spans="11:11" x14ac:dyDescent="0.2">
      <c r="K2987" s="15"/>
    </row>
    <row r="2989" spans="11:11" x14ac:dyDescent="0.2">
      <c r="K2989" s="15"/>
    </row>
    <row r="2991" spans="11:11" x14ac:dyDescent="0.2">
      <c r="K2991" s="15"/>
    </row>
    <row r="2993" spans="11:11" x14ac:dyDescent="0.2">
      <c r="K2993" s="15"/>
    </row>
    <row r="2995" spans="11:11" x14ac:dyDescent="0.2">
      <c r="K2995" s="15"/>
    </row>
    <row r="2997" spans="11:11" x14ac:dyDescent="0.2">
      <c r="K2997" s="15"/>
    </row>
    <row r="2999" spans="11:11" x14ac:dyDescent="0.2">
      <c r="K2999" s="15"/>
    </row>
    <row r="3001" spans="11:11" x14ac:dyDescent="0.2">
      <c r="K3001" s="15"/>
    </row>
    <row r="3003" spans="11:11" x14ac:dyDescent="0.2">
      <c r="K3003" s="15"/>
    </row>
    <row r="3005" spans="11:11" x14ac:dyDescent="0.2">
      <c r="K3005" s="15"/>
    </row>
    <row r="3007" spans="11:11" x14ac:dyDescent="0.2">
      <c r="K3007" s="15"/>
    </row>
    <row r="3009" spans="11:11" x14ac:dyDescent="0.2">
      <c r="K3009" s="15"/>
    </row>
    <row r="3011" spans="11:11" x14ac:dyDescent="0.2">
      <c r="K3011" s="15"/>
    </row>
    <row r="3013" spans="11:11" x14ac:dyDescent="0.2">
      <c r="K3013" s="15"/>
    </row>
    <row r="3015" spans="11:11" x14ac:dyDescent="0.2">
      <c r="K3015" s="15"/>
    </row>
    <row r="3017" spans="11:11" x14ac:dyDescent="0.2">
      <c r="K3017" s="15"/>
    </row>
    <row r="3019" spans="11:11" x14ac:dyDescent="0.2">
      <c r="K3019" s="15"/>
    </row>
    <row r="3021" spans="11:11" x14ac:dyDescent="0.2">
      <c r="K3021" s="15"/>
    </row>
    <row r="3023" spans="11:11" x14ac:dyDescent="0.2">
      <c r="K3023" s="15"/>
    </row>
    <row r="3025" spans="11:11" x14ac:dyDescent="0.2">
      <c r="K3025" s="15"/>
    </row>
    <row r="3027" spans="11:11" x14ac:dyDescent="0.2">
      <c r="K3027" s="15"/>
    </row>
    <row r="3029" spans="11:11" x14ac:dyDescent="0.2">
      <c r="K3029" s="15"/>
    </row>
    <row r="3031" spans="11:11" x14ac:dyDescent="0.2">
      <c r="K3031" s="15"/>
    </row>
    <row r="3033" spans="11:11" x14ac:dyDescent="0.2">
      <c r="K3033" s="15"/>
    </row>
    <row r="3035" spans="11:11" x14ac:dyDescent="0.2">
      <c r="K3035" s="15"/>
    </row>
    <row r="3037" spans="11:11" x14ac:dyDescent="0.2">
      <c r="K3037" s="15"/>
    </row>
    <row r="3039" spans="11:11" x14ac:dyDescent="0.2">
      <c r="K3039" s="15"/>
    </row>
    <row r="3041" spans="11:11" x14ac:dyDescent="0.2">
      <c r="K3041" s="15"/>
    </row>
    <row r="3043" spans="11:11" x14ac:dyDescent="0.2">
      <c r="K3043" s="15"/>
    </row>
    <row r="3045" spans="11:11" x14ac:dyDescent="0.2">
      <c r="K3045" s="15"/>
    </row>
    <row r="3047" spans="11:11" x14ac:dyDescent="0.2">
      <c r="K3047" s="15"/>
    </row>
    <row r="3049" spans="11:11" x14ac:dyDescent="0.2">
      <c r="K3049" s="15"/>
    </row>
    <row r="3051" spans="11:11" x14ac:dyDescent="0.2">
      <c r="K3051" s="15"/>
    </row>
    <row r="3053" spans="11:11" x14ac:dyDescent="0.2">
      <c r="K3053" s="15"/>
    </row>
  </sheetData>
  <phoneticPr fontId="2" type="noConversion"/>
  <hyperlinks>
    <hyperlink ref="A8:A11" r:id="rId1" display="北京市" xr:uid="{70DB6217-6C6E-4ECD-8AD5-7E35280FCE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901B-84C5-4786-9274-11251D5EDCA9}">
  <dimension ref="A1:C3050"/>
  <sheetViews>
    <sheetView zoomScale="115" zoomScaleNormal="115" workbookViewId="0">
      <selection sqref="A1:C3053"/>
    </sheetView>
  </sheetViews>
  <sheetFormatPr defaultRowHeight="14.25" x14ac:dyDescent="0.2"/>
  <cols>
    <col min="1" max="1" width="20.5" style="1" bestFit="1" customWidth="1"/>
  </cols>
  <sheetData>
    <row r="1" spans="1:3" ht="16.5" x14ac:dyDescent="0.2">
      <c r="A1" s="4" t="s">
        <v>352</v>
      </c>
      <c r="B1" s="15">
        <v>1</v>
      </c>
      <c r="C1">
        <f>MOD(B1,8)</f>
        <v>1</v>
      </c>
    </row>
    <row r="2" spans="1:3" ht="16.5" x14ac:dyDescent="0.2">
      <c r="A2" s="4" t="s">
        <v>352</v>
      </c>
      <c r="B2">
        <v>2</v>
      </c>
      <c r="C2">
        <f>MOD(B2,8)</f>
        <v>2</v>
      </c>
    </row>
    <row r="3" spans="1:3" ht="16.5" x14ac:dyDescent="0.2">
      <c r="A3" s="4" t="s">
        <v>352</v>
      </c>
      <c r="B3" s="15">
        <v>3</v>
      </c>
      <c r="C3">
        <f>MOD(B3,8)</f>
        <v>3</v>
      </c>
    </row>
    <row r="4" spans="1:3" ht="16.5" x14ac:dyDescent="0.2">
      <c r="A4" s="4" t="s">
        <v>352</v>
      </c>
      <c r="B4">
        <v>4</v>
      </c>
      <c r="C4">
        <f>MOD(B4,8)</f>
        <v>4</v>
      </c>
    </row>
    <row r="5" spans="1:3" ht="16.5" x14ac:dyDescent="0.2">
      <c r="A5" s="5" t="s">
        <v>352</v>
      </c>
      <c r="B5" s="15">
        <v>5</v>
      </c>
      <c r="C5">
        <f>MOD(B5,8)</f>
        <v>5</v>
      </c>
    </row>
    <row r="6" spans="1:3" ht="16.5" x14ac:dyDescent="0.2">
      <c r="A6" s="5" t="s">
        <v>352</v>
      </c>
      <c r="B6">
        <v>6</v>
      </c>
      <c r="C6">
        <f>MOD(B6,8)</f>
        <v>6</v>
      </c>
    </row>
    <row r="7" spans="1:3" ht="16.5" x14ac:dyDescent="0.2">
      <c r="A7" s="5" t="s">
        <v>352</v>
      </c>
      <c r="B7" s="15">
        <v>7</v>
      </c>
      <c r="C7">
        <f>MOD(B7,8)</f>
        <v>7</v>
      </c>
    </row>
    <row r="8" spans="1:3" ht="16.5" x14ac:dyDescent="0.2">
      <c r="A8" s="5" t="s">
        <v>352</v>
      </c>
      <c r="B8">
        <v>8</v>
      </c>
      <c r="C8">
        <f>MOD(B8,8)</f>
        <v>0</v>
      </c>
    </row>
    <row r="9" spans="1:3" ht="16.5" x14ac:dyDescent="0.2">
      <c r="A9" s="4" t="s">
        <v>351</v>
      </c>
      <c r="B9" s="15">
        <v>9</v>
      </c>
      <c r="C9">
        <f>MOD(B9,8)</f>
        <v>1</v>
      </c>
    </row>
    <row r="10" spans="1:3" ht="16.5" x14ac:dyDescent="0.2">
      <c r="A10" s="4" t="s">
        <v>351</v>
      </c>
      <c r="B10">
        <v>10</v>
      </c>
      <c r="C10">
        <f>MOD(B10,8)</f>
        <v>2</v>
      </c>
    </row>
    <row r="11" spans="1:3" ht="16.5" x14ac:dyDescent="0.2">
      <c r="A11" s="4" t="s">
        <v>351</v>
      </c>
      <c r="B11" s="15">
        <v>11</v>
      </c>
      <c r="C11">
        <f>MOD(B11,8)</f>
        <v>3</v>
      </c>
    </row>
    <row r="12" spans="1:3" ht="16.5" x14ac:dyDescent="0.2">
      <c r="A12" s="4" t="s">
        <v>351</v>
      </c>
      <c r="B12">
        <v>12</v>
      </c>
      <c r="C12">
        <f>MOD(B12,8)</f>
        <v>4</v>
      </c>
    </row>
    <row r="13" spans="1:3" ht="16.5" x14ac:dyDescent="0.2">
      <c r="A13" s="4" t="s">
        <v>351</v>
      </c>
      <c r="B13" s="15">
        <v>13</v>
      </c>
      <c r="C13">
        <f>MOD(B13,8)</f>
        <v>5</v>
      </c>
    </row>
    <row r="14" spans="1:3" ht="16.5" x14ac:dyDescent="0.2">
      <c r="A14" s="4" t="s">
        <v>351</v>
      </c>
      <c r="B14">
        <v>14</v>
      </c>
      <c r="C14">
        <f>MOD(B14,8)</f>
        <v>6</v>
      </c>
    </row>
    <row r="15" spans="1:3" ht="16.5" x14ac:dyDescent="0.2">
      <c r="A15" s="4" t="s">
        <v>351</v>
      </c>
      <c r="B15" s="15">
        <v>15</v>
      </c>
      <c r="C15">
        <f>MOD(B15,8)</f>
        <v>7</v>
      </c>
    </row>
    <row r="16" spans="1:3" ht="16.5" x14ac:dyDescent="0.2">
      <c r="A16" s="4" t="s">
        <v>351</v>
      </c>
      <c r="B16">
        <v>16</v>
      </c>
      <c r="C16">
        <f>MOD(B16,8)</f>
        <v>0</v>
      </c>
    </row>
    <row r="17" spans="1:3" ht="16.5" x14ac:dyDescent="0.2">
      <c r="A17" s="4" t="s">
        <v>350</v>
      </c>
      <c r="B17" s="15">
        <v>17</v>
      </c>
      <c r="C17">
        <f>MOD(B17,8)</f>
        <v>1</v>
      </c>
    </row>
    <row r="18" spans="1:3" ht="16.5" x14ac:dyDescent="0.2">
      <c r="A18" s="4" t="s">
        <v>350</v>
      </c>
      <c r="B18">
        <v>18</v>
      </c>
      <c r="C18">
        <f>MOD(B18,8)</f>
        <v>2</v>
      </c>
    </row>
    <row r="19" spans="1:3" ht="16.5" x14ac:dyDescent="0.2">
      <c r="A19" s="4" t="s">
        <v>350</v>
      </c>
      <c r="B19" s="15">
        <v>19</v>
      </c>
      <c r="C19">
        <f>MOD(B19,8)</f>
        <v>3</v>
      </c>
    </row>
    <row r="20" spans="1:3" ht="16.5" x14ac:dyDescent="0.2">
      <c r="A20" s="4" t="s">
        <v>350</v>
      </c>
      <c r="B20">
        <v>20</v>
      </c>
      <c r="C20">
        <f>MOD(B20,8)</f>
        <v>4</v>
      </c>
    </row>
    <row r="21" spans="1:3" ht="16.5" x14ac:dyDescent="0.2">
      <c r="A21" s="4" t="s">
        <v>350</v>
      </c>
      <c r="B21" s="15">
        <v>21</v>
      </c>
      <c r="C21">
        <f>MOD(B21,8)</f>
        <v>5</v>
      </c>
    </row>
    <row r="22" spans="1:3" ht="16.5" x14ac:dyDescent="0.2">
      <c r="A22" s="4" t="s">
        <v>350</v>
      </c>
      <c r="B22">
        <v>22</v>
      </c>
      <c r="C22">
        <f>MOD(B22,8)</f>
        <v>6</v>
      </c>
    </row>
    <row r="23" spans="1:3" ht="16.5" x14ac:dyDescent="0.2">
      <c r="A23" s="4" t="s">
        <v>350</v>
      </c>
      <c r="B23" s="15">
        <v>23</v>
      </c>
      <c r="C23">
        <f>MOD(B23,8)</f>
        <v>7</v>
      </c>
    </row>
    <row r="24" spans="1:3" ht="16.5" x14ac:dyDescent="0.2">
      <c r="A24" s="4" t="s">
        <v>350</v>
      </c>
      <c r="B24">
        <v>24</v>
      </c>
      <c r="C24">
        <f>MOD(B24,8)</f>
        <v>0</v>
      </c>
    </row>
    <row r="25" spans="1:3" ht="16.5" x14ac:dyDescent="0.2">
      <c r="A25" s="4" t="s">
        <v>349</v>
      </c>
      <c r="B25" s="15">
        <v>25</v>
      </c>
      <c r="C25">
        <f>MOD(B25,8)</f>
        <v>1</v>
      </c>
    </row>
    <row r="26" spans="1:3" ht="16.5" x14ac:dyDescent="0.2">
      <c r="A26" s="4" t="s">
        <v>349</v>
      </c>
      <c r="B26">
        <v>26</v>
      </c>
      <c r="C26">
        <f>MOD(B26,8)</f>
        <v>2</v>
      </c>
    </row>
    <row r="27" spans="1:3" ht="16.5" x14ac:dyDescent="0.2">
      <c r="A27" s="4" t="s">
        <v>349</v>
      </c>
      <c r="B27" s="15">
        <v>27</v>
      </c>
      <c r="C27">
        <f>MOD(B27,8)</f>
        <v>3</v>
      </c>
    </row>
    <row r="28" spans="1:3" ht="16.5" x14ac:dyDescent="0.2">
      <c r="A28" s="4" t="s">
        <v>349</v>
      </c>
      <c r="B28">
        <v>28</v>
      </c>
      <c r="C28">
        <f>MOD(B28,8)</f>
        <v>4</v>
      </c>
    </row>
    <row r="29" spans="1:3" ht="16.5" x14ac:dyDescent="0.2">
      <c r="A29" s="4" t="s">
        <v>349</v>
      </c>
      <c r="B29" s="15">
        <v>29</v>
      </c>
      <c r="C29">
        <f>MOD(B29,8)</f>
        <v>5</v>
      </c>
    </row>
    <row r="30" spans="1:3" ht="16.5" x14ac:dyDescent="0.2">
      <c r="A30" s="4" t="s">
        <v>349</v>
      </c>
      <c r="B30">
        <v>30</v>
      </c>
      <c r="C30">
        <f>MOD(B30,8)</f>
        <v>6</v>
      </c>
    </row>
    <row r="31" spans="1:3" ht="16.5" x14ac:dyDescent="0.2">
      <c r="A31" s="4" t="s">
        <v>349</v>
      </c>
      <c r="B31" s="15">
        <v>31</v>
      </c>
      <c r="C31">
        <f>MOD(B31,8)</f>
        <v>7</v>
      </c>
    </row>
    <row r="32" spans="1:3" ht="16.5" x14ac:dyDescent="0.2">
      <c r="A32" s="4" t="s">
        <v>349</v>
      </c>
      <c r="B32">
        <v>32</v>
      </c>
      <c r="C32">
        <f>MOD(B32,8)</f>
        <v>0</v>
      </c>
    </row>
    <row r="33" spans="1:3" ht="16.5" x14ac:dyDescent="0.2">
      <c r="A33" s="4" t="s">
        <v>348</v>
      </c>
      <c r="B33" s="15">
        <v>33</v>
      </c>
      <c r="C33">
        <f>MOD(B33,8)</f>
        <v>1</v>
      </c>
    </row>
    <row r="34" spans="1:3" ht="16.5" x14ac:dyDescent="0.2">
      <c r="A34" s="4" t="s">
        <v>348</v>
      </c>
      <c r="B34">
        <v>34</v>
      </c>
      <c r="C34">
        <f>MOD(B34,8)</f>
        <v>2</v>
      </c>
    </row>
    <row r="35" spans="1:3" ht="16.5" x14ac:dyDescent="0.2">
      <c r="A35" s="4" t="s">
        <v>348</v>
      </c>
      <c r="B35" s="15">
        <v>35</v>
      </c>
      <c r="C35">
        <f>MOD(B35,8)</f>
        <v>3</v>
      </c>
    </row>
    <row r="36" spans="1:3" ht="16.5" x14ac:dyDescent="0.2">
      <c r="A36" s="4" t="s">
        <v>348</v>
      </c>
      <c r="B36">
        <v>36</v>
      </c>
      <c r="C36">
        <f>MOD(B36,8)</f>
        <v>4</v>
      </c>
    </row>
    <row r="37" spans="1:3" ht="16.5" x14ac:dyDescent="0.2">
      <c r="A37" s="4" t="s">
        <v>348</v>
      </c>
      <c r="B37" s="15">
        <v>37</v>
      </c>
      <c r="C37">
        <f>MOD(B37,8)</f>
        <v>5</v>
      </c>
    </row>
    <row r="38" spans="1:3" ht="16.5" x14ac:dyDescent="0.2">
      <c r="A38" s="4" t="s">
        <v>348</v>
      </c>
      <c r="B38">
        <v>38</v>
      </c>
      <c r="C38">
        <f>MOD(B38,8)</f>
        <v>6</v>
      </c>
    </row>
    <row r="39" spans="1:3" ht="16.5" x14ac:dyDescent="0.2">
      <c r="A39" s="4" t="s">
        <v>348</v>
      </c>
      <c r="B39" s="15">
        <v>39</v>
      </c>
      <c r="C39">
        <f>MOD(B39,8)</f>
        <v>7</v>
      </c>
    </row>
    <row r="40" spans="1:3" ht="16.5" x14ac:dyDescent="0.2">
      <c r="A40" s="4" t="s">
        <v>348</v>
      </c>
      <c r="B40">
        <v>40</v>
      </c>
      <c r="C40">
        <f>MOD(B40,8)</f>
        <v>0</v>
      </c>
    </row>
    <row r="41" spans="1:3" ht="16.5" x14ac:dyDescent="0.2">
      <c r="A41" s="4" t="s">
        <v>347</v>
      </c>
      <c r="B41" s="15">
        <v>41</v>
      </c>
      <c r="C41">
        <f>MOD(B41,8)</f>
        <v>1</v>
      </c>
    </row>
    <row r="42" spans="1:3" ht="16.5" x14ac:dyDescent="0.2">
      <c r="A42" s="4" t="s">
        <v>347</v>
      </c>
      <c r="B42">
        <v>42</v>
      </c>
      <c r="C42">
        <f>MOD(B42,8)</f>
        <v>2</v>
      </c>
    </row>
    <row r="43" spans="1:3" ht="16.5" x14ac:dyDescent="0.2">
      <c r="A43" s="4" t="s">
        <v>347</v>
      </c>
      <c r="B43" s="15">
        <v>43</v>
      </c>
      <c r="C43">
        <f>MOD(B43,8)</f>
        <v>3</v>
      </c>
    </row>
    <row r="44" spans="1:3" ht="16.5" x14ac:dyDescent="0.2">
      <c r="A44" s="4" t="s">
        <v>347</v>
      </c>
      <c r="B44">
        <v>44</v>
      </c>
      <c r="C44">
        <f>MOD(B44,8)</f>
        <v>4</v>
      </c>
    </row>
    <row r="45" spans="1:3" ht="16.5" x14ac:dyDescent="0.2">
      <c r="A45" s="4" t="s">
        <v>347</v>
      </c>
      <c r="B45" s="15">
        <v>45</v>
      </c>
      <c r="C45">
        <f>MOD(B45,8)</f>
        <v>5</v>
      </c>
    </row>
    <row r="46" spans="1:3" ht="16.5" x14ac:dyDescent="0.2">
      <c r="A46" s="4" t="s">
        <v>347</v>
      </c>
      <c r="B46">
        <v>46</v>
      </c>
      <c r="C46">
        <f>MOD(B46,8)</f>
        <v>6</v>
      </c>
    </row>
    <row r="47" spans="1:3" ht="16.5" x14ac:dyDescent="0.2">
      <c r="A47" s="4" t="s">
        <v>347</v>
      </c>
      <c r="B47" s="15">
        <v>47</v>
      </c>
      <c r="C47">
        <f>MOD(B47,8)</f>
        <v>7</v>
      </c>
    </row>
    <row r="48" spans="1:3" ht="16.5" x14ac:dyDescent="0.2">
      <c r="A48" s="4" t="s">
        <v>347</v>
      </c>
      <c r="B48">
        <v>48</v>
      </c>
      <c r="C48">
        <f>MOD(B48,8)</f>
        <v>0</v>
      </c>
    </row>
    <row r="49" spans="1:3" ht="16.5" x14ac:dyDescent="0.2">
      <c r="A49" s="4" t="s">
        <v>346</v>
      </c>
      <c r="B49" s="15">
        <v>49</v>
      </c>
      <c r="C49">
        <f>MOD(B49,8)</f>
        <v>1</v>
      </c>
    </row>
    <row r="50" spans="1:3" ht="16.5" x14ac:dyDescent="0.2">
      <c r="A50" s="4" t="s">
        <v>346</v>
      </c>
      <c r="B50">
        <v>50</v>
      </c>
      <c r="C50">
        <f>MOD(B50,8)</f>
        <v>2</v>
      </c>
    </row>
    <row r="51" spans="1:3" ht="16.5" x14ac:dyDescent="0.2">
      <c r="A51" s="4" t="s">
        <v>346</v>
      </c>
      <c r="B51" s="15">
        <v>51</v>
      </c>
      <c r="C51">
        <f>MOD(B51,8)</f>
        <v>3</v>
      </c>
    </row>
    <row r="52" spans="1:3" ht="16.5" x14ac:dyDescent="0.2">
      <c r="A52" s="4" t="s">
        <v>346</v>
      </c>
      <c r="B52">
        <v>52</v>
      </c>
      <c r="C52">
        <f>MOD(B52,8)</f>
        <v>4</v>
      </c>
    </row>
    <row r="53" spans="1:3" ht="16.5" x14ac:dyDescent="0.2">
      <c r="A53" s="4" t="s">
        <v>346</v>
      </c>
      <c r="B53" s="15">
        <v>53</v>
      </c>
      <c r="C53">
        <f>MOD(B53,8)</f>
        <v>5</v>
      </c>
    </row>
    <row r="54" spans="1:3" ht="16.5" x14ac:dyDescent="0.2">
      <c r="A54" s="4" t="s">
        <v>346</v>
      </c>
      <c r="B54">
        <v>54</v>
      </c>
      <c r="C54">
        <f>MOD(B54,8)</f>
        <v>6</v>
      </c>
    </row>
    <row r="55" spans="1:3" ht="16.5" x14ac:dyDescent="0.2">
      <c r="A55" s="4" t="s">
        <v>346</v>
      </c>
      <c r="B55" s="15">
        <v>55</v>
      </c>
      <c r="C55">
        <f>MOD(B55,8)</f>
        <v>7</v>
      </c>
    </row>
    <row r="56" spans="1:3" ht="16.5" x14ac:dyDescent="0.2">
      <c r="A56" s="4" t="s">
        <v>346</v>
      </c>
      <c r="B56">
        <v>56</v>
      </c>
      <c r="C56">
        <f>MOD(B56,8)</f>
        <v>0</v>
      </c>
    </row>
    <row r="57" spans="1:3" ht="16.5" x14ac:dyDescent="0.2">
      <c r="A57" s="4" t="s">
        <v>345</v>
      </c>
      <c r="B57" s="15">
        <v>57</v>
      </c>
      <c r="C57">
        <f>MOD(B57,8)</f>
        <v>1</v>
      </c>
    </row>
    <row r="58" spans="1:3" ht="16.5" x14ac:dyDescent="0.2">
      <c r="A58" s="4" t="s">
        <v>345</v>
      </c>
      <c r="B58">
        <v>58</v>
      </c>
      <c r="C58">
        <f>MOD(B58,8)</f>
        <v>2</v>
      </c>
    </row>
    <row r="59" spans="1:3" ht="16.5" x14ac:dyDescent="0.2">
      <c r="A59" s="4" t="s">
        <v>345</v>
      </c>
      <c r="B59" s="15">
        <v>59</v>
      </c>
      <c r="C59">
        <f>MOD(B59,8)</f>
        <v>3</v>
      </c>
    </row>
    <row r="60" spans="1:3" ht="16.5" x14ac:dyDescent="0.2">
      <c r="A60" s="4" t="s">
        <v>345</v>
      </c>
      <c r="B60">
        <v>60</v>
      </c>
      <c r="C60">
        <f>MOD(B60,8)</f>
        <v>4</v>
      </c>
    </row>
    <row r="61" spans="1:3" ht="16.5" x14ac:dyDescent="0.2">
      <c r="A61" s="4" t="s">
        <v>345</v>
      </c>
      <c r="B61" s="15">
        <v>61</v>
      </c>
      <c r="C61">
        <f>MOD(B61,8)</f>
        <v>5</v>
      </c>
    </row>
    <row r="62" spans="1:3" ht="16.5" x14ac:dyDescent="0.2">
      <c r="A62" s="4" t="s">
        <v>345</v>
      </c>
      <c r="B62">
        <v>62</v>
      </c>
      <c r="C62">
        <f>MOD(B62,8)</f>
        <v>6</v>
      </c>
    </row>
    <row r="63" spans="1:3" ht="16.5" x14ac:dyDescent="0.2">
      <c r="A63" s="4" t="s">
        <v>345</v>
      </c>
      <c r="B63" s="15">
        <v>63</v>
      </c>
      <c r="C63">
        <f>MOD(B63,8)</f>
        <v>7</v>
      </c>
    </row>
    <row r="64" spans="1:3" ht="16.5" x14ac:dyDescent="0.2">
      <c r="A64" s="4" t="s">
        <v>345</v>
      </c>
      <c r="B64">
        <v>64</v>
      </c>
      <c r="C64">
        <f>MOD(B64,8)</f>
        <v>0</v>
      </c>
    </row>
    <row r="65" spans="1:3" ht="16.5" x14ac:dyDescent="0.2">
      <c r="A65" s="4" t="s">
        <v>344</v>
      </c>
      <c r="B65" s="15">
        <v>65</v>
      </c>
      <c r="C65">
        <f>MOD(B65,8)</f>
        <v>1</v>
      </c>
    </row>
    <row r="66" spans="1:3" ht="16.5" x14ac:dyDescent="0.2">
      <c r="A66" s="4" t="s">
        <v>344</v>
      </c>
      <c r="B66">
        <v>66</v>
      </c>
      <c r="C66">
        <f>MOD(B66,8)</f>
        <v>2</v>
      </c>
    </row>
    <row r="67" spans="1:3" ht="16.5" x14ac:dyDescent="0.2">
      <c r="A67" s="4" t="s">
        <v>344</v>
      </c>
      <c r="B67" s="15">
        <v>67</v>
      </c>
      <c r="C67">
        <f>MOD(B67,8)</f>
        <v>3</v>
      </c>
    </row>
    <row r="68" spans="1:3" ht="16.5" x14ac:dyDescent="0.2">
      <c r="A68" s="4" t="s">
        <v>344</v>
      </c>
      <c r="B68">
        <v>68</v>
      </c>
      <c r="C68">
        <f>MOD(B68,8)</f>
        <v>4</v>
      </c>
    </row>
    <row r="69" spans="1:3" ht="16.5" x14ac:dyDescent="0.2">
      <c r="A69" s="4" t="s">
        <v>344</v>
      </c>
      <c r="B69" s="15">
        <v>69</v>
      </c>
      <c r="C69">
        <f>MOD(B69,8)</f>
        <v>5</v>
      </c>
    </row>
    <row r="70" spans="1:3" ht="16.5" x14ac:dyDescent="0.2">
      <c r="A70" s="4" t="s">
        <v>344</v>
      </c>
      <c r="B70">
        <v>70</v>
      </c>
      <c r="C70">
        <f>MOD(B70,8)</f>
        <v>6</v>
      </c>
    </row>
    <row r="71" spans="1:3" ht="16.5" x14ac:dyDescent="0.2">
      <c r="A71" s="4" t="s">
        <v>344</v>
      </c>
      <c r="B71" s="15">
        <v>71</v>
      </c>
      <c r="C71">
        <f>MOD(B71,8)</f>
        <v>7</v>
      </c>
    </row>
    <row r="72" spans="1:3" ht="16.5" x14ac:dyDescent="0.2">
      <c r="A72" s="4" t="s">
        <v>344</v>
      </c>
      <c r="B72">
        <v>72</v>
      </c>
      <c r="C72">
        <f>MOD(B72,8)</f>
        <v>0</v>
      </c>
    </row>
    <row r="73" spans="1:3" ht="16.5" x14ac:dyDescent="0.2">
      <c r="A73" s="4" t="s">
        <v>343</v>
      </c>
      <c r="B73" s="15">
        <v>73</v>
      </c>
      <c r="C73">
        <f>MOD(B73,8)</f>
        <v>1</v>
      </c>
    </row>
    <row r="74" spans="1:3" ht="16.5" x14ac:dyDescent="0.2">
      <c r="A74" s="4" t="s">
        <v>343</v>
      </c>
      <c r="B74">
        <v>74</v>
      </c>
      <c r="C74">
        <f>MOD(B74,8)</f>
        <v>2</v>
      </c>
    </row>
    <row r="75" spans="1:3" ht="16.5" x14ac:dyDescent="0.2">
      <c r="A75" s="4" t="s">
        <v>343</v>
      </c>
      <c r="B75" s="15">
        <v>75</v>
      </c>
      <c r="C75">
        <f>MOD(B75,8)</f>
        <v>3</v>
      </c>
    </row>
    <row r="76" spans="1:3" ht="16.5" x14ac:dyDescent="0.2">
      <c r="A76" s="4" t="s">
        <v>343</v>
      </c>
      <c r="B76">
        <v>76</v>
      </c>
      <c r="C76">
        <f>MOD(B76,8)</f>
        <v>4</v>
      </c>
    </row>
    <row r="77" spans="1:3" ht="16.5" x14ac:dyDescent="0.2">
      <c r="A77" s="4" t="s">
        <v>343</v>
      </c>
      <c r="B77" s="15">
        <v>77</v>
      </c>
      <c r="C77">
        <f>MOD(B77,8)</f>
        <v>5</v>
      </c>
    </row>
    <row r="78" spans="1:3" ht="16.5" x14ac:dyDescent="0.2">
      <c r="A78" s="4" t="s">
        <v>343</v>
      </c>
      <c r="B78">
        <v>78</v>
      </c>
      <c r="C78">
        <f>MOD(B78,8)</f>
        <v>6</v>
      </c>
    </row>
    <row r="79" spans="1:3" ht="16.5" x14ac:dyDescent="0.2">
      <c r="A79" s="4" t="s">
        <v>343</v>
      </c>
      <c r="B79" s="15">
        <v>79</v>
      </c>
      <c r="C79">
        <f>MOD(B79,8)</f>
        <v>7</v>
      </c>
    </row>
    <row r="80" spans="1:3" ht="16.5" x14ac:dyDescent="0.2">
      <c r="A80" s="4" t="s">
        <v>343</v>
      </c>
      <c r="B80">
        <v>80</v>
      </c>
      <c r="C80">
        <f>MOD(B80,8)</f>
        <v>0</v>
      </c>
    </row>
    <row r="81" spans="1:3" ht="16.5" x14ac:dyDescent="0.2">
      <c r="A81" s="4" t="s">
        <v>342</v>
      </c>
      <c r="B81" s="15">
        <v>81</v>
      </c>
      <c r="C81">
        <f>MOD(B81,8)</f>
        <v>1</v>
      </c>
    </row>
    <row r="82" spans="1:3" ht="16.5" x14ac:dyDescent="0.2">
      <c r="A82" s="4" t="s">
        <v>342</v>
      </c>
      <c r="B82">
        <v>82</v>
      </c>
      <c r="C82">
        <f>MOD(B82,8)</f>
        <v>2</v>
      </c>
    </row>
    <row r="83" spans="1:3" ht="16.5" x14ac:dyDescent="0.2">
      <c r="A83" s="4" t="s">
        <v>342</v>
      </c>
      <c r="B83" s="15">
        <v>83</v>
      </c>
      <c r="C83">
        <f>MOD(B83,8)</f>
        <v>3</v>
      </c>
    </row>
    <row r="84" spans="1:3" ht="16.5" x14ac:dyDescent="0.2">
      <c r="A84" s="4" t="s">
        <v>342</v>
      </c>
      <c r="B84">
        <v>84</v>
      </c>
      <c r="C84">
        <f>MOD(B84,8)</f>
        <v>4</v>
      </c>
    </row>
    <row r="85" spans="1:3" ht="16.5" x14ac:dyDescent="0.2">
      <c r="A85" s="4" t="s">
        <v>342</v>
      </c>
      <c r="B85" s="15">
        <v>85</v>
      </c>
      <c r="C85">
        <f>MOD(B85,8)</f>
        <v>5</v>
      </c>
    </row>
    <row r="86" spans="1:3" ht="16.5" x14ac:dyDescent="0.2">
      <c r="A86" s="4" t="s">
        <v>342</v>
      </c>
      <c r="B86">
        <v>86</v>
      </c>
      <c r="C86">
        <f>MOD(B86,8)</f>
        <v>6</v>
      </c>
    </row>
    <row r="87" spans="1:3" ht="16.5" x14ac:dyDescent="0.2">
      <c r="A87" s="4" t="s">
        <v>342</v>
      </c>
      <c r="B87" s="15">
        <v>87</v>
      </c>
      <c r="C87">
        <f>MOD(B87,8)</f>
        <v>7</v>
      </c>
    </row>
    <row r="88" spans="1:3" ht="16.5" x14ac:dyDescent="0.2">
      <c r="A88" s="4" t="s">
        <v>342</v>
      </c>
      <c r="B88">
        <v>88</v>
      </c>
      <c r="C88">
        <f>MOD(B88,8)</f>
        <v>0</v>
      </c>
    </row>
    <row r="89" spans="1:3" ht="16.5" x14ac:dyDescent="0.2">
      <c r="A89" s="4" t="s">
        <v>341</v>
      </c>
      <c r="B89" s="15">
        <v>89</v>
      </c>
      <c r="C89">
        <f>MOD(B89,8)</f>
        <v>1</v>
      </c>
    </row>
    <row r="90" spans="1:3" ht="16.5" x14ac:dyDescent="0.2">
      <c r="A90" s="4" t="s">
        <v>341</v>
      </c>
      <c r="B90">
        <v>90</v>
      </c>
      <c r="C90">
        <f>MOD(B90,8)</f>
        <v>2</v>
      </c>
    </row>
    <row r="91" spans="1:3" ht="16.5" x14ac:dyDescent="0.2">
      <c r="A91" s="4" t="s">
        <v>341</v>
      </c>
      <c r="B91" s="15">
        <v>91</v>
      </c>
      <c r="C91">
        <f>MOD(B91,8)</f>
        <v>3</v>
      </c>
    </row>
    <row r="92" spans="1:3" ht="16.5" x14ac:dyDescent="0.2">
      <c r="A92" s="4" t="s">
        <v>341</v>
      </c>
      <c r="B92">
        <v>92</v>
      </c>
      <c r="C92">
        <f>MOD(B92,8)</f>
        <v>4</v>
      </c>
    </row>
    <row r="93" spans="1:3" ht="16.5" x14ac:dyDescent="0.2">
      <c r="A93" s="4" t="s">
        <v>341</v>
      </c>
      <c r="B93" s="15">
        <v>93</v>
      </c>
      <c r="C93">
        <f>MOD(B93,8)</f>
        <v>5</v>
      </c>
    </row>
    <row r="94" spans="1:3" ht="16.5" x14ac:dyDescent="0.2">
      <c r="A94" s="4" t="s">
        <v>341</v>
      </c>
      <c r="B94">
        <v>94</v>
      </c>
      <c r="C94">
        <f>MOD(B94,8)</f>
        <v>6</v>
      </c>
    </row>
    <row r="95" spans="1:3" ht="16.5" x14ac:dyDescent="0.2">
      <c r="A95" s="4" t="s">
        <v>341</v>
      </c>
      <c r="B95" s="15">
        <v>95</v>
      </c>
      <c r="C95">
        <f>MOD(B95,8)</f>
        <v>7</v>
      </c>
    </row>
    <row r="96" spans="1:3" ht="16.5" x14ac:dyDescent="0.2">
      <c r="A96" s="4" t="s">
        <v>341</v>
      </c>
      <c r="B96">
        <v>96</v>
      </c>
      <c r="C96">
        <f>MOD(B96,8)</f>
        <v>0</v>
      </c>
    </row>
    <row r="97" spans="1:3" ht="16.5" x14ac:dyDescent="0.2">
      <c r="A97" s="4" t="s">
        <v>340</v>
      </c>
      <c r="B97" s="15">
        <v>97</v>
      </c>
      <c r="C97">
        <f>MOD(B97,8)</f>
        <v>1</v>
      </c>
    </row>
    <row r="98" spans="1:3" ht="16.5" x14ac:dyDescent="0.2">
      <c r="A98" s="4" t="s">
        <v>340</v>
      </c>
      <c r="B98">
        <v>98</v>
      </c>
      <c r="C98">
        <f>MOD(B98,8)</f>
        <v>2</v>
      </c>
    </row>
    <row r="99" spans="1:3" ht="16.5" x14ac:dyDescent="0.2">
      <c r="A99" s="4" t="s">
        <v>340</v>
      </c>
      <c r="B99" s="15">
        <v>99</v>
      </c>
      <c r="C99">
        <f>MOD(B99,8)</f>
        <v>3</v>
      </c>
    </row>
    <row r="100" spans="1:3" ht="16.5" x14ac:dyDescent="0.2">
      <c r="A100" s="4" t="s">
        <v>340</v>
      </c>
      <c r="B100">
        <v>100</v>
      </c>
      <c r="C100">
        <f>MOD(B100,8)</f>
        <v>4</v>
      </c>
    </row>
    <row r="101" spans="1:3" ht="16.5" x14ac:dyDescent="0.2">
      <c r="A101" s="4" t="s">
        <v>340</v>
      </c>
      <c r="B101" s="15">
        <v>101</v>
      </c>
      <c r="C101">
        <f>MOD(B101,8)</f>
        <v>5</v>
      </c>
    </row>
    <row r="102" spans="1:3" ht="16.5" x14ac:dyDescent="0.2">
      <c r="A102" s="4" t="s">
        <v>340</v>
      </c>
      <c r="B102">
        <v>102</v>
      </c>
      <c r="C102">
        <f>MOD(B102,8)</f>
        <v>6</v>
      </c>
    </row>
    <row r="103" spans="1:3" ht="16.5" x14ac:dyDescent="0.2">
      <c r="A103" s="4" t="s">
        <v>340</v>
      </c>
      <c r="B103" s="15">
        <v>103</v>
      </c>
      <c r="C103">
        <f>MOD(B103,8)</f>
        <v>7</v>
      </c>
    </row>
    <row r="104" spans="1:3" ht="16.5" x14ac:dyDescent="0.2">
      <c r="A104" s="4" t="s">
        <v>340</v>
      </c>
      <c r="B104">
        <v>104</v>
      </c>
      <c r="C104">
        <f>MOD(B104,8)</f>
        <v>0</v>
      </c>
    </row>
    <row r="105" spans="1:3" ht="16.5" x14ac:dyDescent="0.2">
      <c r="A105" s="4" t="s">
        <v>339</v>
      </c>
      <c r="B105" s="15">
        <v>105</v>
      </c>
      <c r="C105">
        <f>MOD(B105,8)</f>
        <v>1</v>
      </c>
    </row>
    <row r="106" spans="1:3" ht="16.5" x14ac:dyDescent="0.2">
      <c r="A106" s="4" t="s">
        <v>339</v>
      </c>
      <c r="B106">
        <v>106</v>
      </c>
      <c r="C106">
        <f>MOD(B106,8)</f>
        <v>2</v>
      </c>
    </row>
    <row r="107" spans="1:3" ht="16.5" x14ac:dyDescent="0.2">
      <c r="A107" s="4" t="s">
        <v>339</v>
      </c>
      <c r="B107" s="15">
        <v>107</v>
      </c>
      <c r="C107">
        <f>MOD(B107,8)</f>
        <v>3</v>
      </c>
    </row>
    <row r="108" spans="1:3" ht="16.5" x14ac:dyDescent="0.2">
      <c r="A108" s="4" t="s">
        <v>339</v>
      </c>
      <c r="B108">
        <v>108</v>
      </c>
      <c r="C108">
        <f>MOD(B108,8)</f>
        <v>4</v>
      </c>
    </row>
    <row r="109" spans="1:3" ht="16.5" x14ac:dyDescent="0.2">
      <c r="A109" s="4" t="s">
        <v>339</v>
      </c>
      <c r="B109" s="15">
        <v>109</v>
      </c>
      <c r="C109">
        <f>MOD(B109,8)</f>
        <v>5</v>
      </c>
    </row>
    <row r="110" spans="1:3" ht="16.5" x14ac:dyDescent="0.2">
      <c r="A110" s="4" t="s">
        <v>339</v>
      </c>
      <c r="B110">
        <v>110</v>
      </c>
      <c r="C110">
        <f>MOD(B110,8)</f>
        <v>6</v>
      </c>
    </row>
    <row r="111" spans="1:3" ht="16.5" x14ac:dyDescent="0.2">
      <c r="A111" s="4" t="s">
        <v>339</v>
      </c>
      <c r="B111" s="15">
        <v>111</v>
      </c>
      <c r="C111">
        <f>MOD(B111,8)</f>
        <v>7</v>
      </c>
    </row>
    <row r="112" spans="1:3" ht="16.5" x14ac:dyDescent="0.2">
      <c r="A112" s="4" t="s">
        <v>339</v>
      </c>
      <c r="B112">
        <v>112</v>
      </c>
      <c r="C112">
        <f>MOD(B112,8)</f>
        <v>0</v>
      </c>
    </row>
    <row r="113" spans="1:3" ht="16.5" x14ac:dyDescent="0.2">
      <c r="A113" s="4" t="s">
        <v>338</v>
      </c>
      <c r="B113" s="15">
        <v>113</v>
      </c>
      <c r="C113">
        <f>MOD(B113,8)</f>
        <v>1</v>
      </c>
    </row>
    <row r="114" spans="1:3" ht="16.5" x14ac:dyDescent="0.2">
      <c r="A114" s="4" t="s">
        <v>338</v>
      </c>
      <c r="B114">
        <v>114</v>
      </c>
      <c r="C114">
        <f>MOD(B114,8)</f>
        <v>2</v>
      </c>
    </row>
    <row r="115" spans="1:3" ht="16.5" x14ac:dyDescent="0.2">
      <c r="A115" s="4" t="s">
        <v>338</v>
      </c>
      <c r="B115" s="15">
        <v>115</v>
      </c>
      <c r="C115">
        <f>MOD(B115,8)</f>
        <v>3</v>
      </c>
    </row>
    <row r="116" spans="1:3" ht="16.5" x14ac:dyDescent="0.2">
      <c r="A116" s="4" t="s">
        <v>338</v>
      </c>
      <c r="B116">
        <v>116</v>
      </c>
      <c r="C116">
        <f>MOD(B116,8)</f>
        <v>4</v>
      </c>
    </row>
    <row r="117" spans="1:3" ht="16.5" x14ac:dyDescent="0.2">
      <c r="A117" s="4" t="s">
        <v>338</v>
      </c>
      <c r="B117" s="15">
        <v>117</v>
      </c>
      <c r="C117">
        <f>MOD(B117,8)</f>
        <v>5</v>
      </c>
    </row>
    <row r="118" spans="1:3" ht="16.5" x14ac:dyDescent="0.2">
      <c r="A118" s="4" t="s">
        <v>338</v>
      </c>
      <c r="B118">
        <v>118</v>
      </c>
      <c r="C118">
        <f>MOD(B118,8)</f>
        <v>6</v>
      </c>
    </row>
    <row r="119" spans="1:3" ht="16.5" x14ac:dyDescent="0.2">
      <c r="A119" s="4" t="s">
        <v>338</v>
      </c>
      <c r="B119" s="15">
        <v>119</v>
      </c>
      <c r="C119">
        <f>MOD(B119,8)</f>
        <v>7</v>
      </c>
    </row>
    <row r="120" spans="1:3" ht="16.5" x14ac:dyDescent="0.2">
      <c r="A120" s="4" t="s">
        <v>338</v>
      </c>
      <c r="B120">
        <v>120</v>
      </c>
      <c r="C120">
        <f>MOD(B120,8)</f>
        <v>0</v>
      </c>
    </row>
    <row r="121" spans="1:3" ht="16.5" x14ac:dyDescent="0.2">
      <c r="A121" s="4" t="s">
        <v>337</v>
      </c>
      <c r="B121" s="15">
        <v>121</v>
      </c>
      <c r="C121">
        <f>MOD(B121,8)</f>
        <v>1</v>
      </c>
    </row>
    <row r="122" spans="1:3" ht="16.5" x14ac:dyDescent="0.2">
      <c r="A122" s="4" t="s">
        <v>337</v>
      </c>
      <c r="B122">
        <v>122</v>
      </c>
      <c r="C122">
        <f>MOD(B122,8)</f>
        <v>2</v>
      </c>
    </row>
    <row r="123" spans="1:3" ht="16.5" x14ac:dyDescent="0.2">
      <c r="A123" s="4" t="s">
        <v>337</v>
      </c>
      <c r="B123" s="15">
        <v>123</v>
      </c>
      <c r="C123">
        <f>MOD(B123,8)</f>
        <v>3</v>
      </c>
    </row>
    <row r="124" spans="1:3" ht="16.5" x14ac:dyDescent="0.2">
      <c r="A124" s="4" t="s">
        <v>337</v>
      </c>
      <c r="B124">
        <v>124</v>
      </c>
      <c r="C124">
        <f>MOD(B124,8)</f>
        <v>4</v>
      </c>
    </row>
    <row r="125" spans="1:3" ht="16.5" x14ac:dyDescent="0.2">
      <c r="A125" s="4" t="s">
        <v>337</v>
      </c>
      <c r="B125" s="15">
        <v>125</v>
      </c>
      <c r="C125">
        <f>MOD(B125,8)</f>
        <v>5</v>
      </c>
    </row>
    <row r="126" spans="1:3" ht="16.5" x14ac:dyDescent="0.2">
      <c r="A126" s="4" t="s">
        <v>337</v>
      </c>
      <c r="B126">
        <v>126</v>
      </c>
      <c r="C126">
        <f>MOD(B126,8)</f>
        <v>6</v>
      </c>
    </row>
    <row r="127" spans="1:3" ht="16.5" x14ac:dyDescent="0.2">
      <c r="A127" s="4" t="s">
        <v>337</v>
      </c>
      <c r="B127" s="15">
        <v>127</v>
      </c>
      <c r="C127">
        <f>MOD(B127,8)</f>
        <v>7</v>
      </c>
    </row>
    <row r="128" spans="1:3" ht="16.5" x14ac:dyDescent="0.2">
      <c r="A128" s="4" t="s">
        <v>337</v>
      </c>
      <c r="B128">
        <v>128</v>
      </c>
      <c r="C128">
        <f>MOD(B128,8)</f>
        <v>0</v>
      </c>
    </row>
    <row r="129" spans="1:3" ht="16.5" x14ac:dyDescent="0.2">
      <c r="A129" s="4" t="s">
        <v>336</v>
      </c>
      <c r="B129" s="15">
        <v>129</v>
      </c>
      <c r="C129">
        <f>MOD(B129,8)</f>
        <v>1</v>
      </c>
    </row>
    <row r="130" spans="1:3" ht="16.5" x14ac:dyDescent="0.2">
      <c r="A130" s="4" t="s">
        <v>336</v>
      </c>
      <c r="B130">
        <v>130</v>
      </c>
      <c r="C130">
        <f>MOD(B130,8)</f>
        <v>2</v>
      </c>
    </row>
    <row r="131" spans="1:3" ht="16.5" x14ac:dyDescent="0.2">
      <c r="A131" s="4" t="s">
        <v>336</v>
      </c>
      <c r="B131" s="15">
        <v>131</v>
      </c>
      <c r="C131">
        <f>MOD(B131,8)</f>
        <v>3</v>
      </c>
    </row>
    <row r="132" spans="1:3" ht="16.5" x14ac:dyDescent="0.2">
      <c r="A132" s="4" t="s">
        <v>336</v>
      </c>
      <c r="B132">
        <v>132</v>
      </c>
      <c r="C132">
        <f>MOD(B132,8)</f>
        <v>4</v>
      </c>
    </row>
    <row r="133" spans="1:3" ht="16.5" x14ac:dyDescent="0.2">
      <c r="A133" s="4" t="s">
        <v>336</v>
      </c>
      <c r="B133" s="15">
        <v>133</v>
      </c>
      <c r="C133">
        <f>MOD(B133,8)</f>
        <v>5</v>
      </c>
    </row>
    <row r="134" spans="1:3" ht="16.5" x14ac:dyDescent="0.2">
      <c r="A134" s="4" t="s">
        <v>336</v>
      </c>
      <c r="B134">
        <v>134</v>
      </c>
      <c r="C134">
        <f>MOD(B134,8)</f>
        <v>6</v>
      </c>
    </row>
    <row r="135" spans="1:3" ht="16.5" x14ac:dyDescent="0.2">
      <c r="A135" s="4" t="s">
        <v>336</v>
      </c>
      <c r="B135" s="15">
        <v>135</v>
      </c>
      <c r="C135">
        <f>MOD(B135,8)</f>
        <v>7</v>
      </c>
    </row>
    <row r="136" spans="1:3" ht="16.5" x14ac:dyDescent="0.2">
      <c r="A136" s="4" t="s">
        <v>336</v>
      </c>
      <c r="B136">
        <v>136</v>
      </c>
      <c r="C136">
        <f>MOD(B136,8)</f>
        <v>0</v>
      </c>
    </row>
    <row r="137" spans="1:3" ht="16.5" x14ac:dyDescent="0.2">
      <c r="A137" s="4" t="s">
        <v>335</v>
      </c>
      <c r="B137" s="15">
        <v>137</v>
      </c>
      <c r="C137">
        <f>MOD(B137,8)</f>
        <v>1</v>
      </c>
    </row>
    <row r="138" spans="1:3" ht="16.5" x14ac:dyDescent="0.2">
      <c r="A138" s="4" t="s">
        <v>335</v>
      </c>
      <c r="B138">
        <v>138</v>
      </c>
      <c r="C138">
        <f>MOD(B138,8)</f>
        <v>2</v>
      </c>
    </row>
    <row r="139" spans="1:3" ht="16.5" x14ac:dyDescent="0.2">
      <c r="A139" s="4" t="s">
        <v>335</v>
      </c>
      <c r="B139" s="15">
        <v>139</v>
      </c>
      <c r="C139">
        <f>MOD(B139,8)</f>
        <v>3</v>
      </c>
    </row>
    <row r="140" spans="1:3" ht="16.5" x14ac:dyDescent="0.2">
      <c r="A140" s="4" t="s">
        <v>335</v>
      </c>
      <c r="B140">
        <v>140</v>
      </c>
      <c r="C140">
        <f>MOD(B140,8)</f>
        <v>4</v>
      </c>
    </row>
    <row r="141" spans="1:3" ht="16.5" x14ac:dyDescent="0.2">
      <c r="A141" s="4" t="s">
        <v>335</v>
      </c>
      <c r="B141" s="15">
        <v>141</v>
      </c>
      <c r="C141">
        <f>MOD(B141,8)</f>
        <v>5</v>
      </c>
    </row>
    <row r="142" spans="1:3" ht="16.5" x14ac:dyDescent="0.2">
      <c r="A142" s="4" t="s">
        <v>335</v>
      </c>
      <c r="B142">
        <v>142</v>
      </c>
      <c r="C142">
        <f>MOD(B142,8)</f>
        <v>6</v>
      </c>
    </row>
    <row r="143" spans="1:3" ht="16.5" x14ac:dyDescent="0.2">
      <c r="A143" s="4" t="s">
        <v>335</v>
      </c>
      <c r="B143" s="15">
        <v>143</v>
      </c>
      <c r="C143">
        <f>MOD(B143,8)</f>
        <v>7</v>
      </c>
    </row>
    <row r="144" spans="1:3" ht="16.5" x14ac:dyDescent="0.2">
      <c r="A144" s="4" t="s">
        <v>335</v>
      </c>
      <c r="B144">
        <v>144</v>
      </c>
      <c r="C144">
        <f>MOD(B144,8)</f>
        <v>0</v>
      </c>
    </row>
    <row r="145" spans="1:3" ht="16.5" x14ac:dyDescent="0.2">
      <c r="A145" s="4" t="s">
        <v>334</v>
      </c>
      <c r="B145" s="15">
        <v>145</v>
      </c>
      <c r="C145">
        <f>MOD(B145,8)</f>
        <v>1</v>
      </c>
    </row>
    <row r="146" spans="1:3" ht="16.5" x14ac:dyDescent="0.2">
      <c r="A146" s="4" t="s">
        <v>334</v>
      </c>
      <c r="B146">
        <v>146</v>
      </c>
      <c r="C146">
        <f>MOD(B146,8)</f>
        <v>2</v>
      </c>
    </row>
    <row r="147" spans="1:3" ht="16.5" x14ac:dyDescent="0.2">
      <c r="A147" s="4" t="s">
        <v>334</v>
      </c>
      <c r="B147" s="15">
        <v>147</v>
      </c>
      <c r="C147">
        <f>MOD(B147,8)</f>
        <v>3</v>
      </c>
    </row>
    <row r="148" spans="1:3" ht="16.5" x14ac:dyDescent="0.2">
      <c r="A148" s="4" t="s">
        <v>334</v>
      </c>
      <c r="B148">
        <v>148</v>
      </c>
      <c r="C148">
        <f>MOD(B148,8)</f>
        <v>4</v>
      </c>
    </row>
    <row r="149" spans="1:3" ht="16.5" x14ac:dyDescent="0.2">
      <c r="A149" s="4" t="s">
        <v>334</v>
      </c>
      <c r="B149" s="15">
        <v>149</v>
      </c>
      <c r="C149">
        <f>MOD(B149,8)</f>
        <v>5</v>
      </c>
    </row>
    <row r="150" spans="1:3" ht="16.5" x14ac:dyDescent="0.2">
      <c r="A150" s="4" t="s">
        <v>334</v>
      </c>
      <c r="B150">
        <v>150</v>
      </c>
      <c r="C150">
        <f>MOD(B150,8)</f>
        <v>6</v>
      </c>
    </row>
    <row r="151" spans="1:3" ht="16.5" x14ac:dyDescent="0.2">
      <c r="A151" s="4" t="s">
        <v>334</v>
      </c>
      <c r="B151" s="15">
        <v>151</v>
      </c>
      <c r="C151">
        <f>MOD(B151,8)</f>
        <v>7</v>
      </c>
    </row>
    <row r="152" spans="1:3" ht="16.5" x14ac:dyDescent="0.2">
      <c r="A152" s="4" t="s">
        <v>334</v>
      </c>
      <c r="B152">
        <v>152</v>
      </c>
      <c r="C152">
        <f>MOD(B152,8)</f>
        <v>0</v>
      </c>
    </row>
    <row r="153" spans="1:3" ht="16.5" x14ac:dyDescent="0.2">
      <c r="A153" s="4" t="s">
        <v>333</v>
      </c>
      <c r="B153" s="15">
        <v>153</v>
      </c>
      <c r="C153">
        <f>MOD(B153,8)</f>
        <v>1</v>
      </c>
    </row>
    <row r="154" spans="1:3" ht="16.5" x14ac:dyDescent="0.2">
      <c r="A154" s="4" t="s">
        <v>333</v>
      </c>
      <c r="B154">
        <v>154</v>
      </c>
      <c r="C154">
        <f>MOD(B154,8)</f>
        <v>2</v>
      </c>
    </row>
    <row r="155" spans="1:3" ht="16.5" x14ac:dyDescent="0.2">
      <c r="A155" s="4" t="s">
        <v>333</v>
      </c>
      <c r="B155" s="15">
        <v>155</v>
      </c>
      <c r="C155">
        <f>MOD(B155,8)</f>
        <v>3</v>
      </c>
    </row>
    <row r="156" spans="1:3" ht="16.5" x14ac:dyDescent="0.2">
      <c r="A156" s="4" t="s">
        <v>333</v>
      </c>
      <c r="B156">
        <v>156</v>
      </c>
      <c r="C156">
        <f>MOD(B156,8)</f>
        <v>4</v>
      </c>
    </row>
    <row r="157" spans="1:3" ht="16.5" x14ac:dyDescent="0.2">
      <c r="A157" s="4" t="s">
        <v>333</v>
      </c>
      <c r="B157" s="15">
        <v>157</v>
      </c>
      <c r="C157">
        <f>MOD(B157,8)</f>
        <v>5</v>
      </c>
    </row>
    <row r="158" spans="1:3" ht="16.5" x14ac:dyDescent="0.2">
      <c r="A158" s="4" t="s">
        <v>333</v>
      </c>
      <c r="B158">
        <v>158</v>
      </c>
      <c r="C158">
        <f>MOD(B158,8)</f>
        <v>6</v>
      </c>
    </row>
    <row r="159" spans="1:3" ht="16.5" x14ac:dyDescent="0.2">
      <c r="A159" s="4" t="s">
        <v>333</v>
      </c>
      <c r="B159" s="15">
        <v>159</v>
      </c>
      <c r="C159">
        <f>MOD(B159,8)</f>
        <v>7</v>
      </c>
    </row>
    <row r="160" spans="1:3" ht="16.5" x14ac:dyDescent="0.2">
      <c r="A160" s="4" t="s">
        <v>333</v>
      </c>
      <c r="B160">
        <v>160</v>
      </c>
      <c r="C160">
        <f>MOD(B160,8)</f>
        <v>0</v>
      </c>
    </row>
    <row r="161" spans="1:3" ht="16.5" x14ac:dyDescent="0.2">
      <c r="A161" s="4" t="s">
        <v>332</v>
      </c>
      <c r="B161" s="15">
        <v>161</v>
      </c>
      <c r="C161">
        <f>MOD(B161,8)</f>
        <v>1</v>
      </c>
    </row>
    <row r="162" spans="1:3" ht="16.5" x14ac:dyDescent="0.2">
      <c r="A162" s="4" t="s">
        <v>332</v>
      </c>
      <c r="B162">
        <v>162</v>
      </c>
      <c r="C162">
        <f>MOD(B162,8)</f>
        <v>2</v>
      </c>
    </row>
    <row r="163" spans="1:3" ht="16.5" x14ac:dyDescent="0.2">
      <c r="A163" s="4" t="s">
        <v>332</v>
      </c>
      <c r="B163" s="15">
        <v>163</v>
      </c>
      <c r="C163">
        <f>MOD(B163,8)</f>
        <v>3</v>
      </c>
    </row>
    <row r="164" spans="1:3" ht="16.5" x14ac:dyDescent="0.2">
      <c r="A164" s="4" t="s">
        <v>332</v>
      </c>
      <c r="B164">
        <v>164</v>
      </c>
      <c r="C164">
        <f>MOD(B164,8)</f>
        <v>4</v>
      </c>
    </row>
    <row r="165" spans="1:3" ht="16.5" x14ac:dyDescent="0.2">
      <c r="A165" s="4" t="s">
        <v>332</v>
      </c>
      <c r="B165" s="15">
        <v>165</v>
      </c>
      <c r="C165">
        <f>MOD(B165,8)</f>
        <v>5</v>
      </c>
    </row>
    <row r="166" spans="1:3" ht="16.5" x14ac:dyDescent="0.2">
      <c r="A166" s="4" t="s">
        <v>332</v>
      </c>
      <c r="B166">
        <v>166</v>
      </c>
      <c r="C166">
        <f>MOD(B166,8)</f>
        <v>6</v>
      </c>
    </row>
    <row r="167" spans="1:3" ht="16.5" x14ac:dyDescent="0.2">
      <c r="A167" s="4" t="s">
        <v>332</v>
      </c>
      <c r="B167" s="15">
        <v>167</v>
      </c>
      <c r="C167">
        <f>MOD(B167,8)</f>
        <v>7</v>
      </c>
    </row>
    <row r="168" spans="1:3" ht="16.5" x14ac:dyDescent="0.2">
      <c r="A168" s="4" t="s">
        <v>332</v>
      </c>
      <c r="B168">
        <v>168</v>
      </c>
      <c r="C168">
        <f>MOD(B168,8)</f>
        <v>0</v>
      </c>
    </row>
    <row r="169" spans="1:3" ht="16.5" x14ac:dyDescent="0.2">
      <c r="A169" s="4" t="s">
        <v>331</v>
      </c>
      <c r="B169" s="15">
        <v>169</v>
      </c>
      <c r="C169">
        <f>MOD(B169,8)</f>
        <v>1</v>
      </c>
    </row>
    <row r="170" spans="1:3" ht="16.5" x14ac:dyDescent="0.2">
      <c r="A170" s="4" t="s">
        <v>331</v>
      </c>
      <c r="B170">
        <v>170</v>
      </c>
      <c r="C170">
        <f>MOD(B170,8)</f>
        <v>2</v>
      </c>
    </row>
    <row r="171" spans="1:3" ht="16.5" x14ac:dyDescent="0.2">
      <c r="A171" s="4" t="s">
        <v>331</v>
      </c>
      <c r="B171" s="15">
        <v>171</v>
      </c>
      <c r="C171">
        <f>MOD(B171,8)</f>
        <v>3</v>
      </c>
    </row>
    <row r="172" spans="1:3" ht="16.5" x14ac:dyDescent="0.2">
      <c r="A172" s="4" t="s">
        <v>331</v>
      </c>
      <c r="B172">
        <v>172</v>
      </c>
      <c r="C172">
        <f>MOD(B172,8)</f>
        <v>4</v>
      </c>
    </row>
    <row r="173" spans="1:3" ht="16.5" x14ac:dyDescent="0.2">
      <c r="A173" s="4" t="s">
        <v>331</v>
      </c>
      <c r="B173" s="15">
        <v>173</v>
      </c>
      <c r="C173">
        <f>MOD(B173,8)</f>
        <v>5</v>
      </c>
    </row>
    <row r="174" spans="1:3" ht="16.5" x14ac:dyDescent="0.2">
      <c r="A174" s="4" t="s">
        <v>331</v>
      </c>
      <c r="B174">
        <v>174</v>
      </c>
      <c r="C174">
        <f>MOD(B174,8)</f>
        <v>6</v>
      </c>
    </row>
    <row r="175" spans="1:3" ht="16.5" x14ac:dyDescent="0.2">
      <c r="A175" s="4" t="s">
        <v>331</v>
      </c>
      <c r="B175" s="15">
        <v>175</v>
      </c>
      <c r="C175">
        <f>MOD(B175,8)</f>
        <v>7</v>
      </c>
    </row>
    <row r="176" spans="1:3" ht="16.5" x14ac:dyDescent="0.2">
      <c r="A176" s="4" t="s">
        <v>331</v>
      </c>
      <c r="B176">
        <v>176</v>
      </c>
      <c r="C176">
        <f>MOD(B176,8)</f>
        <v>0</v>
      </c>
    </row>
    <row r="177" spans="1:3" ht="16.5" x14ac:dyDescent="0.2">
      <c r="A177" s="4" t="s">
        <v>330</v>
      </c>
      <c r="B177" s="15">
        <v>177</v>
      </c>
      <c r="C177">
        <f>MOD(B177,8)</f>
        <v>1</v>
      </c>
    </row>
    <row r="178" spans="1:3" ht="16.5" x14ac:dyDescent="0.2">
      <c r="A178" s="4" t="s">
        <v>330</v>
      </c>
      <c r="B178">
        <v>178</v>
      </c>
      <c r="C178">
        <f>MOD(B178,8)</f>
        <v>2</v>
      </c>
    </row>
    <row r="179" spans="1:3" ht="16.5" x14ac:dyDescent="0.2">
      <c r="A179" s="4" t="s">
        <v>330</v>
      </c>
      <c r="B179" s="15">
        <v>179</v>
      </c>
      <c r="C179">
        <f>MOD(B179,8)</f>
        <v>3</v>
      </c>
    </row>
    <row r="180" spans="1:3" ht="16.5" x14ac:dyDescent="0.2">
      <c r="A180" s="4" t="s">
        <v>330</v>
      </c>
      <c r="B180">
        <v>180</v>
      </c>
      <c r="C180">
        <f>MOD(B180,8)</f>
        <v>4</v>
      </c>
    </row>
    <row r="181" spans="1:3" ht="16.5" x14ac:dyDescent="0.2">
      <c r="A181" s="4" t="s">
        <v>330</v>
      </c>
      <c r="B181" s="15">
        <v>181</v>
      </c>
      <c r="C181">
        <f>MOD(B181,8)</f>
        <v>5</v>
      </c>
    </row>
    <row r="182" spans="1:3" ht="16.5" x14ac:dyDescent="0.2">
      <c r="A182" s="4" t="s">
        <v>330</v>
      </c>
      <c r="B182">
        <v>182</v>
      </c>
      <c r="C182">
        <f>MOD(B182,8)</f>
        <v>6</v>
      </c>
    </row>
    <row r="183" spans="1:3" ht="16.5" x14ac:dyDescent="0.2">
      <c r="A183" s="4" t="s">
        <v>330</v>
      </c>
      <c r="B183" s="15">
        <v>183</v>
      </c>
      <c r="C183">
        <f>MOD(B183,8)</f>
        <v>7</v>
      </c>
    </row>
    <row r="184" spans="1:3" ht="16.5" x14ac:dyDescent="0.2">
      <c r="A184" s="4" t="s">
        <v>330</v>
      </c>
      <c r="B184">
        <v>184</v>
      </c>
      <c r="C184">
        <f>MOD(B184,8)</f>
        <v>0</v>
      </c>
    </row>
    <row r="185" spans="1:3" ht="16.5" x14ac:dyDescent="0.2">
      <c r="A185" s="4" t="s">
        <v>329</v>
      </c>
      <c r="B185" s="15">
        <v>185</v>
      </c>
      <c r="C185">
        <f>MOD(B185,8)</f>
        <v>1</v>
      </c>
    </row>
    <row r="186" spans="1:3" ht="16.5" x14ac:dyDescent="0.2">
      <c r="A186" s="4" t="s">
        <v>329</v>
      </c>
      <c r="B186">
        <v>186</v>
      </c>
      <c r="C186">
        <f>MOD(B186,8)</f>
        <v>2</v>
      </c>
    </row>
    <row r="187" spans="1:3" ht="16.5" x14ac:dyDescent="0.2">
      <c r="A187" s="4" t="s">
        <v>329</v>
      </c>
      <c r="B187" s="15">
        <v>187</v>
      </c>
      <c r="C187">
        <f>MOD(B187,8)</f>
        <v>3</v>
      </c>
    </row>
    <row r="188" spans="1:3" ht="16.5" x14ac:dyDescent="0.2">
      <c r="A188" s="4" t="s">
        <v>329</v>
      </c>
      <c r="B188">
        <v>188</v>
      </c>
      <c r="C188">
        <f>MOD(B188,8)</f>
        <v>4</v>
      </c>
    </row>
    <row r="189" spans="1:3" ht="16.5" x14ac:dyDescent="0.2">
      <c r="A189" s="4" t="s">
        <v>329</v>
      </c>
      <c r="B189" s="15">
        <v>189</v>
      </c>
      <c r="C189">
        <f>MOD(B189,8)</f>
        <v>5</v>
      </c>
    </row>
    <row r="190" spans="1:3" ht="16.5" x14ac:dyDescent="0.2">
      <c r="A190" s="4" t="s">
        <v>329</v>
      </c>
      <c r="B190">
        <v>190</v>
      </c>
      <c r="C190">
        <f>MOD(B190,8)</f>
        <v>6</v>
      </c>
    </row>
    <row r="191" spans="1:3" ht="16.5" x14ac:dyDescent="0.2">
      <c r="A191" s="4" t="s">
        <v>329</v>
      </c>
      <c r="B191" s="15">
        <v>191</v>
      </c>
      <c r="C191">
        <f>MOD(B191,8)</f>
        <v>7</v>
      </c>
    </row>
    <row r="192" spans="1:3" ht="16.5" x14ac:dyDescent="0.2">
      <c r="A192" s="4" t="s">
        <v>329</v>
      </c>
      <c r="B192">
        <v>192</v>
      </c>
      <c r="C192">
        <f>MOD(B192,8)</f>
        <v>0</v>
      </c>
    </row>
    <row r="193" spans="1:3" ht="16.5" x14ac:dyDescent="0.2">
      <c r="A193" s="4" t="s">
        <v>328</v>
      </c>
      <c r="B193" s="15">
        <v>193</v>
      </c>
      <c r="C193">
        <f>MOD(B193,8)</f>
        <v>1</v>
      </c>
    </row>
    <row r="194" spans="1:3" ht="16.5" x14ac:dyDescent="0.2">
      <c r="A194" s="4" t="s">
        <v>328</v>
      </c>
      <c r="B194">
        <v>194</v>
      </c>
      <c r="C194">
        <f>MOD(B194,8)</f>
        <v>2</v>
      </c>
    </row>
    <row r="195" spans="1:3" ht="16.5" x14ac:dyDescent="0.2">
      <c r="A195" s="4" t="s">
        <v>328</v>
      </c>
      <c r="B195" s="15">
        <v>195</v>
      </c>
      <c r="C195">
        <f>MOD(B195,8)</f>
        <v>3</v>
      </c>
    </row>
    <row r="196" spans="1:3" ht="16.5" x14ac:dyDescent="0.2">
      <c r="A196" s="4" t="s">
        <v>328</v>
      </c>
      <c r="B196">
        <v>196</v>
      </c>
      <c r="C196">
        <f>MOD(B196,8)</f>
        <v>4</v>
      </c>
    </row>
    <row r="197" spans="1:3" ht="16.5" x14ac:dyDescent="0.2">
      <c r="A197" s="4" t="s">
        <v>328</v>
      </c>
      <c r="B197" s="15">
        <v>197</v>
      </c>
      <c r="C197">
        <f>MOD(B197,8)</f>
        <v>5</v>
      </c>
    </row>
    <row r="198" spans="1:3" ht="16.5" x14ac:dyDescent="0.2">
      <c r="A198" s="4" t="s">
        <v>328</v>
      </c>
      <c r="B198">
        <v>198</v>
      </c>
      <c r="C198">
        <f>MOD(B198,8)</f>
        <v>6</v>
      </c>
    </row>
    <row r="199" spans="1:3" ht="16.5" x14ac:dyDescent="0.2">
      <c r="A199" s="4" t="s">
        <v>328</v>
      </c>
      <c r="B199" s="15">
        <v>199</v>
      </c>
      <c r="C199">
        <f>MOD(B199,8)</f>
        <v>7</v>
      </c>
    </row>
    <row r="200" spans="1:3" ht="16.5" x14ac:dyDescent="0.2">
      <c r="A200" s="4" t="s">
        <v>328</v>
      </c>
      <c r="B200">
        <v>200</v>
      </c>
      <c r="C200">
        <f>MOD(B200,8)</f>
        <v>0</v>
      </c>
    </row>
    <row r="201" spans="1:3" ht="16.5" x14ac:dyDescent="0.2">
      <c r="A201" s="4" t="s">
        <v>327</v>
      </c>
      <c r="B201" s="15">
        <v>201</v>
      </c>
      <c r="C201">
        <f>MOD(B201,8)</f>
        <v>1</v>
      </c>
    </row>
    <row r="202" spans="1:3" ht="16.5" x14ac:dyDescent="0.2">
      <c r="A202" s="4" t="s">
        <v>327</v>
      </c>
      <c r="B202">
        <v>202</v>
      </c>
      <c r="C202">
        <f>MOD(B202,8)</f>
        <v>2</v>
      </c>
    </row>
    <row r="203" spans="1:3" ht="16.5" x14ac:dyDescent="0.2">
      <c r="A203" s="4" t="s">
        <v>327</v>
      </c>
      <c r="B203" s="15">
        <v>203</v>
      </c>
      <c r="C203">
        <f>MOD(B203,8)</f>
        <v>3</v>
      </c>
    </row>
    <row r="204" spans="1:3" ht="16.5" x14ac:dyDescent="0.2">
      <c r="A204" s="4" t="s">
        <v>327</v>
      </c>
      <c r="B204">
        <v>204</v>
      </c>
      <c r="C204">
        <f>MOD(B204,8)</f>
        <v>4</v>
      </c>
    </row>
    <row r="205" spans="1:3" ht="16.5" x14ac:dyDescent="0.2">
      <c r="A205" s="4" t="s">
        <v>327</v>
      </c>
      <c r="B205" s="15">
        <v>205</v>
      </c>
      <c r="C205">
        <f>MOD(B205,8)</f>
        <v>5</v>
      </c>
    </row>
    <row r="206" spans="1:3" ht="16.5" x14ac:dyDescent="0.2">
      <c r="A206" s="4" t="s">
        <v>327</v>
      </c>
      <c r="B206">
        <v>206</v>
      </c>
      <c r="C206">
        <f>MOD(B206,8)</f>
        <v>6</v>
      </c>
    </row>
    <row r="207" spans="1:3" ht="16.5" x14ac:dyDescent="0.2">
      <c r="A207" s="4" t="s">
        <v>327</v>
      </c>
      <c r="B207" s="15">
        <v>207</v>
      </c>
      <c r="C207">
        <f>MOD(B207,8)</f>
        <v>7</v>
      </c>
    </row>
    <row r="208" spans="1:3" ht="16.5" x14ac:dyDescent="0.2">
      <c r="A208" s="4" t="s">
        <v>327</v>
      </c>
      <c r="B208">
        <v>208</v>
      </c>
      <c r="C208">
        <f>MOD(B208,8)</f>
        <v>0</v>
      </c>
    </row>
    <row r="209" spans="1:3" ht="16.5" x14ac:dyDescent="0.2">
      <c r="A209" s="4" t="s">
        <v>326</v>
      </c>
      <c r="B209" s="15">
        <v>209</v>
      </c>
      <c r="C209">
        <f>MOD(B209,8)</f>
        <v>1</v>
      </c>
    </row>
    <row r="210" spans="1:3" ht="16.5" x14ac:dyDescent="0.2">
      <c r="A210" s="4" t="s">
        <v>326</v>
      </c>
      <c r="B210">
        <v>210</v>
      </c>
      <c r="C210">
        <f>MOD(B210,8)</f>
        <v>2</v>
      </c>
    </row>
    <row r="211" spans="1:3" ht="16.5" x14ac:dyDescent="0.2">
      <c r="A211" s="4" t="s">
        <v>326</v>
      </c>
      <c r="B211" s="15">
        <v>211</v>
      </c>
      <c r="C211">
        <f>MOD(B211,8)</f>
        <v>3</v>
      </c>
    </row>
    <row r="212" spans="1:3" ht="16.5" x14ac:dyDescent="0.2">
      <c r="A212" s="4" t="s">
        <v>326</v>
      </c>
      <c r="B212">
        <v>212</v>
      </c>
      <c r="C212">
        <f>MOD(B212,8)</f>
        <v>4</v>
      </c>
    </row>
    <row r="213" spans="1:3" ht="16.5" x14ac:dyDescent="0.2">
      <c r="A213" s="4" t="s">
        <v>326</v>
      </c>
      <c r="B213" s="15">
        <v>213</v>
      </c>
      <c r="C213">
        <f>MOD(B213,8)</f>
        <v>5</v>
      </c>
    </row>
    <row r="214" spans="1:3" ht="16.5" x14ac:dyDescent="0.2">
      <c r="A214" s="4" t="s">
        <v>326</v>
      </c>
      <c r="B214">
        <v>214</v>
      </c>
      <c r="C214">
        <f>MOD(B214,8)</f>
        <v>6</v>
      </c>
    </row>
    <row r="215" spans="1:3" ht="16.5" x14ac:dyDescent="0.2">
      <c r="A215" s="4" t="s">
        <v>326</v>
      </c>
      <c r="B215" s="15">
        <v>215</v>
      </c>
      <c r="C215">
        <f>MOD(B215,8)</f>
        <v>7</v>
      </c>
    </row>
    <row r="216" spans="1:3" ht="16.5" x14ac:dyDescent="0.2">
      <c r="A216" s="4" t="s">
        <v>326</v>
      </c>
      <c r="B216">
        <v>216</v>
      </c>
      <c r="C216">
        <f>MOD(B216,8)</f>
        <v>0</v>
      </c>
    </row>
    <row r="217" spans="1:3" ht="16.5" x14ac:dyDescent="0.2">
      <c r="A217" s="4" t="s">
        <v>325</v>
      </c>
      <c r="B217" s="15">
        <v>217</v>
      </c>
      <c r="C217">
        <f>MOD(B217,8)</f>
        <v>1</v>
      </c>
    </row>
    <row r="218" spans="1:3" ht="16.5" x14ac:dyDescent="0.2">
      <c r="A218" s="4" t="s">
        <v>325</v>
      </c>
      <c r="B218">
        <v>218</v>
      </c>
      <c r="C218">
        <f>MOD(B218,8)</f>
        <v>2</v>
      </c>
    </row>
    <row r="219" spans="1:3" ht="16.5" x14ac:dyDescent="0.2">
      <c r="A219" s="4" t="s">
        <v>325</v>
      </c>
      <c r="B219" s="15">
        <v>219</v>
      </c>
      <c r="C219">
        <f>MOD(B219,8)</f>
        <v>3</v>
      </c>
    </row>
    <row r="220" spans="1:3" ht="16.5" x14ac:dyDescent="0.2">
      <c r="A220" s="4" t="s">
        <v>325</v>
      </c>
      <c r="B220">
        <v>220</v>
      </c>
      <c r="C220">
        <f>MOD(B220,8)</f>
        <v>4</v>
      </c>
    </row>
    <row r="221" spans="1:3" ht="16.5" x14ac:dyDescent="0.2">
      <c r="A221" s="4" t="s">
        <v>325</v>
      </c>
      <c r="B221" s="15">
        <v>221</v>
      </c>
      <c r="C221">
        <f>MOD(B221,8)</f>
        <v>5</v>
      </c>
    </row>
    <row r="222" spans="1:3" ht="16.5" x14ac:dyDescent="0.2">
      <c r="A222" s="4" t="s">
        <v>325</v>
      </c>
      <c r="B222">
        <v>222</v>
      </c>
      <c r="C222">
        <f>MOD(B222,8)</f>
        <v>6</v>
      </c>
    </row>
    <row r="223" spans="1:3" ht="16.5" x14ac:dyDescent="0.2">
      <c r="A223" s="4" t="s">
        <v>325</v>
      </c>
      <c r="B223" s="15">
        <v>223</v>
      </c>
      <c r="C223">
        <f>MOD(B223,8)</f>
        <v>7</v>
      </c>
    </row>
    <row r="224" spans="1:3" ht="16.5" x14ac:dyDescent="0.2">
      <c r="A224" s="4" t="s">
        <v>325</v>
      </c>
      <c r="B224">
        <v>224</v>
      </c>
      <c r="C224">
        <f>MOD(B224,8)</f>
        <v>0</v>
      </c>
    </row>
    <row r="225" spans="1:3" ht="16.5" x14ac:dyDescent="0.2">
      <c r="A225" s="4" t="s">
        <v>324</v>
      </c>
      <c r="B225" s="15">
        <v>225</v>
      </c>
      <c r="C225">
        <f>MOD(B225,8)</f>
        <v>1</v>
      </c>
    </row>
    <row r="226" spans="1:3" ht="16.5" x14ac:dyDescent="0.2">
      <c r="A226" s="4" t="s">
        <v>324</v>
      </c>
      <c r="B226">
        <v>226</v>
      </c>
      <c r="C226">
        <f>MOD(B226,8)</f>
        <v>2</v>
      </c>
    </row>
    <row r="227" spans="1:3" ht="16.5" x14ac:dyDescent="0.2">
      <c r="A227" s="4" t="s">
        <v>324</v>
      </c>
      <c r="B227" s="15">
        <v>227</v>
      </c>
      <c r="C227">
        <f>MOD(B227,8)</f>
        <v>3</v>
      </c>
    </row>
    <row r="228" spans="1:3" ht="16.5" x14ac:dyDescent="0.2">
      <c r="A228" s="4" t="s">
        <v>324</v>
      </c>
      <c r="B228">
        <v>228</v>
      </c>
      <c r="C228">
        <f>MOD(B228,8)</f>
        <v>4</v>
      </c>
    </row>
    <row r="229" spans="1:3" ht="16.5" x14ac:dyDescent="0.2">
      <c r="A229" s="4" t="s">
        <v>324</v>
      </c>
      <c r="B229" s="15">
        <v>229</v>
      </c>
      <c r="C229">
        <f>MOD(B229,8)</f>
        <v>5</v>
      </c>
    </row>
    <row r="230" spans="1:3" ht="16.5" x14ac:dyDescent="0.2">
      <c r="A230" s="4" t="s">
        <v>324</v>
      </c>
      <c r="B230">
        <v>230</v>
      </c>
      <c r="C230">
        <f>MOD(B230,8)</f>
        <v>6</v>
      </c>
    </row>
    <row r="231" spans="1:3" ht="16.5" x14ac:dyDescent="0.2">
      <c r="A231" s="4" t="s">
        <v>324</v>
      </c>
      <c r="B231" s="15">
        <v>231</v>
      </c>
      <c r="C231">
        <f>MOD(B231,8)</f>
        <v>7</v>
      </c>
    </row>
    <row r="232" spans="1:3" ht="16.5" x14ac:dyDescent="0.2">
      <c r="A232" s="4" t="s">
        <v>324</v>
      </c>
      <c r="B232">
        <v>232</v>
      </c>
      <c r="C232">
        <f>MOD(B232,8)</f>
        <v>0</v>
      </c>
    </row>
    <row r="233" spans="1:3" ht="16.5" x14ac:dyDescent="0.2">
      <c r="A233" s="4" t="s">
        <v>323</v>
      </c>
      <c r="B233" s="15">
        <v>233</v>
      </c>
      <c r="C233">
        <f>MOD(B233,8)</f>
        <v>1</v>
      </c>
    </row>
    <row r="234" spans="1:3" ht="16.5" x14ac:dyDescent="0.2">
      <c r="A234" s="4" t="s">
        <v>323</v>
      </c>
      <c r="B234">
        <v>234</v>
      </c>
      <c r="C234">
        <f>MOD(B234,8)</f>
        <v>2</v>
      </c>
    </row>
    <row r="235" spans="1:3" ht="16.5" x14ac:dyDescent="0.2">
      <c r="A235" s="4" t="s">
        <v>323</v>
      </c>
      <c r="B235" s="15">
        <v>235</v>
      </c>
      <c r="C235">
        <f>MOD(B235,8)</f>
        <v>3</v>
      </c>
    </row>
    <row r="236" spans="1:3" ht="16.5" x14ac:dyDescent="0.2">
      <c r="A236" s="4" t="s">
        <v>323</v>
      </c>
      <c r="B236">
        <v>236</v>
      </c>
      <c r="C236">
        <f>MOD(B236,8)</f>
        <v>4</v>
      </c>
    </row>
    <row r="237" spans="1:3" ht="16.5" x14ac:dyDescent="0.2">
      <c r="A237" s="4" t="s">
        <v>323</v>
      </c>
      <c r="B237" s="15">
        <v>237</v>
      </c>
      <c r="C237">
        <f>MOD(B237,8)</f>
        <v>5</v>
      </c>
    </row>
    <row r="238" spans="1:3" ht="16.5" x14ac:dyDescent="0.2">
      <c r="A238" s="4" t="s">
        <v>323</v>
      </c>
      <c r="B238">
        <v>238</v>
      </c>
      <c r="C238">
        <f>MOD(B238,8)</f>
        <v>6</v>
      </c>
    </row>
    <row r="239" spans="1:3" ht="16.5" x14ac:dyDescent="0.2">
      <c r="A239" s="4" t="s">
        <v>323</v>
      </c>
      <c r="B239" s="15">
        <v>239</v>
      </c>
      <c r="C239">
        <f>MOD(B239,8)</f>
        <v>7</v>
      </c>
    </row>
    <row r="240" spans="1:3" ht="16.5" x14ac:dyDescent="0.2">
      <c r="A240" s="4" t="s">
        <v>323</v>
      </c>
      <c r="B240">
        <v>240</v>
      </c>
      <c r="C240">
        <f>MOD(B240,8)</f>
        <v>0</v>
      </c>
    </row>
    <row r="241" spans="1:3" ht="16.5" x14ac:dyDescent="0.2">
      <c r="A241" s="4" t="s">
        <v>322</v>
      </c>
      <c r="B241" s="15">
        <v>241</v>
      </c>
      <c r="C241">
        <f>MOD(B241,8)</f>
        <v>1</v>
      </c>
    </row>
    <row r="242" spans="1:3" ht="16.5" x14ac:dyDescent="0.2">
      <c r="A242" s="4" t="s">
        <v>322</v>
      </c>
      <c r="B242">
        <v>242</v>
      </c>
      <c r="C242">
        <f>MOD(B242,8)</f>
        <v>2</v>
      </c>
    </row>
    <row r="243" spans="1:3" ht="16.5" x14ac:dyDescent="0.2">
      <c r="A243" s="4" t="s">
        <v>322</v>
      </c>
      <c r="B243" s="15">
        <v>243</v>
      </c>
      <c r="C243">
        <f>MOD(B243,8)</f>
        <v>3</v>
      </c>
    </row>
    <row r="244" spans="1:3" ht="16.5" x14ac:dyDescent="0.2">
      <c r="A244" s="4" t="s">
        <v>322</v>
      </c>
      <c r="B244">
        <v>244</v>
      </c>
      <c r="C244">
        <f>MOD(B244,8)</f>
        <v>4</v>
      </c>
    </row>
    <row r="245" spans="1:3" ht="16.5" x14ac:dyDescent="0.2">
      <c r="A245" s="4" t="s">
        <v>322</v>
      </c>
      <c r="B245" s="15">
        <v>245</v>
      </c>
      <c r="C245">
        <f>MOD(B245,8)</f>
        <v>5</v>
      </c>
    </row>
    <row r="246" spans="1:3" ht="16.5" x14ac:dyDescent="0.2">
      <c r="A246" s="4" t="s">
        <v>322</v>
      </c>
      <c r="B246">
        <v>246</v>
      </c>
      <c r="C246">
        <f>MOD(B246,8)</f>
        <v>6</v>
      </c>
    </row>
    <row r="247" spans="1:3" ht="16.5" x14ac:dyDescent="0.2">
      <c r="A247" s="4" t="s">
        <v>322</v>
      </c>
      <c r="B247" s="15">
        <v>247</v>
      </c>
      <c r="C247">
        <f>MOD(B247,8)</f>
        <v>7</v>
      </c>
    </row>
    <row r="248" spans="1:3" ht="16.5" x14ac:dyDescent="0.2">
      <c r="A248" s="4" t="s">
        <v>322</v>
      </c>
      <c r="B248">
        <v>248</v>
      </c>
      <c r="C248">
        <f>MOD(B248,8)</f>
        <v>0</v>
      </c>
    </row>
    <row r="249" spans="1:3" ht="16.5" x14ac:dyDescent="0.2">
      <c r="A249" s="4" t="s">
        <v>321</v>
      </c>
      <c r="B249" s="15">
        <v>249</v>
      </c>
      <c r="C249">
        <f>MOD(B249,8)</f>
        <v>1</v>
      </c>
    </row>
    <row r="250" spans="1:3" ht="16.5" x14ac:dyDescent="0.2">
      <c r="A250" s="4" t="s">
        <v>321</v>
      </c>
      <c r="B250">
        <v>250</v>
      </c>
      <c r="C250">
        <f>MOD(B250,8)</f>
        <v>2</v>
      </c>
    </row>
    <row r="251" spans="1:3" ht="16.5" x14ac:dyDescent="0.2">
      <c r="A251" s="4" t="s">
        <v>321</v>
      </c>
      <c r="B251" s="15">
        <v>251</v>
      </c>
      <c r="C251">
        <f>MOD(B251,8)</f>
        <v>3</v>
      </c>
    </row>
    <row r="252" spans="1:3" ht="16.5" x14ac:dyDescent="0.2">
      <c r="A252" s="4" t="s">
        <v>321</v>
      </c>
      <c r="B252">
        <v>252</v>
      </c>
      <c r="C252">
        <f>MOD(B252,8)</f>
        <v>4</v>
      </c>
    </row>
    <row r="253" spans="1:3" ht="16.5" x14ac:dyDescent="0.2">
      <c r="A253" s="4" t="s">
        <v>321</v>
      </c>
      <c r="B253" s="15">
        <v>253</v>
      </c>
      <c r="C253">
        <f>MOD(B253,8)</f>
        <v>5</v>
      </c>
    </row>
    <row r="254" spans="1:3" ht="16.5" x14ac:dyDescent="0.2">
      <c r="A254" s="4" t="s">
        <v>321</v>
      </c>
      <c r="B254">
        <v>254</v>
      </c>
      <c r="C254">
        <f>MOD(B254,8)</f>
        <v>6</v>
      </c>
    </row>
    <row r="255" spans="1:3" ht="16.5" x14ac:dyDescent="0.2">
      <c r="A255" s="4" t="s">
        <v>321</v>
      </c>
      <c r="B255" s="15">
        <v>255</v>
      </c>
      <c r="C255">
        <f>MOD(B255,8)</f>
        <v>7</v>
      </c>
    </row>
    <row r="256" spans="1:3" ht="16.5" x14ac:dyDescent="0.2">
      <c r="A256" s="4" t="s">
        <v>321</v>
      </c>
      <c r="B256">
        <v>256</v>
      </c>
      <c r="C256">
        <f>MOD(B256,8)</f>
        <v>0</v>
      </c>
    </row>
    <row r="257" spans="1:3" ht="16.5" x14ac:dyDescent="0.2">
      <c r="A257" s="4" t="s">
        <v>320</v>
      </c>
      <c r="B257" s="15">
        <v>257</v>
      </c>
      <c r="C257">
        <f>MOD(B257,8)</f>
        <v>1</v>
      </c>
    </row>
    <row r="258" spans="1:3" ht="16.5" x14ac:dyDescent="0.2">
      <c r="A258" s="4" t="s">
        <v>320</v>
      </c>
      <c r="B258">
        <v>258</v>
      </c>
      <c r="C258">
        <f>MOD(B258,8)</f>
        <v>2</v>
      </c>
    </row>
    <row r="259" spans="1:3" ht="16.5" x14ac:dyDescent="0.2">
      <c r="A259" s="4" t="s">
        <v>320</v>
      </c>
      <c r="B259" s="15">
        <v>259</v>
      </c>
      <c r="C259">
        <f>MOD(B259,8)</f>
        <v>3</v>
      </c>
    </row>
    <row r="260" spans="1:3" ht="16.5" x14ac:dyDescent="0.2">
      <c r="A260" s="4" t="s">
        <v>320</v>
      </c>
      <c r="B260">
        <v>260</v>
      </c>
      <c r="C260">
        <f>MOD(B260,8)</f>
        <v>4</v>
      </c>
    </row>
    <row r="261" spans="1:3" ht="16.5" x14ac:dyDescent="0.2">
      <c r="A261" s="4" t="s">
        <v>320</v>
      </c>
      <c r="B261" s="15">
        <v>261</v>
      </c>
      <c r="C261">
        <f>MOD(B261,8)</f>
        <v>5</v>
      </c>
    </row>
    <row r="262" spans="1:3" ht="16.5" x14ac:dyDescent="0.2">
      <c r="A262" s="4" t="s">
        <v>320</v>
      </c>
      <c r="B262">
        <v>262</v>
      </c>
      <c r="C262">
        <f>MOD(B262,8)</f>
        <v>6</v>
      </c>
    </row>
    <row r="263" spans="1:3" ht="16.5" x14ac:dyDescent="0.2">
      <c r="A263" s="4" t="s">
        <v>320</v>
      </c>
      <c r="B263" s="15">
        <v>263</v>
      </c>
      <c r="C263">
        <f>MOD(B263,8)</f>
        <v>7</v>
      </c>
    </row>
    <row r="264" spans="1:3" ht="16.5" x14ac:dyDescent="0.2">
      <c r="A264" s="4" t="s">
        <v>320</v>
      </c>
      <c r="B264">
        <v>264</v>
      </c>
      <c r="C264">
        <f>MOD(B264,8)</f>
        <v>0</v>
      </c>
    </row>
    <row r="265" spans="1:3" ht="16.5" x14ac:dyDescent="0.2">
      <c r="A265" s="4" t="s">
        <v>319</v>
      </c>
      <c r="B265" s="15">
        <v>265</v>
      </c>
      <c r="C265">
        <f>MOD(B265,8)</f>
        <v>1</v>
      </c>
    </row>
    <row r="266" spans="1:3" ht="16.5" x14ac:dyDescent="0.2">
      <c r="A266" s="4" t="s">
        <v>319</v>
      </c>
      <c r="B266">
        <v>266</v>
      </c>
      <c r="C266">
        <f>MOD(B266,8)</f>
        <v>2</v>
      </c>
    </row>
    <row r="267" spans="1:3" ht="16.5" x14ac:dyDescent="0.2">
      <c r="A267" s="4" t="s">
        <v>319</v>
      </c>
      <c r="B267" s="15">
        <v>267</v>
      </c>
      <c r="C267">
        <f>MOD(B267,8)</f>
        <v>3</v>
      </c>
    </row>
    <row r="268" spans="1:3" ht="16.5" x14ac:dyDescent="0.2">
      <c r="A268" s="4" t="s">
        <v>319</v>
      </c>
      <c r="B268">
        <v>268</v>
      </c>
      <c r="C268">
        <f>MOD(B268,8)</f>
        <v>4</v>
      </c>
    </row>
    <row r="269" spans="1:3" ht="16.5" x14ac:dyDescent="0.2">
      <c r="A269" s="4" t="s">
        <v>319</v>
      </c>
      <c r="B269" s="15">
        <v>269</v>
      </c>
      <c r="C269">
        <f>MOD(B269,8)</f>
        <v>5</v>
      </c>
    </row>
    <row r="270" spans="1:3" ht="16.5" x14ac:dyDescent="0.2">
      <c r="A270" s="4" t="s">
        <v>319</v>
      </c>
      <c r="B270">
        <v>270</v>
      </c>
      <c r="C270">
        <f>MOD(B270,8)</f>
        <v>6</v>
      </c>
    </row>
    <row r="271" spans="1:3" ht="16.5" x14ac:dyDescent="0.2">
      <c r="A271" s="4" t="s">
        <v>319</v>
      </c>
      <c r="B271" s="15">
        <v>271</v>
      </c>
      <c r="C271">
        <f>MOD(B271,8)</f>
        <v>7</v>
      </c>
    </row>
    <row r="272" spans="1:3" ht="16.5" x14ac:dyDescent="0.2">
      <c r="A272" s="4" t="s">
        <v>319</v>
      </c>
      <c r="B272">
        <v>272</v>
      </c>
      <c r="C272">
        <f>MOD(B272,8)</f>
        <v>0</v>
      </c>
    </row>
    <row r="273" spans="1:3" ht="16.5" x14ac:dyDescent="0.2">
      <c r="A273" s="4" t="s">
        <v>318</v>
      </c>
      <c r="B273" s="15">
        <v>273</v>
      </c>
      <c r="C273">
        <f>MOD(B273,8)</f>
        <v>1</v>
      </c>
    </row>
    <row r="274" spans="1:3" ht="16.5" x14ac:dyDescent="0.2">
      <c r="A274" s="4" t="s">
        <v>318</v>
      </c>
      <c r="B274">
        <v>274</v>
      </c>
      <c r="C274">
        <f>MOD(B274,8)</f>
        <v>2</v>
      </c>
    </row>
    <row r="275" spans="1:3" ht="16.5" x14ac:dyDescent="0.2">
      <c r="A275" s="4" t="s">
        <v>318</v>
      </c>
      <c r="B275" s="15">
        <v>275</v>
      </c>
      <c r="C275">
        <f>MOD(B275,8)</f>
        <v>3</v>
      </c>
    </row>
    <row r="276" spans="1:3" ht="16.5" x14ac:dyDescent="0.2">
      <c r="A276" s="4" t="s">
        <v>318</v>
      </c>
      <c r="B276">
        <v>276</v>
      </c>
      <c r="C276">
        <f>MOD(B276,8)</f>
        <v>4</v>
      </c>
    </row>
    <row r="277" spans="1:3" ht="16.5" x14ac:dyDescent="0.2">
      <c r="A277" s="4" t="s">
        <v>318</v>
      </c>
      <c r="B277" s="15">
        <v>277</v>
      </c>
      <c r="C277">
        <f>MOD(B277,8)</f>
        <v>5</v>
      </c>
    </row>
    <row r="278" spans="1:3" ht="16.5" x14ac:dyDescent="0.2">
      <c r="A278" s="4" t="s">
        <v>318</v>
      </c>
      <c r="B278">
        <v>278</v>
      </c>
      <c r="C278">
        <f>MOD(B278,8)</f>
        <v>6</v>
      </c>
    </row>
    <row r="279" spans="1:3" ht="16.5" x14ac:dyDescent="0.2">
      <c r="A279" s="4" t="s">
        <v>318</v>
      </c>
      <c r="B279" s="15">
        <v>279</v>
      </c>
      <c r="C279">
        <f>MOD(B279,8)</f>
        <v>7</v>
      </c>
    </row>
    <row r="280" spans="1:3" ht="16.5" x14ac:dyDescent="0.2">
      <c r="A280" s="4" t="s">
        <v>318</v>
      </c>
      <c r="B280">
        <v>280</v>
      </c>
      <c r="C280">
        <f>MOD(B280,8)</f>
        <v>0</v>
      </c>
    </row>
    <row r="281" spans="1:3" ht="16.5" x14ac:dyDescent="0.2">
      <c r="A281" s="4" t="s">
        <v>317</v>
      </c>
      <c r="B281" s="15">
        <v>281</v>
      </c>
      <c r="C281">
        <f>MOD(B281,8)</f>
        <v>1</v>
      </c>
    </row>
    <row r="282" spans="1:3" ht="16.5" x14ac:dyDescent="0.2">
      <c r="A282" s="4" t="s">
        <v>317</v>
      </c>
      <c r="B282">
        <v>282</v>
      </c>
      <c r="C282">
        <f>MOD(B282,8)</f>
        <v>2</v>
      </c>
    </row>
    <row r="283" spans="1:3" ht="16.5" x14ac:dyDescent="0.2">
      <c r="A283" s="4" t="s">
        <v>317</v>
      </c>
      <c r="B283" s="15">
        <v>283</v>
      </c>
      <c r="C283">
        <f>MOD(B283,8)</f>
        <v>3</v>
      </c>
    </row>
    <row r="284" spans="1:3" ht="16.5" x14ac:dyDescent="0.2">
      <c r="A284" s="4" t="s">
        <v>317</v>
      </c>
      <c r="B284">
        <v>284</v>
      </c>
      <c r="C284">
        <f>MOD(B284,8)</f>
        <v>4</v>
      </c>
    </row>
    <row r="285" spans="1:3" ht="16.5" x14ac:dyDescent="0.2">
      <c r="A285" s="4" t="s">
        <v>317</v>
      </c>
      <c r="B285" s="15">
        <v>285</v>
      </c>
      <c r="C285">
        <f>MOD(B285,8)</f>
        <v>5</v>
      </c>
    </row>
    <row r="286" spans="1:3" ht="16.5" x14ac:dyDescent="0.2">
      <c r="A286" s="4" t="s">
        <v>317</v>
      </c>
      <c r="B286">
        <v>286</v>
      </c>
      <c r="C286">
        <f>MOD(B286,8)</f>
        <v>6</v>
      </c>
    </row>
    <row r="287" spans="1:3" ht="16.5" x14ac:dyDescent="0.2">
      <c r="A287" s="4" t="s">
        <v>317</v>
      </c>
      <c r="B287" s="15">
        <v>287</v>
      </c>
      <c r="C287">
        <f>MOD(B287,8)</f>
        <v>7</v>
      </c>
    </row>
    <row r="288" spans="1:3" ht="16.5" x14ac:dyDescent="0.2">
      <c r="A288" s="4" t="s">
        <v>317</v>
      </c>
      <c r="B288">
        <v>288</v>
      </c>
      <c r="C288">
        <f>MOD(B288,8)</f>
        <v>0</v>
      </c>
    </row>
    <row r="289" spans="1:3" ht="16.5" x14ac:dyDescent="0.2">
      <c r="A289" s="4" t="s">
        <v>316</v>
      </c>
      <c r="B289" s="15">
        <v>289</v>
      </c>
      <c r="C289">
        <f>MOD(B289,8)</f>
        <v>1</v>
      </c>
    </row>
    <row r="290" spans="1:3" ht="16.5" x14ac:dyDescent="0.2">
      <c r="A290" s="4" t="s">
        <v>316</v>
      </c>
      <c r="B290">
        <v>290</v>
      </c>
      <c r="C290">
        <f>MOD(B290,8)</f>
        <v>2</v>
      </c>
    </row>
    <row r="291" spans="1:3" ht="16.5" x14ac:dyDescent="0.2">
      <c r="A291" s="4" t="s">
        <v>316</v>
      </c>
      <c r="B291" s="15">
        <v>291</v>
      </c>
      <c r="C291">
        <f>MOD(B291,8)</f>
        <v>3</v>
      </c>
    </row>
    <row r="292" spans="1:3" ht="16.5" x14ac:dyDescent="0.2">
      <c r="A292" s="4" t="s">
        <v>316</v>
      </c>
      <c r="B292">
        <v>292</v>
      </c>
      <c r="C292">
        <f>MOD(B292,8)</f>
        <v>4</v>
      </c>
    </row>
    <row r="293" spans="1:3" ht="16.5" x14ac:dyDescent="0.2">
      <c r="A293" s="4" t="s">
        <v>316</v>
      </c>
      <c r="B293" s="15">
        <v>293</v>
      </c>
      <c r="C293">
        <f>MOD(B293,8)</f>
        <v>5</v>
      </c>
    </row>
    <row r="294" spans="1:3" ht="16.5" x14ac:dyDescent="0.2">
      <c r="A294" s="4" t="s">
        <v>316</v>
      </c>
      <c r="B294">
        <v>294</v>
      </c>
      <c r="C294">
        <f>MOD(B294,8)</f>
        <v>6</v>
      </c>
    </row>
    <row r="295" spans="1:3" ht="16.5" x14ac:dyDescent="0.2">
      <c r="A295" s="4" t="s">
        <v>316</v>
      </c>
      <c r="B295" s="15">
        <v>295</v>
      </c>
      <c r="C295">
        <f>MOD(B295,8)</f>
        <v>7</v>
      </c>
    </row>
    <row r="296" spans="1:3" ht="16.5" x14ac:dyDescent="0.2">
      <c r="A296" s="4" t="s">
        <v>316</v>
      </c>
      <c r="B296">
        <v>296</v>
      </c>
      <c r="C296">
        <f>MOD(B296,8)</f>
        <v>0</v>
      </c>
    </row>
    <row r="297" spans="1:3" ht="16.5" x14ac:dyDescent="0.2">
      <c r="A297" s="4" t="s">
        <v>315</v>
      </c>
      <c r="B297" s="15">
        <v>297</v>
      </c>
      <c r="C297">
        <f>MOD(B297,8)</f>
        <v>1</v>
      </c>
    </row>
    <row r="298" spans="1:3" ht="16.5" x14ac:dyDescent="0.2">
      <c r="A298" s="4" t="s">
        <v>315</v>
      </c>
      <c r="B298">
        <v>298</v>
      </c>
      <c r="C298">
        <f>MOD(B298,8)</f>
        <v>2</v>
      </c>
    </row>
    <row r="299" spans="1:3" ht="16.5" x14ac:dyDescent="0.2">
      <c r="A299" s="4" t="s">
        <v>315</v>
      </c>
      <c r="B299" s="15">
        <v>299</v>
      </c>
      <c r="C299">
        <f>MOD(B299,8)</f>
        <v>3</v>
      </c>
    </row>
    <row r="300" spans="1:3" ht="16.5" x14ac:dyDescent="0.2">
      <c r="A300" s="4" t="s">
        <v>315</v>
      </c>
      <c r="B300">
        <v>300</v>
      </c>
      <c r="C300">
        <f>MOD(B300,8)</f>
        <v>4</v>
      </c>
    </row>
    <row r="301" spans="1:3" ht="16.5" x14ac:dyDescent="0.2">
      <c r="A301" s="4" t="s">
        <v>315</v>
      </c>
      <c r="B301" s="15">
        <v>301</v>
      </c>
      <c r="C301">
        <f>MOD(B301,8)</f>
        <v>5</v>
      </c>
    </row>
    <row r="302" spans="1:3" ht="16.5" x14ac:dyDescent="0.2">
      <c r="A302" s="4" t="s">
        <v>315</v>
      </c>
      <c r="B302">
        <v>302</v>
      </c>
      <c r="C302">
        <f>MOD(B302,8)</f>
        <v>6</v>
      </c>
    </row>
    <row r="303" spans="1:3" ht="16.5" x14ac:dyDescent="0.2">
      <c r="A303" s="4" t="s">
        <v>315</v>
      </c>
      <c r="B303" s="15">
        <v>303</v>
      </c>
      <c r="C303">
        <f>MOD(B303,8)</f>
        <v>7</v>
      </c>
    </row>
    <row r="304" spans="1:3" ht="16.5" x14ac:dyDescent="0.2">
      <c r="A304" s="4" t="s">
        <v>315</v>
      </c>
      <c r="B304">
        <v>304</v>
      </c>
      <c r="C304">
        <f>MOD(B304,8)</f>
        <v>0</v>
      </c>
    </row>
    <row r="305" spans="1:3" ht="16.5" x14ac:dyDescent="0.2">
      <c r="A305" s="4" t="s">
        <v>314</v>
      </c>
      <c r="B305" s="15">
        <v>305</v>
      </c>
      <c r="C305">
        <f>MOD(B305,8)</f>
        <v>1</v>
      </c>
    </row>
    <row r="306" spans="1:3" ht="16.5" x14ac:dyDescent="0.2">
      <c r="A306" s="4" t="s">
        <v>314</v>
      </c>
      <c r="B306">
        <v>306</v>
      </c>
      <c r="C306">
        <f>MOD(B306,8)</f>
        <v>2</v>
      </c>
    </row>
    <row r="307" spans="1:3" ht="16.5" x14ac:dyDescent="0.2">
      <c r="A307" s="4" t="s">
        <v>314</v>
      </c>
      <c r="B307" s="15">
        <v>307</v>
      </c>
      <c r="C307">
        <f>MOD(B307,8)</f>
        <v>3</v>
      </c>
    </row>
    <row r="308" spans="1:3" ht="16.5" x14ac:dyDescent="0.2">
      <c r="A308" s="4" t="s">
        <v>314</v>
      </c>
      <c r="B308">
        <v>308</v>
      </c>
      <c r="C308">
        <f>MOD(B308,8)</f>
        <v>4</v>
      </c>
    </row>
    <row r="309" spans="1:3" ht="16.5" x14ac:dyDescent="0.2">
      <c r="A309" s="4" t="s">
        <v>314</v>
      </c>
      <c r="B309" s="15">
        <v>309</v>
      </c>
      <c r="C309">
        <f>MOD(B309,8)</f>
        <v>5</v>
      </c>
    </row>
    <row r="310" spans="1:3" ht="16.5" x14ac:dyDescent="0.2">
      <c r="A310" s="4" t="s">
        <v>314</v>
      </c>
      <c r="B310">
        <v>310</v>
      </c>
      <c r="C310">
        <f>MOD(B310,8)</f>
        <v>6</v>
      </c>
    </row>
    <row r="311" spans="1:3" ht="16.5" x14ac:dyDescent="0.2">
      <c r="A311" s="4" t="s">
        <v>314</v>
      </c>
      <c r="B311" s="15">
        <v>311</v>
      </c>
      <c r="C311">
        <f>MOD(B311,8)</f>
        <v>7</v>
      </c>
    </row>
    <row r="312" spans="1:3" ht="16.5" x14ac:dyDescent="0.2">
      <c r="A312" s="4" t="s">
        <v>314</v>
      </c>
      <c r="B312">
        <v>312</v>
      </c>
      <c r="C312">
        <f>MOD(B312,8)</f>
        <v>0</v>
      </c>
    </row>
    <row r="313" spans="1:3" ht="16.5" x14ac:dyDescent="0.2">
      <c r="A313" s="4" t="s">
        <v>313</v>
      </c>
      <c r="B313" s="15">
        <v>313</v>
      </c>
      <c r="C313">
        <f>MOD(B313,8)</f>
        <v>1</v>
      </c>
    </row>
    <row r="314" spans="1:3" ht="16.5" x14ac:dyDescent="0.2">
      <c r="A314" s="4" t="s">
        <v>313</v>
      </c>
      <c r="B314">
        <v>314</v>
      </c>
      <c r="C314">
        <f>MOD(B314,8)</f>
        <v>2</v>
      </c>
    </row>
    <row r="315" spans="1:3" ht="16.5" x14ac:dyDescent="0.2">
      <c r="A315" s="4" t="s">
        <v>313</v>
      </c>
      <c r="B315" s="15">
        <v>315</v>
      </c>
      <c r="C315">
        <f>MOD(B315,8)</f>
        <v>3</v>
      </c>
    </row>
    <row r="316" spans="1:3" ht="16.5" x14ac:dyDescent="0.2">
      <c r="A316" s="4" t="s">
        <v>313</v>
      </c>
      <c r="B316">
        <v>316</v>
      </c>
      <c r="C316">
        <f>MOD(B316,8)</f>
        <v>4</v>
      </c>
    </row>
    <row r="317" spans="1:3" ht="16.5" x14ac:dyDescent="0.2">
      <c r="A317" s="4" t="s">
        <v>313</v>
      </c>
      <c r="B317" s="15">
        <v>317</v>
      </c>
      <c r="C317">
        <f>MOD(B317,8)</f>
        <v>5</v>
      </c>
    </row>
    <row r="318" spans="1:3" ht="16.5" x14ac:dyDescent="0.2">
      <c r="A318" s="4" t="s">
        <v>313</v>
      </c>
      <c r="B318">
        <v>318</v>
      </c>
      <c r="C318">
        <f>MOD(B318,8)</f>
        <v>6</v>
      </c>
    </row>
    <row r="319" spans="1:3" ht="16.5" x14ac:dyDescent="0.2">
      <c r="A319" s="4" t="s">
        <v>313</v>
      </c>
      <c r="B319" s="15">
        <v>319</v>
      </c>
      <c r="C319">
        <f>MOD(B319,8)</f>
        <v>7</v>
      </c>
    </row>
    <row r="320" spans="1:3" ht="16.5" x14ac:dyDescent="0.2">
      <c r="A320" s="4" t="s">
        <v>313</v>
      </c>
      <c r="B320">
        <v>320</v>
      </c>
      <c r="C320">
        <f>MOD(B320,8)</f>
        <v>0</v>
      </c>
    </row>
    <row r="321" spans="1:3" ht="16.5" x14ac:dyDescent="0.2">
      <c r="A321" s="4" t="s">
        <v>312</v>
      </c>
      <c r="B321" s="15">
        <v>321</v>
      </c>
      <c r="C321">
        <f>MOD(B321,8)</f>
        <v>1</v>
      </c>
    </row>
    <row r="322" spans="1:3" ht="16.5" x14ac:dyDescent="0.2">
      <c r="A322" s="4" t="s">
        <v>312</v>
      </c>
      <c r="B322">
        <v>322</v>
      </c>
      <c r="C322">
        <f>MOD(B322,8)</f>
        <v>2</v>
      </c>
    </row>
    <row r="323" spans="1:3" ht="16.5" x14ac:dyDescent="0.2">
      <c r="A323" s="4" t="s">
        <v>312</v>
      </c>
      <c r="B323" s="15">
        <v>323</v>
      </c>
      <c r="C323">
        <f>MOD(B323,8)</f>
        <v>3</v>
      </c>
    </row>
    <row r="324" spans="1:3" ht="16.5" x14ac:dyDescent="0.2">
      <c r="A324" s="4" t="s">
        <v>312</v>
      </c>
      <c r="B324">
        <v>324</v>
      </c>
      <c r="C324">
        <f>MOD(B324,8)</f>
        <v>4</v>
      </c>
    </row>
    <row r="325" spans="1:3" ht="16.5" x14ac:dyDescent="0.2">
      <c r="A325" s="4" t="s">
        <v>312</v>
      </c>
      <c r="B325" s="15">
        <v>325</v>
      </c>
      <c r="C325">
        <f>MOD(B325,8)</f>
        <v>5</v>
      </c>
    </row>
    <row r="326" spans="1:3" ht="16.5" x14ac:dyDescent="0.2">
      <c r="A326" s="4" t="s">
        <v>312</v>
      </c>
      <c r="B326">
        <v>326</v>
      </c>
      <c r="C326">
        <f>MOD(B326,8)</f>
        <v>6</v>
      </c>
    </row>
    <row r="327" spans="1:3" ht="16.5" x14ac:dyDescent="0.2">
      <c r="A327" s="4" t="s">
        <v>312</v>
      </c>
      <c r="B327" s="15">
        <v>327</v>
      </c>
      <c r="C327">
        <f>MOD(B327,8)</f>
        <v>7</v>
      </c>
    </row>
    <row r="328" spans="1:3" ht="16.5" x14ac:dyDescent="0.2">
      <c r="A328" s="4" t="s">
        <v>312</v>
      </c>
      <c r="B328">
        <v>328</v>
      </c>
      <c r="C328">
        <f>MOD(B328,8)</f>
        <v>0</v>
      </c>
    </row>
    <row r="329" spans="1:3" ht="16.5" x14ac:dyDescent="0.2">
      <c r="A329" s="4" t="s">
        <v>311</v>
      </c>
      <c r="B329" s="15">
        <v>329</v>
      </c>
      <c r="C329">
        <f>MOD(B329,8)</f>
        <v>1</v>
      </c>
    </row>
    <row r="330" spans="1:3" ht="16.5" x14ac:dyDescent="0.2">
      <c r="A330" s="4" t="s">
        <v>311</v>
      </c>
      <c r="B330">
        <v>330</v>
      </c>
      <c r="C330">
        <f>MOD(B330,8)</f>
        <v>2</v>
      </c>
    </row>
    <row r="331" spans="1:3" ht="16.5" x14ac:dyDescent="0.2">
      <c r="A331" s="4" t="s">
        <v>311</v>
      </c>
      <c r="B331" s="15">
        <v>331</v>
      </c>
      <c r="C331">
        <f>MOD(B331,8)</f>
        <v>3</v>
      </c>
    </row>
    <row r="332" spans="1:3" ht="16.5" x14ac:dyDescent="0.2">
      <c r="A332" s="4" t="s">
        <v>311</v>
      </c>
      <c r="B332">
        <v>332</v>
      </c>
      <c r="C332">
        <f>MOD(B332,8)</f>
        <v>4</v>
      </c>
    </row>
    <row r="333" spans="1:3" ht="16.5" x14ac:dyDescent="0.2">
      <c r="A333" s="4" t="s">
        <v>311</v>
      </c>
      <c r="B333" s="15">
        <v>333</v>
      </c>
      <c r="C333">
        <f>MOD(B333,8)</f>
        <v>5</v>
      </c>
    </row>
    <row r="334" spans="1:3" ht="16.5" x14ac:dyDescent="0.2">
      <c r="A334" s="4" t="s">
        <v>311</v>
      </c>
      <c r="B334">
        <v>334</v>
      </c>
      <c r="C334">
        <f>MOD(B334,8)</f>
        <v>6</v>
      </c>
    </row>
    <row r="335" spans="1:3" ht="16.5" x14ac:dyDescent="0.2">
      <c r="A335" s="4" t="s">
        <v>311</v>
      </c>
      <c r="B335" s="15">
        <v>335</v>
      </c>
      <c r="C335">
        <f>MOD(B335,8)</f>
        <v>7</v>
      </c>
    </row>
    <row r="336" spans="1:3" ht="16.5" x14ac:dyDescent="0.2">
      <c r="A336" s="4" t="s">
        <v>311</v>
      </c>
      <c r="B336">
        <v>336</v>
      </c>
      <c r="C336">
        <f>MOD(B336,8)</f>
        <v>0</v>
      </c>
    </row>
    <row r="337" spans="1:3" ht="16.5" x14ac:dyDescent="0.2">
      <c r="A337" s="4" t="s">
        <v>310</v>
      </c>
      <c r="B337" s="15">
        <v>337</v>
      </c>
      <c r="C337">
        <f>MOD(B337,8)</f>
        <v>1</v>
      </c>
    </row>
    <row r="338" spans="1:3" ht="16.5" x14ac:dyDescent="0.2">
      <c r="A338" s="4" t="s">
        <v>310</v>
      </c>
      <c r="B338">
        <v>338</v>
      </c>
      <c r="C338">
        <f>MOD(B338,8)</f>
        <v>2</v>
      </c>
    </row>
    <row r="339" spans="1:3" ht="16.5" x14ac:dyDescent="0.2">
      <c r="A339" s="4" t="s">
        <v>310</v>
      </c>
      <c r="B339" s="15">
        <v>339</v>
      </c>
      <c r="C339">
        <f>MOD(B339,8)</f>
        <v>3</v>
      </c>
    </row>
    <row r="340" spans="1:3" ht="16.5" x14ac:dyDescent="0.2">
      <c r="A340" s="4" t="s">
        <v>310</v>
      </c>
      <c r="B340">
        <v>340</v>
      </c>
      <c r="C340">
        <f>MOD(B340,8)</f>
        <v>4</v>
      </c>
    </row>
    <row r="341" spans="1:3" ht="16.5" x14ac:dyDescent="0.2">
      <c r="A341" s="4" t="s">
        <v>310</v>
      </c>
      <c r="B341" s="15">
        <v>341</v>
      </c>
      <c r="C341">
        <f>MOD(B341,8)</f>
        <v>5</v>
      </c>
    </row>
    <row r="342" spans="1:3" ht="16.5" x14ac:dyDescent="0.2">
      <c r="A342" s="4" t="s">
        <v>310</v>
      </c>
      <c r="B342">
        <v>342</v>
      </c>
      <c r="C342">
        <f>MOD(B342,8)</f>
        <v>6</v>
      </c>
    </row>
    <row r="343" spans="1:3" ht="16.5" x14ac:dyDescent="0.2">
      <c r="A343" s="4" t="s">
        <v>310</v>
      </c>
      <c r="B343" s="15">
        <v>343</v>
      </c>
      <c r="C343">
        <f>MOD(B343,8)</f>
        <v>7</v>
      </c>
    </row>
    <row r="344" spans="1:3" ht="16.5" x14ac:dyDescent="0.2">
      <c r="A344" s="4" t="s">
        <v>310</v>
      </c>
      <c r="B344">
        <v>344</v>
      </c>
      <c r="C344">
        <f>MOD(B344,8)</f>
        <v>0</v>
      </c>
    </row>
    <row r="345" spans="1:3" ht="16.5" x14ac:dyDescent="0.2">
      <c r="A345" s="4" t="s">
        <v>309</v>
      </c>
      <c r="B345" s="15">
        <v>345</v>
      </c>
      <c r="C345">
        <f>MOD(B345,8)</f>
        <v>1</v>
      </c>
    </row>
    <row r="346" spans="1:3" ht="16.5" x14ac:dyDescent="0.2">
      <c r="A346" s="4" t="s">
        <v>309</v>
      </c>
      <c r="B346">
        <v>346</v>
      </c>
      <c r="C346">
        <f>MOD(B346,8)</f>
        <v>2</v>
      </c>
    </row>
    <row r="347" spans="1:3" ht="16.5" x14ac:dyDescent="0.2">
      <c r="A347" s="4" t="s">
        <v>309</v>
      </c>
      <c r="B347" s="15">
        <v>347</v>
      </c>
      <c r="C347">
        <f>MOD(B347,8)</f>
        <v>3</v>
      </c>
    </row>
    <row r="348" spans="1:3" ht="16.5" x14ac:dyDescent="0.2">
      <c r="A348" s="4" t="s">
        <v>309</v>
      </c>
      <c r="B348">
        <v>348</v>
      </c>
      <c r="C348">
        <f>MOD(B348,8)</f>
        <v>4</v>
      </c>
    </row>
    <row r="349" spans="1:3" ht="16.5" x14ac:dyDescent="0.2">
      <c r="A349" s="4" t="s">
        <v>309</v>
      </c>
      <c r="B349" s="15">
        <v>349</v>
      </c>
      <c r="C349">
        <f>MOD(B349,8)</f>
        <v>5</v>
      </c>
    </row>
    <row r="350" spans="1:3" ht="16.5" x14ac:dyDescent="0.2">
      <c r="A350" s="4" t="s">
        <v>309</v>
      </c>
      <c r="B350">
        <v>350</v>
      </c>
      <c r="C350">
        <f>MOD(B350,8)</f>
        <v>6</v>
      </c>
    </row>
    <row r="351" spans="1:3" ht="16.5" x14ac:dyDescent="0.2">
      <c r="A351" s="4" t="s">
        <v>309</v>
      </c>
      <c r="B351" s="15">
        <v>351</v>
      </c>
      <c r="C351">
        <f>MOD(B351,8)</f>
        <v>7</v>
      </c>
    </row>
    <row r="352" spans="1:3" ht="16.5" x14ac:dyDescent="0.2">
      <c r="A352" s="4" t="s">
        <v>309</v>
      </c>
      <c r="B352">
        <v>352</v>
      </c>
      <c r="C352">
        <f>MOD(B352,8)</f>
        <v>0</v>
      </c>
    </row>
    <row r="353" spans="1:3" ht="16.5" x14ac:dyDescent="0.2">
      <c r="A353" s="4" t="s">
        <v>308</v>
      </c>
      <c r="B353" s="15">
        <v>353</v>
      </c>
      <c r="C353">
        <f>MOD(B353,8)</f>
        <v>1</v>
      </c>
    </row>
    <row r="354" spans="1:3" ht="16.5" x14ac:dyDescent="0.2">
      <c r="A354" s="4" t="s">
        <v>308</v>
      </c>
      <c r="B354">
        <v>354</v>
      </c>
      <c r="C354">
        <f>MOD(B354,8)</f>
        <v>2</v>
      </c>
    </row>
    <row r="355" spans="1:3" ht="16.5" x14ac:dyDescent="0.2">
      <c r="A355" s="4" t="s">
        <v>308</v>
      </c>
      <c r="B355" s="15">
        <v>355</v>
      </c>
      <c r="C355">
        <f>MOD(B355,8)</f>
        <v>3</v>
      </c>
    </row>
    <row r="356" spans="1:3" ht="16.5" x14ac:dyDescent="0.2">
      <c r="A356" s="4" t="s">
        <v>308</v>
      </c>
      <c r="B356">
        <v>356</v>
      </c>
      <c r="C356">
        <f>MOD(B356,8)</f>
        <v>4</v>
      </c>
    </row>
    <row r="357" spans="1:3" ht="16.5" x14ac:dyDescent="0.2">
      <c r="A357" s="4" t="s">
        <v>308</v>
      </c>
      <c r="B357" s="15">
        <v>357</v>
      </c>
      <c r="C357">
        <f>MOD(B357,8)</f>
        <v>5</v>
      </c>
    </row>
    <row r="358" spans="1:3" ht="16.5" x14ac:dyDescent="0.2">
      <c r="A358" s="4" t="s">
        <v>308</v>
      </c>
      <c r="B358">
        <v>358</v>
      </c>
      <c r="C358">
        <f>MOD(B358,8)</f>
        <v>6</v>
      </c>
    </row>
    <row r="359" spans="1:3" ht="16.5" x14ac:dyDescent="0.2">
      <c r="A359" s="4" t="s">
        <v>308</v>
      </c>
      <c r="B359" s="15">
        <v>359</v>
      </c>
      <c r="C359">
        <f>MOD(B359,8)</f>
        <v>7</v>
      </c>
    </row>
    <row r="360" spans="1:3" ht="16.5" x14ac:dyDescent="0.2">
      <c r="A360" s="4" t="s">
        <v>308</v>
      </c>
      <c r="B360">
        <v>360</v>
      </c>
      <c r="C360">
        <f>MOD(B360,8)</f>
        <v>0</v>
      </c>
    </row>
    <row r="361" spans="1:3" ht="16.5" x14ac:dyDescent="0.2">
      <c r="A361" s="4" t="s">
        <v>307</v>
      </c>
      <c r="B361" s="15">
        <v>361</v>
      </c>
      <c r="C361">
        <f>MOD(B361,8)</f>
        <v>1</v>
      </c>
    </row>
    <row r="362" spans="1:3" ht="16.5" x14ac:dyDescent="0.2">
      <c r="A362" s="4" t="s">
        <v>307</v>
      </c>
      <c r="B362">
        <v>362</v>
      </c>
      <c r="C362">
        <f>MOD(B362,8)</f>
        <v>2</v>
      </c>
    </row>
    <row r="363" spans="1:3" ht="16.5" x14ac:dyDescent="0.2">
      <c r="A363" s="4" t="s">
        <v>307</v>
      </c>
      <c r="B363" s="15">
        <v>363</v>
      </c>
      <c r="C363">
        <f>MOD(B363,8)</f>
        <v>3</v>
      </c>
    </row>
    <row r="364" spans="1:3" ht="16.5" x14ac:dyDescent="0.2">
      <c r="A364" s="4" t="s">
        <v>307</v>
      </c>
      <c r="B364">
        <v>364</v>
      </c>
      <c r="C364">
        <f>MOD(B364,8)</f>
        <v>4</v>
      </c>
    </row>
    <row r="365" spans="1:3" ht="16.5" x14ac:dyDescent="0.2">
      <c r="A365" s="4" t="s">
        <v>307</v>
      </c>
      <c r="B365" s="15">
        <v>365</v>
      </c>
      <c r="C365">
        <f>MOD(B365,8)</f>
        <v>5</v>
      </c>
    </row>
    <row r="366" spans="1:3" ht="16.5" x14ac:dyDescent="0.2">
      <c r="A366" s="4" t="s">
        <v>307</v>
      </c>
      <c r="B366">
        <v>366</v>
      </c>
      <c r="C366">
        <f>MOD(B366,8)</f>
        <v>6</v>
      </c>
    </row>
    <row r="367" spans="1:3" ht="16.5" x14ac:dyDescent="0.2">
      <c r="A367" s="4" t="s">
        <v>307</v>
      </c>
      <c r="B367" s="15">
        <v>367</v>
      </c>
      <c r="C367">
        <f>MOD(B367,8)</f>
        <v>7</v>
      </c>
    </row>
    <row r="368" spans="1:3" ht="16.5" x14ac:dyDescent="0.2">
      <c r="A368" s="4" t="s">
        <v>307</v>
      </c>
      <c r="B368">
        <v>368</v>
      </c>
      <c r="C368">
        <f>MOD(B368,8)</f>
        <v>0</v>
      </c>
    </row>
    <row r="369" spans="1:3" ht="16.5" x14ac:dyDescent="0.2">
      <c r="A369" s="4" t="s">
        <v>306</v>
      </c>
      <c r="B369" s="15">
        <v>369</v>
      </c>
      <c r="C369">
        <f>MOD(B369,8)</f>
        <v>1</v>
      </c>
    </row>
    <row r="370" spans="1:3" ht="16.5" x14ac:dyDescent="0.2">
      <c r="A370" s="4" t="s">
        <v>306</v>
      </c>
      <c r="B370">
        <v>370</v>
      </c>
      <c r="C370">
        <f>MOD(B370,8)</f>
        <v>2</v>
      </c>
    </row>
    <row r="371" spans="1:3" ht="16.5" x14ac:dyDescent="0.2">
      <c r="A371" s="4" t="s">
        <v>306</v>
      </c>
      <c r="B371" s="15">
        <v>371</v>
      </c>
      <c r="C371">
        <f>MOD(B371,8)</f>
        <v>3</v>
      </c>
    </row>
    <row r="372" spans="1:3" ht="16.5" x14ac:dyDescent="0.2">
      <c r="A372" s="4" t="s">
        <v>306</v>
      </c>
      <c r="B372">
        <v>372</v>
      </c>
      <c r="C372">
        <f>MOD(B372,8)</f>
        <v>4</v>
      </c>
    </row>
    <row r="373" spans="1:3" ht="16.5" x14ac:dyDescent="0.2">
      <c r="A373" s="4" t="s">
        <v>306</v>
      </c>
      <c r="B373" s="15">
        <v>373</v>
      </c>
      <c r="C373">
        <f>MOD(B373,8)</f>
        <v>5</v>
      </c>
    </row>
    <row r="374" spans="1:3" ht="16.5" x14ac:dyDescent="0.2">
      <c r="A374" s="4" t="s">
        <v>306</v>
      </c>
      <c r="B374">
        <v>374</v>
      </c>
      <c r="C374">
        <f>MOD(B374,8)</f>
        <v>6</v>
      </c>
    </row>
    <row r="375" spans="1:3" ht="16.5" x14ac:dyDescent="0.2">
      <c r="A375" s="4" t="s">
        <v>306</v>
      </c>
      <c r="B375" s="15">
        <v>375</v>
      </c>
      <c r="C375">
        <f>MOD(B375,8)</f>
        <v>7</v>
      </c>
    </row>
    <row r="376" spans="1:3" ht="16.5" x14ac:dyDescent="0.2">
      <c r="A376" s="4" t="s">
        <v>306</v>
      </c>
      <c r="B376">
        <v>376</v>
      </c>
      <c r="C376">
        <f>MOD(B376,8)</f>
        <v>0</v>
      </c>
    </row>
    <row r="377" spans="1:3" ht="16.5" x14ac:dyDescent="0.2">
      <c r="A377" s="4" t="s">
        <v>305</v>
      </c>
      <c r="B377" s="15">
        <v>377</v>
      </c>
      <c r="C377">
        <f>MOD(B377,8)</f>
        <v>1</v>
      </c>
    </row>
    <row r="378" spans="1:3" ht="16.5" x14ac:dyDescent="0.2">
      <c r="A378" s="4" t="s">
        <v>305</v>
      </c>
      <c r="B378">
        <v>378</v>
      </c>
      <c r="C378">
        <f>MOD(B378,8)</f>
        <v>2</v>
      </c>
    </row>
    <row r="379" spans="1:3" ht="16.5" x14ac:dyDescent="0.2">
      <c r="A379" s="4" t="s">
        <v>305</v>
      </c>
      <c r="B379" s="15">
        <v>379</v>
      </c>
      <c r="C379">
        <f>MOD(B379,8)</f>
        <v>3</v>
      </c>
    </row>
    <row r="380" spans="1:3" ht="16.5" x14ac:dyDescent="0.2">
      <c r="A380" s="4" t="s">
        <v>305</v>
      </c>
      <c r="B380">
        <v>380</v>
      </c>
      <c r="C380">
        <f>MOD(B380,8)</f>
        <v>4</v>
      </c>
    </row>
    <row r="381" spans="1:3" ht="16.5" x14ac:dyDescent="0.2">
      <c r="A381" s="4" t="s">
        <v>305</v>
      </c>
      <c r="B381" s="15">
        <v>381</v>
      </c>
      <c r="C381">
        <f>MOD(B381,8)</f>
        <v>5</v>
      </c>
    </row>
    <row r="382" spans="1:3" ht="16.5" x14ac:dyDescent="0.2">
      <c r="A382" s="4" t="s">
        <v>305</v>
      </c>
      <c r="B382">
        <v>382</v>
      </c>
      <c r="C382">
        <f>MOD(B382,8)</f>
        <v>6</v>
      </c>
    </row>
    <row r="383" spans="1:3" ht="16.5" x14ac:dyDescent="0.2">
      <c r="A383" s="4" t="s">
        <v>305</v>
      </c>
      <c r="B383" s="15">
        <v>383</v>
      </c>
      <c r="C383">
        <f>MOD(B383,8)</f>
        <v>7</v>
      </c>
    </row>
    <row r="384" spans="1:3" ht="16.5" x14ac:dyDescent="0.2">
      <c r="A384" s="4" t="s">
        <v>305</v>
      </c>
      <c r="B384">
        <v>384</v>
      </c>
      <c r="C384">
        <f>MOD(B384,8)</f>
        <v>0</v>
      </c>
    </row>
    <row r="385" spans="1:3" ht="16.5" x14ac:dyDescent="0.2">
      <c r="A385" s="4" t="s">
        <v>304</v>
      </c>
      <c r="B385" s="15">
        <v>385</v>
      </c>
      <c r="C385">
        <f>MOD(B385,8)</f>
        <v>1</v>
      </c>
    </row>
    <row r="386" spans="1:3" ht="16.5" x14ac:dyDescent="0.2">
      <c r="A386" s="4" t="s">
        <v>304</v>
      </c>
      <c r="B386">
        <v>386</v>
      </c>
      <c r="C386">
        <f>MOD(B386,8)</f>
        <v>2</v>
      </c>
    </row>
    <row r="387" spans="1:3" ht="16.5" x14ac:dyDescent="0.2">
      <c r="A387" s="4" t="s">
        <v>304</v>
      </c>
      <c r="B387" s="15">
        <v>387</v>
      </c>
      <c r="C387">
        <f>MOD(B387,8)</f>
        <v>3</v>
      </c>
    </row>
    <row r="388" spans="1:3" ht="16.5" x14ac:dyDescent="0.2">
      <c r="A388" s="4" t="s">
        <v>304</v>
      </c>
      <c r="B388">
        <v>388</v>
      </c>
      <c r="C388">
        <f>MOD(B388,8)</f>
        <v>4</v>
      </c>
    </row>
    <row r="389" spans="1:3" ht="16.5" x14ac:dyDescent="0.2">
      <c r="A389" s="4" t="s">
        <v>304</v>
      </c>
      <c r="B389" s="15">
        <v>389</v>
      </c>
      <c r="C389">
        <f>MOD(B389,8)</f>
        <v>5</v>
      </c>
    </row>
    <row r="390" spans="1:3" ht="16.5" x14ac:dyDescent="0.2">
      <c r="A390" s="4" t="s">
        <v>304</v>
      </c>
      <c r="B390">
        <v>390</v>
      </c>
      <c r="C390">
        <f>MOD(B390,8)</f>
        <v>6</v>
      </c>
    </row>
    <row r="391" spans="1:3" ht="16.5" x14ac:dyDescent="0.2">
      <c r="A391" s="4" t="s">
        <v>304</v>
      </c>
      <c r="B391" s="15">
        <v>391</v>
      </c>
      <c r="C391">
        <f>MOD(B391,8)</f>
        <v>7</v>
      </c>
    </row>
    <row r="392" spans="1:3" ht="16.5" x14ac:dyDescent="0.2">
      <c r="A392" s="4" t="s">
        <v>304</v>
      </c>
      <c r="B392">
        <v>392</v>
      </c>
      <c r="C392">
        <f>MOD(B392,8)</f>
        <v>0</v>
      </c>
    </row>
    <row r="393" spans="1:3" ht="16.5" x14ac:dyDescent="0.2">
      <c r="A393" s="4" t="s">
        <v>303</v>
      </c>
      <c r="B393" s="15">
        <v>393</v>
      </c>
      <c r="C393">
        <f>MOD(B393,8)</f>
        <v>1</v>
      </c>
    </row>
    <row r="394" spans="1:3" ht="16.5" x14ac:dyDescent="0.2">
      <c r="A394" s="4" t="s">
        <v>303</v>
      </c>
      <c r="B394">
        <v>394</v>
      </c>
      <c r="C394">
        <f>MOD(B394,8)</f>
        <v>2</v>
      </c>
    </row>
    <row r="395" spans="1:3" ht="16.5" x14ac:dyDescent="0.2">
      <c r="A395" s="4" t="s">
        <v>303</v>
      </c>
      <c r="B395" s="15">
        <v>395</v>
      </c>
      <c r="C395">
        <f>MOD(B395,8)</f>
        <v>3</v>
      </c>
    </row>
    <row r="396" spans="1:3" ht="16.5" x14ac:dyDescent="0.2">
      <c r="A396" s="4" t="s">
        <v>303</v>
      </c>
      <c r="B396">
        <v>396</v>
      </c>
      <c r="C396">
        <f>MOD(B396,8)</f>
        <v>4</v>
      </c>
    </row>
    <row r="397" spans="1:3" ht="16.5" x14ac:dyDescent="0.2">
      <c r="A397" s="4" t="s">
        <v>303</v>
      </c>
      <c r="B397" s="15">
        <v>397</v>
      </c>
      <c r="C397">
        <f>MOD(B397,8)</f>
        <v>5</v>
      </c>
    </row>
    <row r="398" spans="1:3" ht="16.5" x14ac:dyDescent="0.2">
      <c r="A398" s="4" t="s">
        <v>303</v>
      </c>
      <c r="B398">
        <v>398</v>
      </c>
      <c r="C398">
        <f>MOD(B398,8)</f>
        <v>6</v>
      </c>
    </row>
    <row r="399" spans="1:3" ht="16.5" x14ac:dyDescent="0.2">
      <c r="A399" s="4" t="s">
        <v>303</v>
      </c>
      <c r="B399" s="15">
        <v>399</v>
      </c>
      <c r="C399">
        <f>MOD(B399,8)</f>
        <v>7</v>
      </c>
    </row>
    <row r="400" spans="1:3" ht="16.5" x14ac:dyDescent="0.2">
      <c r="A400" s="4" t="s">
        <v>303</v>
      </c>
      <c r="B400">
        <v>400</v>
      </c>
      <c r="C400">
        <f>MOD(B400,8)</f>
        <v>0</v>
      </c>
    </row>
    <row r="401" spans="1:3" ht="16.5" x14ac:dyDescent="0.2">
      <c r="A401" s="4" t="s">
        <v>302</v>
      </c>
      <c r="B401" s="15">
        <v>401</v>
      </c>
      <c r="C401">
        <f>MOD(B401,8)</f>
        <v>1</v>
      </c>
    </row>
    <row r="402" spans="1:3" ht="16.5" x14ac:dyDescent="0.2">
      <c r="A402" s="4" t="s">
        <v>302</v>
      </c>
      <c r="B402">
        <v>402</v>
      </c>
      <c r="C402">
        <f>MOD(B402,8)</f>
        <v>2</v>
      </c>
    </row>
    <row r="403" spans="1:3" ht="16.5" x14ac:dyDescent="0.2">
      <c r="A403" s="4" t="s">
        <v>302</v>
      </c>
      <c r="B403" s="15">
        <v>403</v>
      </c>
      <c r="C403">
        <f>MOD(B403,8)</f>
        <v>3</v>
      </c>
    </row>
    <row r="404" spans="1:3" ht="16.5" x14ac:dyDescent="0.2">
      <c r="A404" s="4" t="s">
        <v>302</v>
      </c>
      <c r="B404">
        <v>404</v>
      </c>
      <c r="C404">
        <f>MOD(B404,8)</f>
        <v>4</v>
      </c>
    </row>
    <row r="405" spans="1:3" ht="16.5" x14ac:dyDescent="0.2">
      <c r="A405" s="4" t="s">
        <v>302</v>
      </c>
      <c r="B405" s="15">
        <v>405</v>
      </c>
      <c r="C405">
        <f>MOD(B405,8)</f>
        <v>5</v>
      </c>
    </row>
    <row r="406" spans="1:3" ht="16.5" x14ac:dyDescent="0.2">
      <c r="A406" s="4" t="s">
        <v>302</v>
      </c>
      <c r="B406">
        <v>406</v>
      </c>
      <c r="C406">
        <f>MOD(B406,8)</f>
        <v>6</v>
      </c>
    </row>
    <row r="407" spans="1:3" ht="16.5" x14ac:dyDescent="0.2">
      <c r="A407" s="4" t="s">
        <v>302</v>
      </c>
      <c r="B407" s="15">
        <v>407</v>
      </c>
      <c r="C407">
        <f>MOD(B407,8)</f>
        <v>7</v>
      </c>
    </row>
    <row r="408" spans="1:3" ht="16.5" x14ac:dyDescent="0.2">
      <c r="A408" s="4" t="s">
        <v>302</v>
      </c>
      <c r="B408">
        <v>408</v>
      </c>
      <c r="C408">
        <f>MOD(B408,8)</f>
        <v>0</v>
      </c>
    </row>
    <row r="409" spans="1:3" ht="16.5" x14ac:dyDescent="0.2">
      <c r="A409" s="4" t="s">
        <v>301</v>
      </c>
      <c r="B409" s="15">
        <v>409</v>
      </c>
      <c r="C409">
        <f>MOD(B409,8)</f>
        <v>1</v>
      </c>
    </row>
    <row r="410" spans="1:3" ht="16.5" x14ac:dyDescent="0.2">
      <c r="A410" s="4" t="s">
        <v>301</v>
      </c>
      <c r="B410">
        <v>410</v>
      </c>
      <c r="C410">
        <f>MOD(B410,8)</f>
        <v>2</v>
      </c>
    </row>
    <row r="411" spans="1:3" ht="16.5" x14ac:dyDescent="0.2">
      <c r="A411" s="4" t="s">
        <v>301</v>
      </c>
      <c r="B411" s="15">
        <v>411</v>
      </c>
      <c r="C411">
        <f>MOD(B411,8)</f>
        <v>3</v>
      </c>
    </row>
    <row r="412" spans="1:3" ht="16.5" x14ac:dyDescent="0.2">
      <c r="A412" s="4" t="s">
        <v>301</v>
      </c>
      <c r="B412">
        <v>412</v>
      </c>
      <c r="C412">
        <f>MOD(B412,8)</f>
        <v>4</v>
      </c>
    </row>
    <row r="413" spans="1:3" ht="16.5" x14ac:dyDescent="0.2">
      <c r="A413" s="4" t="s">
        <v>301</v>
      </c>
      <c r="B413" s="15">
        <v>413</v>
      </c>
      <c r="C413">
        <f>MOD(B413,8)</f>
        <v>5</v>
      </c>
    </row>
    <row r="414" spans="1:3" ht="16.5" x14ac:dyDescent="0.2">
      <c r="A414" s="4" t="s">
        <v>301</v>
      </c>
      <c r="B414">
        <v>414</v>
      </c>
      <c r="C414">
        <f>MOD(B414,8)</f>
        <v>6</v>
      </c>
    </row>
    <row r="415" spans="1:3" ht="16.5" x14ac:dyDescent="0.2">
      <c r="A415" s="4" t="s">
        <v>301</v>
      </c>
      <c r="B415" s="15">
        <v>415</v>
      </c>
      <c r="C415">
        <f>MOD(B415,8)</f>
        <v>7</v>
      </c>
    </row>
    <row r="416" spans="1:3" ht="16.5" x14ac:dyDescent="0.2">
      <c r="A416" s="4" t="s">
        <v>301</v>
      </c>
      <c r="B416">
        <v>416</v>
      </c>
      <c r="C416">
        <f>MOD(B416,8)</f>
        <v>0</v>
      </c>
    </row>
    <row r="417" spans="1:3" ht="16.5" x14ac:dyDescent="0.2">
      <c r="A417" s="4" t="s">
        <v>300</v>
      </c>
      <c r="B417" s="15">
        <v>417</v>
      </c>
      <c r="C417">
        <f>MOD(B417,8)</f>
        <v>1</v>
      </c>
    </row>
    <row r="418" spans="1:3" ht="16.5" x14ac:dyDescent="0.2">
      <c r="A418" s="4" t="s">
        <v>300</v>
      </c>
      <c r="B418">
        <v>418</v>
      </c>
      <c r="C418">
        <f>MOD(B418,8)</f>
        <v>2</v>
      </c>
    </row>
    <row r="419" spans="1:3" ht="16.5" x14ac:dyDescent="0.2">
      <c r="A419" s="4" t="s">
        <v>300</v>
      </c>
      <c r="B419" s="15">
        <v>419</v>
      </c>
      <c r="C419">
        <f>MOD(B419,8)</f>
        <v>3</v>
      </c>
    </row>
    <row r="420" spans="1:3" ht="16.5" x14ac:dyDescent="0.2">
      <c r="A420" s="4" t="s">
        <v>300</v>
      </c>
      <c r="B420">
        <v>420</v>
      </c>
      <c r="C420">
        <f>MOD(B420,8)</f>
        <v>4</v>
      </c>
    </row>
    <row r="421" spans="1:3" ht="16.5" x14ac:dyDescent="0.2">
      <c r="A421" s="4" t="s">
        <v>300</v>
      </c>
      <c r="B421" s="15">
        <v>421</v>
      </c>
      <c r="C421">
        <f>MOD(B421,8)</f>
        <v>5</v>
      </c>
    </row>
    <row r="422" spans="1:3" ht="16.5" x14ac:dyDescent="0.2">
      <c r="A422" s="4" t="s">
        <v>300</v>
      </c>
      <c r="B422">
        <v>422</v>
      </c>
      <c r="C422">
        <f>MOD(B422,8)</f>
        <v>6</v>
      </c>
    </row>
    <row r="423" spans="1:3" ht="16.5" x14ac:dyDescent="0.2">
      <c r="A423" s="4" t="s">
        <v>300</v>
      </c>
      <c r="B423" s="15">
        <v>423</v>
      </c>
      <c r="C423">
        <f>MOD(B423,8)</f>
        <v>7</v>
      </c>
    </row>
    <row r="424" spans="1:3" ht="16.5" x14ac:dyDescent="0.2">
      <c r="A424" s="4" t="s">
        <v>300</v>
      </c>
      <c r="B424">
        <v>424</v>
      </c>
      <c r="C424">
        <f>MOD(B424,8)</f>
        <v>0</v>
      </c>
    </row>
    <row r="425" spans="1:3" ht="16.5" x14ac:dyDescent="0.2">
      <c r="A425" s="4" t="s">
        <v>299</v>
      </c>
      <c r="B425" s="15">
        <v>425</v>
      </c>
      <c r="C425">
        <f>MOD(B425,8)</f>
        <v>1</v>
      </c>
    </row>
    <row r="426" spans="1:3" ht="16.5" x14ac:dyDescent="0.2">
      <c r="A426" s="4" t="s">
        <v>299</v>
      </c>
      <c r="B426">
        <v>426</v>
      </c>
      <c r="C426">
        <f>MOD(B426,8)</f>
        <v>2</v>
      </c>
    </row>
    <row r="427" spans="1:3" ht="16.5" x14ac:dyDescent="0.2">
      <c r="A427" s="4" t="s">
        <v>299</v>
      </c>
      <c r="B427" s="15">
        <v>427</v>
      </c>
      <c r="C427">
        <f>MOD(B427,8)</f>
        <v>3</v>
      </c>
    </row>
    <row r="428" spans="1:3" ht="16.5" x14ac:dyDescent="0.2">
      <c r="A428" s="4" t="s">
        <v>299</v>
      </c>
      <c r="B428">
        <v>428</v>
      </c>
      <c r="C428">
        <f>MOD(B428,8)</f>
        <v>4</v>
      </c>
    </row>
    <row r="429" spans="1:3" ht="16.5" x14ac:dyDescent="0.2">
      <c r="A429" s="4" t="s">
        <v>299</v>
      </c>
      <c r="B429" s="15">
        <v>429</v>
      </c>
      <c r="C429">
        <f>MOD(B429,8)</f>
        <v>5</v>
      </c>
    </row>
    <row r="430" spans="1:3" ht="16.5" x14ac:dyDescent="0.2">
      <c r="A430" s="4" t="s">
        <v>299</v>
      </c>
      <c r="B430">
        <v>430</v>
      </c>
      <c r="C430">
        <f>MOD(B430,8)</f>
        <v>6</v>
      </c>
    </row>
    <row r="431" spans="1:3" ht="16.5" x14ac:dyDescent="0.2">
      <c r="A431" s="4" t="s">
        <v>299</v>
      </c>
      <c r="B431" s="15">
        <v>431</v>
      </c>
      <c r="C431">
        <f>MOD(B431,8)</f>
        <v>7</v>
      </c>
    </row>
    <row r="432" spans="1:3" ht="16.5" x14ac:dyDescent="0.2">
      <c r="A432" s="4" t="s">
        <v>299</v>
      </c>
      <c r="B432">
        <v>432</v>
      </c>
      <c r="C432">
        <f>MOD(B432,8)</f>
        <v>0</v>
      </c>
    </row>
    <row r="433" spans="1:3" ht="16.5" x14ac:dyDescent="0.2">
      <c r="A433" s="4" t="s">
        <v>298</v>
      </c>
      <c r="B433" s="15">
        <v>433</v>
      </c>
      <c r="C433">
        <f>MOD(B433,8)</f>
        <v>1</v>
      </c>
    </row>
    <row r="434" spans="1:3" ht="16.5" x14ac:dyDescent="0.2">
      <c r="A434" s="4" t="s">
        <v>298</v>
      </c>
      <c r="B434">
        <v>434</v>
      </c>
      <c r="C434">
        <f>MOD(B434,8)</f>
        <v>2</v>
      </c>
    </row>
    <row r="435" spans="1:3" ht="16.5" x14ac:dyDescent="0.2">
      <c r="A435" s="4" t="s">
        <v>298</v>
      </c>
      <c r="B435" s="15">
        <v>435</v>
      </c>
      <c r="C435">
        <f>MOD(B435,8)</f>
        <v>3</v>
      </c>
    </row>
    <row r="436" spans="1:3" ht="16.5" x14ac:dyDescent="0.2">
      <c r="A436" s="4" t="s">
        <v>298</v>
      </c>
      <c r="B436">
        <v>436</v>
      </c>
      <c r="C436">
        <f>MOD(B436,8)</f>
        <v>4</v>
      </c>
    </row>
    <row r="437" spans="1:3" ht="16.5" x14ac:dyDescent="0.2">
      <c r="A437" s="4" t="s">
        <v>298</v>
      </c>
      <c r="B437" s="15">
        <v>437</v>
      </c>
      <c r="C437">
        <f>MOD(B437,8)</f>
        <v>5</v>
      </c>
    </row>
    <row r="438" spans="1:3" ht="16.5" x14ac:dyDescent="0.2">
      <c r="A438" s="4" t="s">
        <v>298</v>
      </c>
      <c r="B438">
        <v>438</v>
      </c>
      <c r="C438">
        <f>MOD(B438,8)</f>
        <v>6</v>
      </c>
    </row>
    <row r="439" spans="1:3" ht="16.5" x14ac:dyDescent="0.2">
      <c r="A439" s="4" t="s">
        <v>298</v>
      </c>
      <c r="B439" s="15">
        <v>439</v>
      </c>
      <c r="C439">
        <f>MOD(B439,8)</f>
        <v>7</v>
      </c>
    </row>
    <row r="440" spans="1:3" ht="16.5" x14ac:dyDescent="0.2">
      <c r="A440" s="4" t="s">
        <v>298</v>
      </c>
      <c r="B440">
        <v>440</v>
      </c>
      <c r="C440">
        <f>MOD(B440,8)</f>
        <v>0</v>
      </c>
    </row>
    <row r="441" spans="1:3" ht="16.5" x14ac:dyDescent="0.2">
      <c r="A441" s="4" t="s">
        <v>297</v>
      </c>
      <c r="B441" s="15">
        <v>441</v>
      </c>
      <c r="C441">
        <f>MOD(B441,8)</f>
        <v>1</v>
      </c>
    </row>
    <row r="442" spans="1:3" ht="16.5" x14ac:dyDescent="0.2">
      <c r="A442" s="4" t="s">
        <v>297</v>
      </c>
      <c r="B442">
        <v>442</v>
      </c>
      <c r="C442">
        <f>MOD(B442,8)</f>
        <v>2</v>
      </c>
    </row>
    <row r="443" spans="1:3" ht="16.5" x14ac:dyDescent="0.2">
      <c r="A443" s="4" t="s">
        <v>297</v>
      </c>
      <c r="B443" s="15">
        <v>443</v>
      </c>
      <c r="C443">
        <f>MOD(B443,8)</f>
        <v>3</v>
      </c>
    </row>
    <row r="444" spans="1:3" ht="16.5" x14ac:dyDescent="0.2">
      <c r="A444" s="4" t="s">
        <v>297</v>
      </c>
      <c r="B444">
        <v>444</v>
      </c>
      <c r="C444">
        <f>MOD(B444,8)</f>
        <v>4</v>
      </c>
    </row>
    <row r="445" spans="1:3" ht="16.5" x14ac:dyDescent="0.2">
      <c r="A445" s="4" t="s">
        <v>297</v>
      </c>
      <c r="B445" s="15">
        <v>445</v>
      </c>
      <c r="C445">
        <f>MOD(B445,8)</f>
        <v>5</v>
      </c>
    </row>
    <row r="446" spans="1:3" ht="16.5" x14ac:dyDescent="0.2">
      <c r="A446" s="4" t="s">
        <v>297</v>
      </c>
      <c r="B446">
        <v>446</v>
      </c>
      <c r="C446">
        <f>MOD(B446,8)</f>
        <v>6</v>
      </c>
    </row>
    <row r="447" spans="1:3" ht="16.5" x14ac:dyDescent="0.2">
      <c r="A447" s="4" t="s">
        <v>297</v>
      </c>
      <c r="B447" s="15">
        <v>447</v>
      </c>
      <c r="C447">
        <f>MOD(B447,8)</f>
        <v>7</v>
      </c>
    </row>
    <row r="448" spans="1:3" ht="16.5" x14ac:dyDescent="0.2">
      <c r="A448" s="4" t="s">
        <v>297</v>
      </c>
      <c r="B448">
        <v>448</v>
      </c>
      <c r="C448">
        <f>MOD(B448,8)</f>
        <v>0</v>
      </c>
    </row>
    <row r="449" spans="1:3" ht="16.5" x14ac:dyDescent="0.2">
      <c r="A449" s="4" t="s">
        <v>296</v>
      </c>
      <c r="B449" s="15">
        <v>449</v>
      </c>
      <c r="C449">
        <f>MOD(B449,8)</f>
        <v>1</v>
      </c>
    </row>
    <row r="450" spans="1:3" ht="16.5" x14ac:dyDescent="0.2">
      <c r="A450" s="4" t="s">
        <v>296</v>
      </c>
      <c r="B450">
        <v>450</v>
      </c>
      <c r="C450">
        <f>MOD(B450,8)</f>
        <v>2</v>
      </c>
    </row>
    <row r="451" spans="1:3" ht="16.5" x14ac:dyDescent="0.2">
      <c r="A451" s="4" t="s">
        <v>296</v>
      </c>
      <c r="B451" s="15">
        <v>451</v>
      </c>
      <c r="C451">
        <f>MOD(B451,8)</f>
        <v>3</v>
      </c>
    </row>
    <row r="452" spans="1:3" ht="16.5" x14ac:dyDescent="0.2">
      <c r="A452" s="4" t="s">
        <v>296</v>
      </c>
      <c r="B452">
        <v>452</v>
      </c>
      <c r="C452">
        <f>MOD(B452,8)</f>
        <v>4</v>
      </c>
    </row>
    <row r="453" spans="1:3" ht="16.5" x14ac:dyDescent="0.2">
      <c r="A453" s="4" t="s">
        <v>296</v>
      </c>
      <c r="B453" s="15">
        <v>453</v>
      </c>
      <c r="C453">
        <f>MOD(B453,8)</f>
        <v>5</v>
      </c>
    </row>
    <row r="454" spans="1:3" ht="16.5" x14ac:dyDescent="0.2">
      <c r="A454" s="4" t="s">
        <v>296</v>
      </c>
      <c r="B454">
        <v>454</v>
      </c>
      <c r="C454">
        <f>MOD(B454,8)</f>
        <v>6</v>
      </c>
    </row>
    <row r="455" spans="1:3" ht="16.5" x14ac:dyDescent="0.2">
      <c r="A455" s="4" t="s">
        <v>296</v>
      </c>
      <c r="B455" s="15">
        <v>455</v>
      </c>
      <c r="C455">
        <f>MOD(B455,8)</f>
        <v>7</v>
      </c>
    </row>
    <row r="456" spans="1:3" ht="16.5" x14ac:dyDescent="0.2">
      <c r="A456" s="4" t="s">
        <v>296</v>
      </c>
      <c r="B456">
        <v>456</v>
      </c>
      <c r="C456">
        <f>MOD(B456,8)</f>
        <v>0</v>
      </c>
    </row>
    <row r="457" spans="1:3" ht="16.5" x14ac:dyDescent="0.2">
      <c r="A457" s="4" t="s">
        <v>295</v>
      </c>
      <c r="B457" s="15">
        <v>457</v>
      </c>
      <c r="C457">
        <f>MOD(B457,8)</f>
        <v>1</v>
      </c>
    </row>
    <row r="458" spans="1:3" ht="16.5" x14ac:dyDescent="0.2">
      <c r="A458" s="4" t="s">
        <v>295</v>
      </c>
      <c r="B458">
        <v>458</v>
      </c>
      <c r="C458">
        <f>MOD(B458,8)</f>
        <v>2</v>
      </c>
    </row>
    <row r="459" spans="1:3" ht="16.5" x14ac:dyDescent="0.2">
      <c r="A459" s="4" t="s">
        <v>295</v>
      </c>
      <c r="B459" s="15">
        <v>459</v>
      </c>
      <c r="C459">
        <f>MOD(B459,8)</f>
        <v>3</v>
      </c>
    </row>
    <row r="460" spans="1:3" ht="16.5" x14ac:dyDescent="0.2">
      <c r="A460" s="4" t="s">
        <v>295</v>
      </c>
      <c r="B460">
        <v>460</v>
      </c>
      <c r="C460">
        <f>MOD(B460,8)</f>
        <v>4</v>
      </c>
    </row>
    <row r="461" spans="1:3" ht="16.5" x14ac:dyDescent="0.2">
      <c r="A461" s="4" t="s">
        <v>295</v>
      </c>
      <c r="B461" s="15">
        <v>461</v>
      </c>
      <c r="C461">
        <f>MOD(B461,8)</f>
        <v>5</v>
      </c>
    </row>
    <row r="462" spans="1:3" ht="16.5" x14ac:dyDescent="0.2">
      <c r="A462" s="4" t="s">
        <v>295</v>
      </c>
      <c r="B462">
        <v>462</v>
      </c>
      <c r="C462">
        <f>MOD(B462,8)</f>
        <v>6</v>
      </c>
    </row>
    <row r="463" spans="1:3" ht="16.5" x14ac:dyDescent="0.2">
      <c r="A463" s="4" t="s">
        <v>295</v>
      </c>
      <c r="B463" s="15">
        <v>463</v>
      </c>
      <c r="C463">
        <f>MOD(B463,8)</f>
        <v>7</v>
      </c>
    </row>
    <row r="464" spans="1:3" ht="16.5" x14ac:dyDescent="0.2">
      <c r="A464" s="4" t="s">
        <v>295</v>
      </c>
      <c r="B464">
        <v>464</v>
      </c>
      <c r="C464">
        <f>MOD(B464,8)</f>
        <v>0</v>
      </c>
    </row>
    <row r="465" spans="1:3" ht="16.5" x14ac:dyDescent="0.2">
      <c r="A465" s="4" t="s">
        <v>294</v>
      </c>
      <c r="B465" s="15">
        <v>465</v>
      </c>
      <c r="C465">
        <f>MOD(B465,8)</f>
        <v>1</v>
      </c>
    </row>
    <row r="466" spans="1:3" ht="16.5" x14ac:dyDescent="0.2">
      <c r="A466" s="4" t="s">
        <v>294</v>
      </c>
      <c r="B466">
        <v>466</v>
      </c>
      <c r="C466">
        <f>MOD(B466,8)</f>
        <v>2</v>
      </c>
    </row>
    <row r="467" spans="1:3" ht="16.5" x14ac:dyDescent="0.2">
      <c r="A467" s="4" t="s">
        <v>294</v>
      </c>
      <c r="B467" s="15">
        <v>467</v>
      </c>
      <c r="C467">
        <f>MOD(B467,8)</f>
        <v>3</v>
      </c>
    </row>
    <row r="468" spans="1:3" ht="16.5" x14ac:dyDescent="0.2">
      <c r="A468" s="4" t="s">
        <v>294</v>
      </c>
      <c r="B468">
        <v>468</v>
      </c>
      <c r="C468">
        <f>MOD(B468,8)</f>
        <v>4</v>
      </c>
    </row>
    <row r="469" spans="1:3" ht="16.5" x14ac:dyDescent="0.2">
      <c r="A469" s="4" t="s">
        <v>294</v>
      </c>
      <c r="B469" s="15">
        <v>469</v>
      </c>
      <c r="C469">
        <f>MOD(B469,8)</f>
        <v>5</v>
      </c>
    </row>
    <row r="470" spans="1:3" ht="16.5" x14ac:dyDescent="0.2">
      <c r="A470" s="4" t="s">
        <v>294</v>
      </c>
      <c r="B470">
        <v>470</v>
      </c>
      <c r="C470">
        <f>MOD(B470,8)</f>
        <v>6</v>
      </c>
    </row>
    <row r="471" spans="1:3" ht="16.5" x14ac:dyDescent="0.2">
      <c r="A471" s="4" t="s">
        <v>294</v>
      </c>
      <c r="B471" s="15">
        <v>471</v>
      </c>
      <c r="C471">
        <f>MOD(B471,8)</f>
        <v>7</v>
      </c>
    </row>
    <row r="472" spans="1:3" ht="16.5" x14ac:dyDescent="0.2">
      <c r="A472" s="4" t="s">
        <v>294</v>
      </c>
      <c r="B472">
        <v>472</v>
      </c>
      <c r="C472">
        <f>MOD(B472,8)</f>
        <v>0</v>
      </c>
    </row>
    <row r="473" spans="1:3" ht="16.5" x14ac:dyDescent="0.2">
      <c r="A473" s="4" t="s">
        <v>293</v>
      </c>
      <c r="B473" s="15">
        <v>473</v>
      </c>
      <c r="C473">
        <f>MOD(B473,8)</f>
        <v>1</v>
      </c>
    </row>
    <row r="474" spans="1:3" ht="16.5" x14ac:dyDescent="0.2">
      <c r="A474" s="4" t="s">
        <v>293</v>
      </c>
      <c r="B474">
        <v>474</v>
      </c>
      <c r="C474">
        <f>MOD(B474,8)</f>
        <v>2</v>
      </c>
    </row>
    <row r="475" spans="1:3" ht="16.5" x14ac:dyDescent="0.2">
      <c r="A475" s="4" t="s">
        <v>293</v>
      </c>
      <c r="B475" s="15">
        <v>475</v>
      </c>
      <c r="C475">
        <f>MOD(B475,8)</f>
        <v>3</v>
      </c>
    </row>
    <row r="476" spans="1:3" ht="16.5" x14ac:dyDescent="0.2">
      <c r="A476" s="4" t="s">
        <v>293</v>
      </c>
      <c r="B476">
        <v>476</v>
      </c>
      <c r="C476">
        <f>MOD(B476,8)</f>
        <v>4</v>
      </c>
    </row>
    <row r="477" spans="1:3" ht="16.5" x14ac:dyDescent="0.2">
      <c r="A477" s="4" t="s">
        <v>293</v>
      </c>
      <c r="B477" s="15">
        <v>477</v>
      </c>
      <c r="C477">
        <f>MOD(B477,8)</f>
        <v>5</v>
      </c>
    </row>
    <row r="478" spans="1:3" ht="16.5" x14ac:dyDescent="0.2">
      <c r="A478" s="4" t="s">
        <v>293</v>
      </c>
      <c r="B478">
        <v>478</v>
      </c>
      <c r="C478">
        <f>MOD(B478,8)</f>
        <v>6</v>
      </c>
    </row>
    <row r="479" spans="1:3" ht="16.5" x14ac:dyDescent="0.2">
      <c r="A479" s="4" t="s">
        <v>293</v>
      </c>
      <c r="B479" s="15">
        <v>479</v>
      </c>
      <c r="C479">
        <f>MOD(B479,8)</f>
        <v>7</v>
      </c>
    </row>
    <row r="480" spans="1:3" ht="16.5" x14ac:dyDescent="0.2">
      <c r="A480" s="4" t="s">
        <v>293</v>
      </c>
      <c r="B480">
        <v>480</v>
      </c>
      <c r="C480">
        <f>MOD(B480,8)</f>
        <v>0</v>
      </c>
    </row>
    <row r="481" spans="1:3" ht="16.5" x14ac:dyDescent="0.2">
      <c r="A481" s="4" t="s">
        <v>292</v>
      </c>
      <c r="B481" s="15">
        <v>481</v>
      </c>
      <c r="C481">
        <f>MOD(B481,8)</f>
        <v>1</v>
      </c>
    </row>
    <row r="482" spans="1:3" ht="16.5" x14ac:dyDescent="0.2">
      <c r="A482" s="4" t="s">
        <v>292</v>
      </c>
      <c r="B482">
        <v>482</v>
      </c>
      <c r="C482">
        <f>MOD(B482,8)</f>
        <v>2</v>
      </c>
    </row>
    <row r="483" spans="1:3" ht="16.5" x14ac:dyDescent="0.2">
      <c r="A483" s="4" t="s">
        <v>292</v>
      </c>
      <c r="B483" s="15">
        <v>483</v>
      </c>
      <c r="C483">
        <f>MOD(B483,8)</f>
        <v>3</v>
      </c>
    </row>
    <row r="484" spans="1:3" ht="16.5" x14ac:dyDescent="0.2">
      <c r="A484" s="4" t="s">
        <v>292</v>
      </c>
      <c r="B484">
        <v>484</v>
      </c>
      <c r="C484">
        <f>MOD(B484,8)</f>
        <v>4</v>
      </c>
    </row>
    <row r="485" spans="1:3" ht="16.5" x14ac:dyDescent="0.2">
      <c r="A485" s="4" t="s">
        <v>292</v>
      </c>
      <c r="B485" s="15">
        <v>485</v>
      </c>
      <c r="C485">
        <f>MOD(B485,8)</f>
        <v>5</v>
      </c>
    </row>
    <row r="486" spans="1:3" ht="16.5" x14ac:dyDescent="0.2">
      <c r="A486" s="4" t="s">
        <v>292</v>
      </c>
      <c r="B486">
        <v>486</v>
      </c>
      <c r="C486">
        <f>MOD(B486,8)</f>
        <v>6</v>
      </c>
    </row>
    <row r="487" spans="1:3" ht="16.5" x14ac:dyDescent="0.2">
      <c r="A487" s="4" t="s">
        <v>292</v>
      </c>
      <c r="B487" s="15">
        <v>487</v>
      </c>
      <c r="C487">
        <f>MOD(B487,8)</f>
        <v>7</v>
      </c>
    </row>
    <row r="488" spans="1:3" ht="16.5" x14ac:dyDescent="0.2">
      <c r="A488" s="4" t="s">
        <v>292</v>
      </c>
      <c r="B488">
        <v>488</v>
      </c>
      <c r="C488">
        <f>MOD(B488,8)</f>
        <v>0</v>
      </c>
    </row>
    <row r="489" spans="1:3" ht="16.5" x14ac:dyDescent="0.2">
      <c r="A489" s="4" t="s">
        <v>291</v>
      </c>
      <c r="B489" s="15">
        <v>489</v>
      </c>
      <c r="C489">
        <f>MOD(B489,8)</f>
        <v>1</v>
      </c>
    </row>
    <row r="490" spans="1:3" ht="16.5" x14ac:dyDescent="0.2">
      <c r="A490" s="4" t="s">
        <v>291</v>
      </c>
      <c r="B490">
        <v>490</v>
      </c>
      <c r="C490">
        <f>MOD(B490,8)</f>
        <v>2</v>
      </c>
    </row>
    <row r="491" spans="1:3" ht="16.5" x14ac:dyDescent="0.2">
      <c r="A491" s="4" t="s">
        <v>291</v>
      </c>
      <c r="B491" s="15">
        <v>491</v>
      </c>
      <c r="C491">
        <f>MOD(B491,8)</f>
        <v>3</v>
      </c>
    </row>
    <row r="492" spans="1:3" ht="16.5" x14ac:dyDescent="0.2">
      <c r="A492" s="4" t="s">
        <v>291</v>
      </c>
      <c r="B492">
        <v>492</v>
      </c>
      <c r="C492">
        <f>MOD(B492,8)</f>
        <v>4</v>
      </c>
    </row>
    <row r="493" spans="1:3" ht="16.5" x14ac:dyDescent="0.2">
      <c r="A493" s="4" t="s">
        <v>291</v>
      </c>
      <c r="B493" s="15">
        <v>493</v>
      </c>
      <c r="C493">
        <f>MOD(B493,8)</f>
        <v>5</v>
      </c>
    </row>
    <row r="494" spans="1:3" ht="16.5" x14ac:dyDescent="0.2">
      <c r="A494" s="4" t="s">
        <v>291</v>
      </c>
      <c r="B494">
        <v>494</v>
      </c>
      <c r="C494">
        <f>MOD(B494,8)</f>
        <v>6</v>
      </c>
    </row>
    <row r="495" spans="1:3" ht="16.5" x14ac:dyDescent="0.2">
      <c r="A495" s="4" t="s">
        <v>291</v>
      </c>
      <c r="B495" s="15">
        <v>495</v>
      </c>
      <c r="C495">
        <f>MOD(B495,8)</f>
        <v>7</v>
      </c>
    </row>
    <row r="496" spans="1:3" ht="16.5" x14ac:dyDescent="0.2">
      <c r="A496" s="4" t="s">
        <v>291</v>
      </c>
      <c r="B496">
        <v>496</v>
      </c>
      <c r="C496">
        <f>MOD(B496,8)</f>
        <v>0</v>
      </c>
    </row>
    <row r="497" spans="1:3" ht="16.5" x14ac:dyDescent="0.2">
      <c r="A497" s="4" t="s">
        <v>290</v>
      </c>
      <c r="B497" s="15">
        <v>497</v>
      </c>
      <c r="C497">
        <f>MOD(B497,8)</f>
        <v>1</v>
      </c>
    </row>
    <row r="498" spans="1:3" ht="16.5" x14ac:dyDescent="0.2">
      <c r="A498" s="4" t="s">
        <v>290</v>
      </c>
      <c r="B498">
        <v>498</v>
      </c>
      <c r="C498">
        <f>MOD(B498,8)</f>
        <v>2</v>
      </c>
    </row>
    <row r="499" spans="1:3" ht="16.5" x14ac:dyDescent="0.2">
      <c r="A499" s="4" t="s">
        <v>290</v>
      </c>
      <c r="B499" s="15">
        <v>499</v>
      </c>
      <c r="C499">
        <f>MOD(B499,8)</f>
        <v>3</v>
      </c>
    </row>
    <row r="500" spans="1:3" ht="16.5" x14ac:dyDescent="0.2">
      <c r="A500" s="4" t="s">
        <v>290</v>
      </c>
      <c r="B500">
        <v>500</v>
      </c>
      <c r="C500">
        <f>MOD(B500,8)</f>
        <v>4</v>
      </c>
    </row>
    <row r="501" spans="1:3" ht="16.5" x14ac:dyDescent="0.2">
      <c r="A501" s="4" t="s">
        <v>290</v>
      </c>
      <c r="B501" s="15">
        <v>501</v>
      </c>
      <c r="C501">
        <f>MOD(B501,8)</f>
        <v>5</v>
      </c>
    </row>
    <row r="502" spans="1:3" ht="16.5" x14ac:dyDescent="0.2">
      <c r="A502" s="4" t="s">
        <v>290</v>
      </c>
      <c r="B502">
        <v>502</v>
      </c>
      <c r="C502">
        <f>MOD(B502,8)</f>
        <v>6</v>
      </c>
    </row>
    <row r="503" spans="1:3" ht="16.5" x14ac:dyDescent="0.2">
      <c r="A503" s="4" t="s">
        <v>290</v>
      </c>
      <c r="B503" s="15">
        <v>503</v>
      </c>
      <c r="C503">
        <f>MOD(B503,8)</f>
        <v>7</v>
      </c>
    </row>
    <row r="504" spans="1:3" ht="16.5" x14ac:dyDescent="0.2">
      <c r="A504" s="4" t="s">
        <v>290</v>
      </c>
      <c r="B504">
        <v>504</v>
      </c>
      <c r="C504">
        <f>MOD(B504,8)</f>
        <v>0</v>
      </c>
    </row>
    <row r="505" spans="1:3" ht="16.5" x14ac:dyDescent="0.2">
      <c r="A505" s="4" t="s">
        <v>289</v>
      </c>
      <c r="B505" s="15">
        <v>505</v>
      </c>
      <c r="C505">
        <f>MOD(B505,8)</f>
        <v>1</v>
      </c>
    </row>
    <row r="506" spans="1:3" ht="16.5" x14ac:dyDescent="0.2">
      <c r="A506" s="4" t="s">
        <v>289</v>
      </c>
      <c r="B506">
        <v>506</v>
      </c>
      <c r="C506">
        <f>MOD(B506,8)</f>
        <v>2</v>
      </c>
    </row>
    <row r="507" spans="1:3" ht="16.5" x14ac:dyDescent="0.2">
      <c r="A507" s="4" t="s">
        <v>289</v>
      </c>
      <c r="B507" s="15">
        <v>507</v>
      </c>
      <c r="C507">
        <f>MOD(B507,8)</f>
        <v>3</v>
      </c>
    </row>
    <row r="508" spans="1:3" ht="16.5" x14ac:dyDescent="0.2">
      <c r="A508" s="4" t="s">
        <v>289</v>
      </c>
      <c r="B508">
        <v>508</v>
      </c>
      <c r="C508">
        <f>MOD(B508,8)</f>
        <v>4</v>
      </c>
    </row>
    <row r="509" spans="1:3" ht="16.5" x14ac:dyDescent="0.2">
      <c r="A509" s="4" t="s">
        <v>289</v>
      </c>
      <c r="B509" s="15">
        <v>509</v>
      </c>
      <c r="C509">
        <f>MOD(B509,8)</f>
        <v>5</v>
      </c>
    </row>
    <row r="510" spans="1:3" ht="16.5" x14ac:dyDescent="0.2">
      <c r="A510" s="4" t="s">
        <v>289</v>
      </c>
      <c r="B510">
        <v>510</v>
      </c>
      <c r="C510">
        <f>MOD(B510,8)</f>
        <v>6</v>
      </c>
    </row>
    <row r="511" spans="1:3" ht="16.5" x14ac:dyDescent="0.2">
      <c r="A511" s="4" t="s">
        <v>289</v>
      </c>
      <c r="B511" s="15">
        <v>511</v>
      </c>
      <c r="C511">
        <f>MOD(B511,8)</f>
        <v>7</v>
      </c>
    </row>
    <row r="512" spans="1:3" ht="16.5" x14ac:dyDescent="0.2">
      <c r="A512" s="4" t="s">
        <v>289</v>
      </c>
      <c r="B512">
        <v>512</v>
      </c>
      <c r="C512">
        <f>MOD(B512,8)</f>
        <v>0</v>
      </c>
    </row>
    <row r="513" spans="1:3" ht="16.5" x14ac:dyDescent="0.2">
      <c r="A513" s="4" t="s">
        <v>288</v>
      </c>
      <c r="B513" s="15">
        <v>513</v>
      </c>
      <c r="C513">
        <f>MOD(B513,8)</f>
        <v>1</v>
      </c>
    </row>
    <row r="514" spans="1:3" ht="16.5" x14ac:dyDescent="0.2">
      <c r="A514" s="4" t="s">
        <v>288</v>
      </c>
      <c r="B514">
        <v>514</v>
      </c>
      <c r="C514">
        <f>MOD(B514,8)</f>
        <v>2</v>
      </c>
    </row>
    <row r="515" spans="1:3" ht="16.5" x14ac:dyDescent="0.2">
      <c r="A515" s="4" t="s">
        <v>288</v>
      </c>
      <c r="B515" s="15">
        <v>515</v>
      </c>
      <c r="C515">
        <f>MOD(B515,8)</f>
        <v>3</v>
      </c>
    </row>
    <row r="516" spans="1:3" ht="16.5" x14ac:dyDescent="0.2">
      <c r="A516" s="4" t="s">
        <v>288</v>
      </c>
      <c r="B516">
        <v>516</v>
      </c>
      <c r="C516">
        <f>MOD(B516,8)</f>
        <v>4</v>
      </c>
    </row>
    <row r="517" spans="1:3" ht="16.5" x14ac:dyDescent="0.2">
      <c r="A517" s="4" t="s">
        <v>288</v>
      </c>
      <c r="B517" s="15">
        <v>517</v>
      </c>
      <c r="C517">
        <f>MOD(B517,8)</f>
        <v>5</v>
      </c>
    </row>
    <row r="518" spans="1:3" ht="16.5" x14ac:dyDescent="0.2">
      <c r="A518" s="4" t="s">
        <v>288</v>
      </c>
      <c r="B518">
        <v>518</v>
      </c>
      <c r="C518">
        <f>MOD(B518,8)</f>
        <v>6</v>
      </c>
    </row>
    <row r="519" spans="1:3" ht="16.5" x14ac:dyDescent="0.2">
      <c r="A519" s="4" t="s">
        <v>288</v>
      </c>
      <c r="B519" s="15">
        <v>519</v>
      </c>
      <c r="C519">
        <f>MOD(B519,8)</f>
        <v>7</v>
      </c>
    </row>
    <row r="520" spans="1:3" ht="16.5" x14ac:dyDescent="0.2">
      <c r="A520" s="4" t="s">
        <v>288</v>
      </c>
      <c r="B520">
        <v>520</v>
      </c>
      <c r="C520">
        <f>MOD(B520,8)</f>
        <v>0</v>
      </c>
    </row>
    <row r="521" spans="1:3" ht="16.5" x14ac:dyDescent="0.2">
      <c r="A521" s="4" t="s">
        <v>287</v>
      </c>
      <c r="B521" s="15">
        <v>521</v>
      </c>
      <c r="C521">
        <f>MOD(B521,8)</f>
        <v>1</v>
      </c>
    </row>
    <row r="522" spans="1:3" ht="16.5" x14ac:dyDescent="0.2">
      <c r="A522" s="4" t="s">
        <v>287</v>
      </c>
      <c r="B522">
        <v>522</v>
      </c>
      <c r="C522">
        <f>MOD(B522,8)</f>
        <v>2</v>
      </c>
    </row>
    <row r="523" spans="1:3" ht="16.5" x14ac:dyDescent="0.2">
      <c r="A523" s="4" t="s">
        <v>287</v>
      </c>
      <c r="B523" s="15">
        <v>523</v>
      </c>
      <c r="C523">
        <f>MOD(B523,8)</f>
        <v>3</v>
      </c>
    </row>
    <row r="524" spans="1:3" ht="16.5" x14ac:dyDescent="0.2">
      <c r="A524" s="4" t="s">
        <v>287</v>
      </c>
      <c r="B524">
        <v>524</v>
      </c>
      <c r="C524">
        <f>MOD(B524,8)</f>
        <v>4</v>
      </c>
    </row>
    <row r="525" spans="1:3" ht="16.5" x14ac:dyDescent="0.2">
      <c r="A525" s="4" t="s">
        <v>287</v>
      </c>
      <c r="B525" s="15">
        <v>525</v>
      </c>
      <c r="C525">
        <f>MOD(B525,8)</f>
        <v>5</v>
      </c>
    </row>
    <row r="526" spans="1:3" ht="16.5" x14ac:dyDescent="0.2">
      <c r="A526" s="4" t="s">
        <v>287</v>
      </c>
      <c r="B526">
        <v>526</v>
      </c>
      <c r="C526">
        <f>MOD(B526,8)</f>
        <v>6</v>
      </c>
    </row>
    <row r="527" spans="1:3" ht="16.5" x14ac:dyDescent="0.2">
      <c r="A527" s="4" t="s">
        <v>287</v>
      </c>
      <c r="B527" s="15">
        <v>527</v>
      </c>
      <c r="C527">
        <f>MOD(B527,8)</f>
        <v>7</v>
      </c>
    </row>
    <row r="528" spans="1:3" ht="16.5" x14ac:dyDescent="0.2">
      <c r="A528" s="4" t="s">
        <v>287</v>
      </c>
      <c r="B528">
        <v>528</v>
      </c>
      <c r="C528">
        <f>MOD(B528,8)</f>
        <v>0</v>
      </c>
    </row>
    <row r="529" spans="1:3" ht="16.5" x14ac:dyDescent="0.2">
      <c r="A529" s="4" t="s">
        <v>286</v>
      </c>
      <c r="B529" s="15">
        <v>529</v>
      </c>
      <c r="C529">
        <f>MOD(B529,8)</f>
        <v>1</v>
      </c>
    </row>
    <row r="530" spans="1:3" ht="16.5" x14ac:dyDescent="0.2">
      <c r="A530" s="4" t="s">
        <v>286</v>
      </c>
      <c r="B530">
        <v>530</v>
      </c>
      <c r="C530">
        <f>MOD(B530,8)</f>
        <v>2</v>
      </c>
    </row>
    <row r="531" spans="1:3" ht="16.5" x14ac:dyDescent="0.2">
      <c r="A531" s="4" t="s">
        <v>286</v>
      </c>
      <c r="B531" s="15">
        <v>531</v>
      </c>
      <c r="C531">
        <f>MOD(B531,8)</f>
        <v>3</v>
      </c>
    </row>
    <row r="532" spans="1:3" ht="16.5" x14ac:dyDescent="0.2">
      <c r="A532" s="4" t="s">
        <v>286</v>
      </c>
      <c r="B532">
        <v>532</v>
      </c>
      <c r="C532">
        <f>MOD(B532,8)</f>
        <v>4</v>
      </c>
    </row>
    <row r="533" spans="1:3" ht="16.5" x14ac:dyDescent="0.2">
      <c r="A533" s="4" t="s">
        <v>286</v>
      </c>
      <c r="B533" s="15">
        <v>533</v>
      </c>
      <c r="C533">
        <f>MOD(B533,8)</f>
        <v>5</v>
      </c>
    </row>
    <row r="534" spans="1:3" ht="16.5" x14ac:dyDescent="0.2">
      <c r="A534" s="4" t="s">
        <v>286</v>
      </c>
      <c r="B534">
        <v>534</v>
      </c>
      <c r="C534">
        <f>MOD(B534,8)</f>
        <v>6</v>
      </c>
    </row>
    <row r="535" spans="1:3" ht="16.5" x14ac:dyDescent="0.2">
      <c r="A535" s="4" t="s">
        <v>286</v>
      </c>
      <c r="B535" s="15">
        <v>535</v>
      </c>
      <c r="C535">
        <f>MOD(B535,8)</f>
        <v>7</v>
      </c>
    </row>
    <row r="536" spans="1:3" ht="16.5" x14ac:dyDescent="0.2">
      <c r="A536" s="4" t="s">
        <v>286</v>
      </c>
      <c r="B536">
        <v>536</v>
      </c>
      <c r="C536">
        <f>MOD(B536,8)</f>
        <v>0</v>
      </c>
    </row>
    <row r="537" spans="1:3" ht="16.5" x14ac:dyDescent="0.2">
      <c r="A537" s="4" t="s">
        <v>285</v>
      </c>
      <c r="B537" s="15">
        <v>537</v>
      </c>
      <c r="C537">
        <f>MOD(B537,8)</f>
        <v>1</v>
      </c>
    </row>
    <row r="538" spans="1:3" ht="16.5" x14ac:dyDescent="0.2">
      <c r="A538" s="4" t="s">
        <v>285</v>
      </c>
      <c r="B538">
        <v>538</v>
      </c>
      <c r="C538">
        <f>MOD(B538,8)</f>
        <v>2</v>
      </c>
    </row>
    <row r="539" spans="1:3" ht="16.5" x14ac:dyDescent="0.2">
      <c r="A539" s="4" t="s">
        <v>285</v>
      </c>
      <c r="B539" s="15">
        <v>539</v>
      </c>
      <c r="C539">
        <f>MOD(B539,8)</f>
        <v>3</v>
      </c>
    </row>
    <row r="540" spans="1:3" ht="16.5" x14ac:dyDescent="0.2">
      <c r="A540" s="4" t="s">
        <v>285</v>
      </c>
      <c r="B540">
        <v>540</v>
      </c>
      <c r="C540">
        <f>MOD(B540,8)</f>
        <v>4</v>
      </c>
    </row>
    <row r="541" spans="1:3" ht="16.5" x14ac:dyDescent="0.2">
      <c r="A541" s="4" t="s">
        <v>285</v>
      </c>
      <c r="B541" s="15">
        <v>541</v>
      </c>
      <c r="C541">
        <f>MOD(B541,8)</f>
        <v>5</v>
      </c>
    </row>
    <row r="542" spans="1:3" ht="16.5" x14ac:dyDescent="0.2">
      <c r="A542" s="4" t="s">
        <v>285</v>
      </c>
      <c r="B542">
        <v>542</v>
      </c>
      <c r="C542">
        <f>MOD(B542,8)</f>
        <v>6</v>
      </c>
    </row>
    <row r="543" spans="1:3" ht="16.5" x14ac:dyDescent="0.2">
      <c r="A543" s="4" t="s">
        <v>285</v>
      </c>
      <c r="B543" s="15">
        <v>543</v>
      </c>
      <c r="C543">
        <f>MOD(B543,8)</f>
        <v>7</v>
      </c>
    </row>
    <row r="544" spans="1:3" ht="16.5" x14ac:dyDescent="0.2">
      <c r="A544" s="4" t="s">
        <v>285</v>
      </c>
      <c r="B544">
        <v>544</v>
      </c>
      <c r="C544">
        <f>MOD(B544,8)</f>
        <v>0</v>
      </c>
    </row>
    <row r="545" spans="1:3" ht="16.5" x14ac:dyDescent="0.2">
      <c r="A545" s="4" t="s">
        <v>284</v>
      </c>
      <c r="B545" s="15">
        <v>545</v>
      </c>
      <c r="C545">
        <f>MOD(B545,8)</f>
        <v>1</v>
      </c>
    </row>
    <row r="546" spans="1:3" ht="16.5" x14ac:dyDescent="0.2">
      <c r="A546" s="4" t="s">
        <v>284</v>
      </c>
      <c r="B546">
        <v>546</v>
      </c>
      <c r="C546">
        <f>MOD(B546,8)</f>
        <v>2</v>
      </c>
    </row>
    <row r="547" spans="1:3" ht="16.5" x14ac:dyDescent="0.2">
      <c r="A547" s="4" t="s">
        <v>284</v>
      </c>
      <c r="B547" s="15">
        <v>547</v>
      </c>
      <c r="C547">
        <f>MOD(B547,8)</f>
        <v>3</v>
      </c>
    </row>
    <row r="548" spans="1:3" ht="16.5" x14ac:dyDescent="0.2">
      <c r="A548" s="4" t="s">
        <v>284</v>
      </c>
      <c r="B548">
        <v>548</v>
      </c>
      <c r="C548">
        <f>MOD(B548,8)</f>
        <v>4</v>
      </c>
    </row>
    <row r="549" spans="1:3" ht="16.5" x14ac:dyDescent="0.2">
      <c r="A549" s="4" t="s">
        <v>284</v>
      </c>
      <c r="B549" s="15">
        <v>549</v>
      </c>
      <c r="C549">
        <f>MOD(B549,8)</f>
        <v>5</v>
      </c>
    </row>
    <row r="550" spans="1:3" ht="16.5" x14ac:dyDescent="0.2">
      <c r="A550" s="4" t="s">
        <v>284</v>
      </c>
      <c r="B550">
        <v>550</v>
      </c>
      <c r="C550">
        <f>MOD(B550,8)</f>
        <v>6</v>
      </c>
    </row>
    <row r="551" spans="1:3" ht="16.5" x14ac:dyDescent="0.2">
      <c r="A551" s="4" t="s">
        <v>284</v>
      </c>
      <c r="B551" s="15">
        <v>551</v>
      </c>
      <c r="C551">
        <f>MOD(B551,8)</f>
        <v>7</v>
      </c>
    </row>
    <row r="552" spans="1:3" ht="16.5" x14ac:dyDescent="0.2">
      <c r="A552" s="4" t="s">
        <v>284</v>
      </c>
      <c r="B552">
        <v>552</v>
      </c>
      <c r="C552">
        <f>MOD(B552,8)</f>
        <v>0</v>
      </c>
    </row>
    <row r="553" spans="1:3" ht="16.5" x14ac:dyDescent="0.2">
      <c r="A553" s="4" t="s">
        <v>283</v>
      </c>
      <c r="B553" s="15">
        <v>553</v>
      </c>
      <c r="C553">
        <f>MOD(B553,8)</f>
        <v>1</v>
      </c>
    </row>
    <row r="554" spans="1:3" ht="16.5" x14ac:dyDescent="0.2">
      <c r="A554" s="4" t="s">
        <v>283</v>
      </c>
      <c r="B554">
        <v>554</v>
      </c>
      <c r="C554">
        <f>MOD(B554,8)</f>
        <v>2</v>
      </c>
    </row>
    <row r="555" spans="1:3" ht="16.5" x14ac:dyDescent="0.2">
      <c r="A555" s="4" t="s">
        <v>283</v>
      </c>
      <c r="B555" s="15">
        <v>555</v>
      </c>
      <c r="C555">
        <f>MOD(B555,8)</f>
        <v>3</v>
      </c>
    </row>
    <row r="556" spans="1:3" ht="16.5" x14ac:dyDescent="0.2">
      <c r="A556" s="4" t="s">
        <v>283</v>
      </c>
      <c r="B556">
        <v>556</v>
      </c>
      <c r="C556">
        <f>MOD(B556,8)</f>
        <v>4</v>
      </c>
    </row>
    <row r="557" spans="1:3" ht="16.5" x14ac:dyDescent="0.2">
      <c r="A557" s="4" t="s">
        <v>283</v>
      </c>
      <c r="B557" s="15">
        <v>557</v>
      </c>
      <c r="C557">
        <f>MOD(B557,8)</f>
        <v>5</v>
      </c>
    </row>
    <row r="558" spans="1:3" ht="16.5" x14ac:dyDescent="0.2">
      <c r="A558" s="4" t="s">
        <v>283</v>
      </c>
      <c r="B558">
        <v>558</v>
      </c>
      <c r="C558">
        <f>MOD(B558,8)</f>
        <v>6</v>
      </c>
    </row>
    <row r="559" spans="1:3" ht="16.5" x14ac:dyDescent="0.2">
      <c r="A559" s="4" t="s">
        <v>283</v>
      </c>
      <c r="B559" s="15">
        <v>559</v>
      </c>
      <c r="C559">
        <f>MOD(B559,8)</f>
        <v>7</v>
      </c>
    </row>
    <row r="560" spans="1:3" ht="16.5" x14ac:dyDescent="0.2">
      <c r="A560" s="4" t="s">
        <v>283</v>
      </c>
      <c r="B560">
        <v>560</v>
      </c>
      <c r="C560">
        <f>MOD(B560,8)</f>
        <v>0</v>
      </c>
    </row>
    <row r="561" spans="1:3" ht="16.5" x14ac:dyDescent="0.2">
      <c r="A561" s="4" t="s">
        <v>282</v>
      </c>
      <c r="B561" s="15">
        <v>561</v>
      </c>
      <c r="C561">
        <f>MOD(B561,8)</f>
        <v>1</v>
      </c>
    </row>
    <row r="562" spans="1:3" ht="16.5" x14ac:dyDescent="0.2">
      <c r="A562" s="4" t="s">
        <v>282</v>
      </c>
      <c r="B562">
        <v>562</v>
      </c>
      <c r="C562">
        <f>MOD(B562,8)</f>
        <v>2</v>
      </c>
    </row>
    <row r="563" spans="1:3" ht="16.5" x14ac:dyDescent="0.2">
      <c r="A563" s="4" t="s">
        <v>282</v>
      </c>
      <c r="B563" s="15">
        <v>563</v>
      </c>
      <c r="C563">
        <f>MOD(B563,8)</f>
        <v>3</v>
      </c>
    </row>
    <row r="564" spans="1:3" ht="16.5" x14ac:dyDescent="0.2">
      <c r="A564" s="4" t="s">
        <v>282</v>
      </c>
      <c r="B564">
        <v>564</v>
      </c>
      <c r="C564">
        <f>MOD(B564,8)</f>
        <v>4</v>
      </c>
    </row>
    <row r="565" spans="1:3" ht="16.5" x14ac:dyDescent="0.2">
      <c r="A565" s="4" t="s">
        <v>282</v>
      </c>
      <c r="B565" s="15">
        <v>565</v>
      </c>
      <c r="C565">
        <f>MOD(B565,8)</f>
        <v>5</v>
      </c>
    </row>
    <row r="566" spans="1:3" ht="16.5" x14ac:dyDescent="0.2">
      <c r="A566" s="4" t="s">
        <v>282</v>
      </c>
      <c r="B566">
        <v>566</v>
      </c>
      <c r="C566">
        <f>MOD(B566,8)</f>
        <v>6</v>
      </c>
    </row>
    <row r="567" spans="1:3" ht="16.5" x14ac:dyDescent="0.2">
      <c r="A567" s="4" t="s">
        <v>282</v>
      </c>
      <c r="B567" s="15">
        <v>567</v>
      </c>
      <c r="C567">
        <f>MOD(B567,8)</f>
        <v>7</v>
      </c>
    </row>
    <row r="568" spans="1:3" ht="16.5" x14ac:dyDescent="0.2">
      <c r="A568" s="4" t="s">
        <v>282</v>
      </c>
      <c r="B568">
        <v>568</v>
      </c>
      <c r="C568">
        <f>MOD(B568,8)</f>
        <v>0</v>
      </c>
    </row>
    <row r="569" spans="1:3" ht="16.5" x14ac:dyDescent="0.2">
      <c r="A569" s="4" t="s">
        <v>281</v>
      </c>
      <c r="B569" s="15">
        <v>569</v>
      </c>
      <c r="C569">
        <f>MOD(B569,8)</f>
        <v>1</v>
      </c>
    </row>
    <row r="570" spans="1:3" ht="16.5" x14ac:dyDescent="0.2">
      <c r="A570" s="4" t="s">
        <v>281</v>
      </c>
      <c r="B570">
        <v>570</v>
      </c>
      <c r="C570">
        <f>MOD(B570,8)</f>
        <v>2</v>
      </c>
    </row>
    <row r="571" spans="1:3" ht="16.5" x14ac:dyDescent="0.2">
      <c r="A571" s="4" t="s">
        <v>281</v>
      </c>
      <c r="B571" s="15">
        <v>571</v>
      </c>
      <c r="C571">
        <f>MOD(B571,8)</f>
        <v>3</v>
      </c>
    </row>
    <row r="572" spans="1:3" ht="16.5" x14ac:dyDescent="0.2">
      <c r="A572" s="4" t="s">
        <v>281</v>
      </c>
      <c r="B572">
        <v>572</v>
      </c>
      <c r="C572">
        <f>MOD(B572,8)</f>
        <v>4</v>
      </c>
    </row>
    <row r="573" spans="1:3" ht="16.5" x14ac:dyDescent="0.2">
      <c r="A573" s="4" t="s">
        <v>281</v>
      </c>
      <c r="B573" s="15">
        <v>573</v>
      </c>
      <c r="C573">
        <f>MOD(B573,8)</f>
        <v>5</v>
      </c>
    </row>
    <row r="574" spans="1:3" ht="16.5" x14ac:dyDescent="0.2">
      <c r="A574" s="4" t="s">
        <v>281</v>
      </c>
      <c r="B574">
        <v>574</v>
      </c>
      <c r="C574">
        <f>MOD(B574,8)</f>
        <v>6</v>
      </c>
    </row>
    <row r="575" spans="1:3" ht="16.5" x14ac:dyDescent="0.2">
      <c r="A575" s="4" t="s">
        <v>281</v>
      </c>
      <c r="B575" s="15">
        <v>575</v>
      </c>
      <c r="C575">
        <f>MOD(B575,8)</f>
        <v>7</v>
      </c>
    </row>
    <row r="576" spans="1:3" ht="16.5" x14ac:dyDescent="0.2">
      <c r="A576" s="4" t="s">
        <v>281</v>
      </c>
      <c r="B576">
        <v>576</v>
      </c>
      <c r="C576">
        <f>MOD(B576,8)</f>
        <v>0</v>
      </c>
    </row>
    <row r="577" spans="1:3" ht="16.5" x14ac:dyDescent="0.2">
      <c r="A577" s="4" t="s">
        <v>280</v>
      </c>
      <c r="B577" s="15">
        <v>577</v>
      </c>
      <c r="C577">
        <f>MOD(B577,8)</f>
        <v>1</v>
      </c>
    </row>
    <row r="578" spans="1:3" ht="16.5" x14ac:dyDescent="0.2">
      <c r="A578" s="4" t="s">
        <v>280</v>
      </c>
      <c r="B578">
        <v>578</v>
      </c>
      <c r="C578">
        <f>MOD(B578,8)</f>
        <v>2</v>
      </c>
    </row>
    <row r="579" spans="1:3" ht="16.5" x14ac:dyDescent="0.2">
      <c r="A579" s="4" t="s">
        <v>280</v>
      </c>
      <c r="B579" s="15">
        <v>579</v>
      </c>
      <c r="C579">
        <f>MOD(B579,8)</f>
        <v>3</v>
      </c>
    </row>
    <row r="580" spans="1:3" ht="16.5" x14ac:dyDescent="0.2">
      <c r="A580" s="4" t="s">
        <v>280</v>
      </c>
      <c r="B580">
        <v>580</v>
      </c>
      <c r="C580">
        <f>MOD(B580,8)</f>
        <v>4</v>
      </c>
    </row>
    <row r="581" spans="1:3" ht="16.5" x14ac:dyDescent="0.2">
      <c r="A581" s="4" t="s">
        <v>280</v>
      </c>
      <c r="B581" s="15">
        <v>581</v>
      </c>
      <c r="C581">
        <f>MOD(B581,8)</f>
        <v>5</v>
      </c>
    </row>
    <row r="582" spans="1:3" ht="16.5" x14ac:dyDescent="0.2">
      <c r="A582" s="4" t="s">
        <v>280</v>
      </c>
      <c r="B582">
        <v>582</v>
      </c>
      <c r="C582">
        <f>MOD(B582,8)</f>
        <v>6</v>
      </c>
    </row>
    <row r="583" spans="1:3" ht="16.5" x14ac:dyDescent="0.2">
      <c r="A583" s="4" t="s">
        <v>280</v>
      </c>
      <c r="B583" s="15">
        <v>583</v>
      </c>
      <c r="C583">
        <f>MOD(B583,8)</f>
        <v>7</v>
      </c>
    </row>
    <row r="584" spans="1:3" ht="16.5" x14ac:dyDescent="0.2">
      <c r="A584" s="4" t="s">
        <v>280</v>
      </c>
      <c r="B584">
        <v>584</v>
      </c>
      <c r="C584">
        <f>MOD(B584,8)</f>
        <v>0</v>
      </c>
    </row>
    <row r="585" spans="1:3" ht="16.5" x14ac:dyDescent="0.2">
      <c r="A585" s="4" t="s">
        <v>279</v>
      </c>
      <c r="B585" s="15">
        <v>585</v>
      </c>
      <c r="C585">
        <f>MOD(B585,8)</f>
        <v>1</v>
      </c>
    </row>
    <row r="586" spans="1:3" ht="16.5" x14ac:dyDescent="0.2">
      <c r="A586" s="4" t="s">
        <v>279</v>
      </c>
      <c r="B586">
        <v>586</v>
      </c>
      <c r="C586">
        <f>MOD(B586,8)</f>
        <v>2</v>
      </c>
    </row>
    <row r="587" spans="1:3" ht="16.5" x14ac:dyDescent="0.2">
      <c r="A587" s="4" t="s">
        <v>279</v>
      </c>
      <c r="B587" s="15">
        <v>587</v>
      </c>
      <c r="C587">
        <f>MOD(B587,8)</f>
        <v>3</v>
      </c>
    </row>
    <row r="588" spans="1:3" ht="16.5" x14ac:dyDescent="0.2">
      <c r="A588" s="4" t="s">
        <v>279</v>
      </c>
      <c r="B588">
        <v>588</v>
      </c>
      <c r="C588">
        <f>MOD(B588,8)</f>
        <v>4</v>
      </c>
    </row>
    <row r="589" spans="1:3" ht="16.5" x14ac:dyDescent="0.2">
      <c r="A589" s="4" t="s">
        <v>279</v>
      </c>
      <c r="B589" s="15">
        <v>589</v>
      </c>
      <c r="C589">
        <f>MOD(B589,8)</f>
        <v>5</v>
      </c>
    </row>
    <row r="590" spans="1:3" ht="16.5" x14ac:dyDescent="0.2">
      <c r="A590" s="4" t="s">
        <v>279</v>
      </c>
      <c r="B590">
        <v>590</v>
      </c>
      <c r="C590">
        <f>MOD(B590,8)</f>
        <v>6</v>
      </c>
    </row>
    <row r="591" spans="1:3" ht="16.5" x14ac:dyDescent="0.2">
      <c r="A591" s="4" t="s">
        <v>279</v>
      </c>
      <c r="B591" s="15">
        <v>591</v>
      </c>
      <c r="C591">
        <f>MOD(B591,8)</f>
        <v>7</v>
      </c>
    </row>
    <row r="592" spans="1:3" ht="16.5" x14ac:dyDescent="0.2">
      <c r="A592" s="4" t="s">
        <v>279</v>
      </c>
      <c r="B592">
        <v>592</v>
      </c>
      <c r="C592">
        <f>MOD(B592,8)</f>
        <v>0</v>
      </c>
    </row>
    <row r="593" spans="1:3" ht="16.5" x14ac:dyDescent="0.2">
      <c r="A593" s="4" t="s">
        <v>278</v>
      </c>
      <c r="B593" s="15">
        <v>593</v>
      </c>
      <c r="C593">
        <f>MOD(B593,8)</f>
        <v>1</v>
      </c>
    </row>
    <row r="594" spans="1:3" ht="16.5" x14ac:dyDescent="0.2">
      <c r="A594" s="4" t="s">
        <v>278</v>
      </c>
      <c r="B594">
        <v>594</v>
      </c>
      <c r="C594">
        <f>MOD(B594,8)</f>
        <v>2</v>
      </c>
    </row>
    <row r="595" spans="1:3" ht="16.5" x14ac:dyDescent="0.2">
      <c r="A595" s="4" t="s">
        <v>278</v>
      </c>
      <c r="B595" s="15">
        <v>595</v>
      </c>
      <c r="C595">
        <f>MOD(B595,8)</f>
        <v>3</v>
      </c>
    </row>
    <row r="596" spans="1:3" ht="16.5" x14ac:dyDescent="0.2">
      <c r="A596" s="4" t="s">
        <v>278</v>
      </c>
      <c r="B596">
        <v>596</v>
      </c>
      <c r="C596">
        <f>MOD(B596,8)</f>
        <v>4</v>
      </c>
    </row>
    <row r="597" spans="1:3" ht="16.5" x14ac:dyDescent="0.2">
      <c r="A597" s="4" t="s">
        <v>278</v>
      </c>
      <c r="B597" s="15">
        <v>597</v>
      </c>
      <c r="C597">
        <f>MOD(B597,8)</f>
        <v>5</v>
      </c>
    </row>
    <row r="598" spans="1:3" ht="16.5" x14ac:dyDescent="0.2">
      <c r="A598" s="4" t="s">
        <v>278</v>
      </c>
      <c r="B598">
        <v>598</v>
      </c>
      <c r="C598">
        <f>MOD(B598,8)</f>
        <v>6</v>
      </c>
    </row>
    <row r="599" spans="1:3" ht="16.5" x14ac:dyDescent="0.2">
      <c r="A599" s="4" t="s">
        <v>278</v>
      </c>
      <c r="B599" s="15">
        <v>599</v>
      </c>
      <c r="C599">
        <f>MOD(B599,8)</f>
        <v>7</v>
      </c>
    </row>
    <row r="600" spans="1:3" ht="16.5" x14ac:dyDescent="0.2">
      <c r="A600" s="4" t="s">
        <v>278</v>
      </c>
      <c r="B600">
        <v>600</v>
      </c>
      <c r="C600">
        <f>MOD(B600,8)</f>
        <v>0</v>
      </c>
    </row>
    <row r="601" spans="1:3" ht="16.5" x14ac:dyDescent="0.2">
      <c r="A601" s="4" t="s">
        <v>277</v>
      </c>
      <c r="B601" s="15">
        <v>601</v>
      </c>
      <c r="C601">
        <f>MOD(B601,8)</f>
        <v>1</v>
      </c>
    </row>
    <row r="602" spans="1:3" ht="16.5" x14ac:dyDescent="0.2">
      <c r="A602" s="4" t="s">
        <v>277</v>
      </c>
      <c r="B602">
        <v>602</v>
      </c>
      <c r="C602">
        <f>MOD(B602,8)</f>
        <v>2</v>
      </c>
    </row>
    <row r="603" spans="1:3" ht="16.5" x14ac:dyDescent="0.2">
      <c r="A603" s="4" t="s">
        <v>277</v>
      </c>
      <c r="B603" s="15">
        <v>603</v>
      </c>
      <c r="C603">
        <f>MOD(B603,8)</f>
        <v>3</v>
      </c>
    </row>
    <row r="604" spans="1:3" ht="16.5" x14ac:dyDescent="0.2">
      <c r="A604" s="4" t="s">
        <v>277</v>
      </c>
      <c r="B604">
        <v>604</v>
      </c>
      <c r="C604">
        <f>MOD(B604,8)</f>
        <v>4</v>
      </c>
    </row>
    <row r="605" spans="1:3" ht="16.5" x14ac:dyDescent="0.2">
      <c r="A605" s="4" t="s">
        <v>277</v>
      </c>
      <c r="B605" s="15">
        <v>605</v>
      </c>
      <c r="C605">
        <f>MOD(B605,8)</f>
        <v>5</v>
      </c>
    </row>
    <row r="606" spans="1:3" ht="16.5" x14ac:dyDescent="0.2">
      <c r="A606" s="4" t="s">
        <v>277</v>
      </c>
      <c r="B606">
        <v>606</v>
      </c>
      <c r="C606">
        <f>MOD(B606,8)</f>
        <v>6</v>
      </c>
    </row>
    <row r="607" spans="1:3" ht="16.5" x14ac:dyDescent="0.2">
      <c r="A607" s="4" t="s">
        <v>277</v>
      </c>
      <c r="B607" s="15">
        <v>607</v>
      </c>
      <c r="C607">
        <f>MOD(B607,8)</f>
        <v>7</v>
      </c>
    </row>
    <row r="608" spans="1:3" ht="16.5" x14ac:dyDescent="0.2">
      <c r="A608" s="4" t="s">
        <v>277</v>
      </c>
      <c r="B608">
        <v>608</v>
      </c>
      <c r="C608">
        <f>MOD(B608,8)</f>
        <v>0</v>
      </c>
    </row>
    <row r="609" spans="1:3" ht="16.5" x14ac:dyDescent="0.2">
      <c r="A609" s="4" t="s">
        <v>276</v>
      </c>
      <c r="B609" s="15">
        <v>609</v>
      </c>
      <c r="C609">
        <f>MOD(B609,8)</f>
        <v>1</v>
      </c>
    </row>
    <row r="610" spans="1:3" ht="16.5" x14ac:dyDescent="0.2">
      <c r="A610" s="4" t="s">
        <v>276</v>
      </c>
      <c r="B610">
        <v>610</v>
      </c>
      <c r="C610">
        <f>MOD(B610,8)</f>
        <v>2</v>
      </c>
    </row>
    <row r="611" spans="1:3" ht="16.5" x14ac:dyDescent="0.2">
      <c r="A611" s="4" t="s">
        <v>276</v>
      </c>
      <c r="B611" s="15">
        <v>611</v>
      </c>
      <c r="C611">
        <f>MOD(B611,8)</f>
        <v>3</v>
      </c>
    </row>
    <row r="612" spans="1:3" ht="16.5" x14ac:dyDescent="0.2">
      <c r="A612" s="4" t="s">
        <v>276</v>
      </c>
      <c r="B612">
        <v>612</v>
      </c>
      <c r="C612">
        <f>MOD(B612,8)</f>
        <v>4</v>
      </c>
    </row>
    <row r="613" spans="1:3" ht="16.5" x14ac:dyDescent="0.2">
      <c r="A613" s="4" t="s">
        <v>276</v>
      </c>
      <c r="B613" s="15">
        <v>613</v>
      </c>
      <c r="C613">
        <f>MOD(B613,8)</f>
        <v>5</v>
      </c>
    </row>
    <row r="614" spans="1:3" ht="16.5" x14ac:dyDescent="0.2">
      <c r="A614" s="4" t="s">
        <v>276</v>
      </c>
      <c r="B614">
        <v>614</v>
      </c>
      <c r="C614">
        <f>MOD(B614,8)</f>
        <v>6</v>
      </c>
    </row>
    <row r="615" spans="1:3" ht="16.5" x14ac:dyDescent="0.2">
      <c r="A615" s="4" t="s">
        <v>276</v>
      </c>
      <c r="B615" s="15">
        <v>615</v>
      </c>
      <c r="C615">
        <f>MOD(B615,8)</f>
        <v>7</v>
      </c>
    </row>
    <row r="616" spans="1:3" ht="16.5" x14ac:dyDescent="0.2">
      <c r="A616" s="4" t="s">
        <v>276</v>
      </c>
      <c r="B616">
        <v>616</v>
      </c>
      <c r="C616">
        <f>MOD(B616,8)</f>
        <v>0</v>
      </c>
    </row>
    <row r="617" spans="1:3" ht="16.5" x14ac:dyDescent="0.2">
      <c r="A617" s="4" t="s">
        <v>275</v>
      </c>
      <c r="B617" s="15">
        <v>617</v>
      </c>
      <c r="C617">
        <f>MOD(B617,8)</f>
        <v>1</v>
      </c>
    </row>
    <row r="618" spans="1:3" ht="16.5" x14ac:dyDescent="0.2">
      <c r="A618" s="4" t="s">
        <v>275</v>
      </c>
      <c r="B618">
        <v>618</v>
      </c>
      <c r="C618">
        <f>MOD(B618,8)</f>
        <v>2</v>
      </c>
    </row>
    <row r="619" spans="1:3" ht="16.5" x14ac:dyDescent="0.2">
      <c r="A619" s="4" t="s">
        <v>275</v>
      </c>
      <c r="B619" s="15">
        <v>619</v>
      </c>
      <c r="C619">
        <f>MOD(B619,8)</f>
        <v>3</v>
      </c>
    </row>
    <row r="620" spans="1:3" ht="16.5" x14ac:dyDescent="0.2">
      <c r="A620" s="4" t="s">
        <v>275</v>
      </c>
      <c r="B620">
        <v>620</v>
      </c>
      <c r="C620">
        <f>MOD(B620,8)</f>
        <v>4</v>
      </c>
    </row>
    <row r="621" spans="1:3" ht="16.5" x14ac:dyDescent="0.2">
      <c r="A621" s="4" t="s">
        <v>275</v>
      </c>
      <c r="B621" s="15">
        <v>621</v>
      </c>
      <c r="C621">
        <f>MOD(B621,8)</f>
        <v>5</v>
      </c>
    </row>
    <row r="622" spans="1:3" ht="16.5" x14ac:dyDescent="0.2">
      <c r="A622" s="4" t="s">
        <v>275</v>
      </c>
      <c r="B622">
        <v>622</v>
      </c>
      <c r="C622">
        <f>MOD(B622,8)</f>
        <v>6</v>
      </c>
    </row>
    <row r="623" spans="1:3" ht="16.5" x14ac:dyDescent="0.2">
      <c r="A623" s="4" t="s">
        <v>275</v>
      </c>
      <c r="B623" s="15">
        <v>623</v>
      </c>
      <c r="C623">
        <f>MOD(B623,8)</f>
        <v>7</v>
      </c>
    </row>
    <row r="624" spans="1:3" ht="16.5" x14ac:dyDescent="0.2">
      <c r="A624" s="4" t="s">
        <v>275</v>
      </c>
      <c r="B624">
        <v>624</v>
      </c>
      <c r="C624">
        <f>MOD(B624,8)</f>
        <v>0</v>
      </c>
    </row>
    <row r="625" spans="1:3" ht="16.5" x14ac:dyDescent="0.2">
      <c r="A625" s="4" t="s">
        <v>274</v>
      </c>
      <c r="B625" s="15">
        <v>625</v>
      </c>
      <c r="C625">
        <f>MOD(B625,8)</f>
        <v>1</v>
      </c>
    </row>
    <row r="626" spans="1:3" ht="16.5" x14ac:dyDescent="0.2">
      <c r="A626" s="4" t="s">
        <v>274</v>
      </c>
      <c r="B626">
        <v>626</v>
      </c>
      <c r="C626">
        <f>MOD(B626,8)</f>
        <v>2</v>
      </c>
    </row>
    <row r="627" spans="1:3" ht="16.5" x14ac:dyDescent="0.2">
      <c r="A627" s="4" t="s">
        <v>274</v>
      </c>
      <c r="B627" s="15">
        <v>627</v>
      </c>
      <c r="C627">
        <f>MOD(B627,8)</f>
        <v>3</v>
      </c>
    </row>
    <row r="628" spans="1:3" ht="16.5" x14ac:dyDescent="0.2">
      <c r="A628" s="4" t="s">
        <v>274</v>
      </c>
      <c r="B628">
        <v>628</v>
      </c>
      <c r="C628">
        <f>MOD(B628,8)</f>
        <v>4</v>
      </c>
    </row>
    <row r="629" spans="1:3" ht="16.5" x14ac:dyDescent="0.2">
      <c r="A629" s="4" t="s">
        <v>274</v>
      </c>
      <c r="B629" s="15">
        <v>629</v>
      </c>
      <c r="C629">
        <f>MOD(B629,8)</f>
        <v>5</v>
      </c>
    </row>
    <row r="630" spans="1:3" ht="16.5" x14ac:dyDescent="0.2">
      <c r="A630" s="4" t="s">
        <v>274</v>
      </c>
      <c r="B630">
        <v>630</v>
      </c>
      <c r="C630">
        <f>MOD(B630,8)</f>
        <v>6</v>
      </c>
    </row>
    <row r="631" spans="1:3" ht="16.5" x14ac:dyDescent="0.2">
      <c r="A631" s="4" t="s">
        <v>274</v>
      </c>
      <c r="B631" s="15">
        <v>631</v>
      </c>
      <c r="C631">
        <f>MOD(B631,8)</f>
        <v>7</v>
      </c>
    </row>
    <row r="632" spans="1:3" ht="16.5" x14ac:dyDescent="0.2">
      <c r="A632" s="4" t="s">
        <v>274</v>
      </c>
      <c r="B632">
        <v>632</v>
      </c>
      <c r="C632">
        <f>MOD(B632,8)</f>
        <v>0</v>
      </c>
    </row>
    <row r="633" spans="1:3" ht="16.5" x14ac:dyDescent="0.2">
      <c r="A633" s="4" t="s">
        <v>273</v>
      </c>
      <c r="B633" s="15">
        <v>633</v>
      </c>
      <c r="C633">
        <f>MOD(B633,8)</f>
        <v>1</v>
      </c>
    </row>
    <row r="634" spans="1:3" ht="16.5" x14ac:dyDescent="0.2">
      <c r="A634" s="4" t="s">
        <v>273</v>
      </c>
      <c r="B634">
        <v>634</v>
      </c>
      <c r="C634">
        <f>MOD(B634,8)</f>
        <v>2</v>
      </c>
    </row>
    <row r="635" spans="1:3" ht="16.5" x14ac:dyDescent="0.2">
      <c r="A635" s="4" t="s">
        <v>273</v>
      </c>
      <c r="B635" s="15">
        <v>635</v>
      </c>
      <c r="C635">
        <f>MOD(B635,8)</f>
        <v>3</v>
      </c>
    </row>
    <row r="636" spans="1:3" ht="16.5" x14ac:dyDescent="0.2">
      <c r="A636" s="4" t="s">
        <v>273</v>
      </c>
      <c r="B636">
        <v>636</v>
      </c>
      <c r="C636">
        <f>MOD(B636,8)</f>
        <v>4</v>
      </c>
    </row>
    <row r="637" spans="1:3" ht="16.5" x14ac:dyDescent="0.2">
      <c r="A637" s="4" t="s">
        <v>273</v>
      </c>
      <c r="B637" s="15">
        <v>637</v>
      </c>
      <c r="C637">
        <f>MOD(B637,8)</f>
        <v>5</v>
      </c>
    </row>
    <row r="638" spans="1:3" ht="16.5" x14ac:dyDescent="0.2">
      <c r="A638" s="4" t="s">
        <v>273</v>
      </c>
      <c r="B638">
        <v>638</v>
      </c>
      <c r="C638">
        <f>MOD(B638,8)</f>
        <v>6</v>
      </c>
    </row>
    <row r="639" spans="1:3" ht="16.5" x14ac:dyDescent="0.2">
      <c r="A639" s="4" t="s">
        <v>273</v>
      </c>
      <c r="B639" s="15">
        <v>639</v>
      </c>
      <c r="C639">
        <f>MOD(B639,8)</f>
        <v>7</v>
      </c>
    </row>
    <row r="640" spans="1:3" ht="16.5" x14ac:dyDescent="0.2">
      <c r="A640" s="4" t="s">
        <v>273</v>
      </c>
      <c r="B640">
        <v>640</v>
      </c>
      <c r="C640">
        <f>MOD(B640,8)</f>
        <v>0</v>
      </c>
    </row>
    <row r="641" spans="1:3" ht="16.5" x14ac:dyDescent="0.2">
      <c r="A641" s="4" t="s">
        <v>272</v>
      </c>
      <c r="B641" s="15">
        <v>641</v>
      </c>
      <c r="C641">
        <f>MOD(B641,8)</f>
        <v>1</v>
      </c>
    </row>
    <row r="642" spans="1:3" ht="16.5" x14ac:dyDescent="0.2">
      <c r="A642" s="4" t="s">
        <v>272</v>
      </c>
      <c r="B642">
        <v>642</v>
      </c>
      <c r="C642">
        <f>MOD(B642,8)</f>
        <v>2</v>
      </c>
    </row>
    <row r="643" spans="1:3" ht="16.5" x14ac:dyDescent="0.2">
      <c r="A643" s="4" t="s">
        <v>272</v>
      </c>
      <c r="B643" s="15">
        <v>643</v>
      </c>
      <c r="C643">
        <f>MOD(B643,8)</f>
        <v>3</v>
      </c>
    </row>
    <row r="644" spans="1:3" ht="16.5" x14ac:dyDescent="0.2">
      <c r="A644" s="4" t="s">
        <v>272</v>
      </c>
      <c r="B644">
        <v>644</v>
      </c>
      <c r="C644">
        <f>MOD(B644,8)</f>
        <v>4</v>
      </c>
    </row>
    <row r="645" spans="1:3" ht="16.5" x14ac:dyDescent="0.2">
      <c r="A645" s="4" t="s">
        <v>272</v>
      </c>
      <c r="B645" s="15">
        <v>645</v>
      </c>
      <c r="C645">
        <f>MOD(B645,8)</f>
        <v>5</v>
      </c>
    </row>
    <row r="646" spans="1:3" ht="16.5" x14ac:dyDescent="0.2">
      <c r="A646" s="4" t="s">
        <v>272</v>
      </c>
      <c r="B646">
        <v>646</v>
      </c>
      <c r="C646">
        <f>MOD(B646,8)</f>
        <v>6</v>
      </c>
    </row>
    <row r="647" spans="1:3" ht="16.5" x14ac:dyDescent="0.2">
      <c r="A647" s="4" t="s">
        <v>272</v>
      </c>
      <c r="B647" s="15">
        <v>647</v>
      </c>
      <c r="C647">
        <f>MOD(B647,8)</f>
        <v>7</v>
      </c>
    </row>
    <row r="648" spans="1:3" ht="16.5" x14ac:dyDescent="0.2">
      <c r="A648" s="4" t="s">
        <v>272</v>
      </c>
      <c r="B648">
        <v>648</v>
      </c>
      <c r="C648">
        <f>MOD(B648,8)</f>
        <v>0</v>
      </c>
    </row>
    <row r="649" spans="1:3" ht="16.5" x14ac:dyDescent="0.2">
      <c r="A649" s="4" t="s">
        <v>271</v>
      </c>
      <c r="B649" s="15">
        <v>649</v>
      </c>
      <c r="C649">
        <f>MOD(B649,8)</f>
        <v>1</v>
      </c>
    </row>
    <row r="650" spans="1:3" ht="16.5" x14ac:dyDescent="0.2">
      <c r="A650" s="4" t="s">
        <v>271</v>
      </c>
      <c r="B650">
        <v>650</v>
      </c>
      <c r="C650">
        <f>MOD(B650,8)</f>
        <v>2</v>
      </c>
    </row>
    <row r="651" spans="1:3" ht="16.5" x14ac:dyDescent="0.2">
      <c r="A651" s="4" t="s">
        <v>271</v>
      </c>
      <c r="B651" s="15">
        <v>651</v>
      </c>
      <c r="C651">
        <f>MOD(B651,8)</f>
        <v>3</v>
      </c>
    </row>
    <row r="652" spans="1:3" ht="16.5" x14ac:dyDescent="0.2">
      <c r="A652" s="4" t="s">
        <v>271</v>
      </c>
      <c r="B652">
        <v>652</v>
      </c>
      <c r="C652">
        <f>MOD(B652,8)</f>
        <v>4</v>
      </c>
    </row>
    <row r="653" spans="1:3" ht="16.5" x14ac:dyDescent="0.2">
      <c r="A653" s="4" t="s">
        <v>271</v>
      </c>
      <c r="B653" s="15">
        <v>653</v>
      </c>
      <c r="C653">
        <f>MOD(B653,8)</f>
        <v>5</v>
      </c>
    </row>
    <row r="654" spans="1:3" ht="16.5" x14ac:dyDescent="0.2">
      <c r="A654" s="4" t="s">
        <v>271</v>
      </c>
      <c r="B654">
        <v>654</v>
      </c>
      <c r="C654">
        <f>MOD(B654,8)</f>
        <v>6</v>
      </c>
    </row>
    <row r="655" spans="1:3" ht="16.5" x14ac:dyDescent="0.2">
      <c r="A655" s="4" t="s">
        <v>271</v>
      </c>
      <c r="B655" s="15">
        <v>655</v>
      </c>
      <c r="C655">
        <f>MOD(B655,8)</f>
        <v>7</v>
      </c>
    </row>
    <row r="656" spans="1:3" ht="16.5" x14ac:dyDescent="0.2">
      <c r="A656" s="4" t="s">
        <v>271</v>
      </c>
      <c r="B656">
        <v>656</v>
      </c>
      <c r="C656">
        <f>MOD(B656,8)</f>
        <v>0</v>
      </c>
    </row>
    <row r="657" spans="1:3" ht="16.5" x14ac:dyDescent="0.2">
      <c r="A657" s="4" t="s">
        <v>270</v>
      </c>
      <c r="B657" s="15">
        <v>657</v>
      </c>
      <c r="C657">
        <f>MOD(B657,8)</f>
        <v>1</v>
      </c>
    </row>
    <row r="658" spans="1:3" ht="16.5" x14ac:dyDescent="0.2">
      <c r="A658" s="4" t="s">
        <v>270</v>
      </c>
      <c r="B658">
        <v>658</v>
      </c>
      <c r="C658">
        <f>MOD(B658,8)</f>
        <v>2</v>
      </c>
    </row>
    <row r="659" spans="1:3" ht="16.5" x14ac:dyDescent="0.2">
      <c r="A659" s="4" t="s">
        <v>270</v>
      </c>
      <c r="B659" s="15">
        <v>659</v>
      </c>
      <c r="C659">
        <f>MOD(B659,8)</f>
        <v>3</v>
      </c>
    </row>
    <row r="660" spans="1:3" ht="16.5" x14ac:dyDescent="0.2">
      <c r="A660" s="4" t="s">
        <v>270</v>
      </c>
      <c r="B660">
        <v>660</v>
      </c>
      <c r="C660">
        <f>MOD(B660,8)</f>
        <v>4</v>
      </c>
    </row>
    <row r="661" spans="1:3" ht="16.5" x14ac:dyDescent="0.2">
      <c r="A661" s="4" t="s">
        <v>270</v>
      </c>
      <c r="B661" s="15">
        <v>661</v>
      </c>
      <c r="C661">
        <f>MOD(B661,8)</f>
        <v>5</v>
      </c>
    </row>
    <row r="662" spans="1:3" ht="16.5" x14ac:dyDescent="0.2">
      <c r="A662" s="4" t="s">
        <v>270</v>
      </c>
      <c r="B662">
        <v>662</v>
      </c>
      <c r="C662">
        <f>MOD(B662,8)</f>
        <v>6</v>
      </c>
    </row>
    <row r="663" spans="1:3" ht="16.5" x14ac:dyDescent="0.2">
      <c r="A663" s="4" t="s">
        <v>270</v>
      </c>
      <c r="B663" s="15">
        <v>663</v>
      </c>
      <c r="C663">
        <f>MOD(B663,8)</f>
        <v>7</v>
      </c>
    </row>
    <row r="664" spans="1:3" ht="16.5" x14ac:dyDescent="0.2">
      <c r="A664" s="4" t="s">
        <v>270</v>
      </c>
      <c r="B664">
        <v>664</v>
      </c>
      <c r="C664">
        <f>MOD(B664,8)</f>
        <v>0</v>
      </c>
    </row>
    <row r="665" spans="1:3" ht="16.5" x14ac:dyDescent="0.2">
      <c r="A665" s="4" t="s">
        <v>269</v>
      </c>
      <c r="B665" s="15">
        <v>665</v>
      </c>
      <c r="C665">
        <f>MOD(B665,8)</f>
        <v>1</v>
      </c>
    </row>
    <row r="666" spans="1:3" ht="16.5" x14ac:dyDescent="0.2">
      <c r="A666" s="4" t="s">
        <v>269</v>
      </c>
      <c r="B666">
        <v>666</v>
      </c>
      <c r="C666">
        <f>MOD(B666,8)</f>
        <v>2</v>
      </c>
    </row>
    <row r="667" spans="1:3" ht="16.5" x14ac:dyDescent="0.2">
      <c r="A667" s="4" t="s">
        <v>269</v>
      </c>
      <c r="B667" s="15">
        <v>667</v>
      </c>
      <c r="C667">
        <f>MOD(B667,8)</f>
        <v>3</v>
      </c>
    </row>
    <row r="668" spans="1:3" ht="16.5" x14ac:dyDescent="0.2">
      <c r="A668" s="4" t="s">
        <v>269</v>
      </c>
      <c r="B668">
        <v>668</v>
      </c>
      <c r="C668">
        <f>MOD(B668,8)</f>
        <v>4</v>
      </c>
    </row>
    <row r="669" spans="1:3" ht="16.5" x14ac:dyDescent="0.2">
      <c r="A669" s="4" t="s">
        <v>269</v>
      </c>
      <c r="B669" s="15">
        <v>669</v>
      </c>
      <c r="C669">
        <f>MOD(B669,8)</f>
        <v>5</v>
      </c>
    </row>
    <row r="670" spans="1:3" ht="16.5" x14ac:dyDescent="0.2">
      <c r="A670" s="4" t="s">
        <v>269</v>
      </c>
      <c r="B670">
        <v>670</v>
      </c>
      <c r="C670">
        <f>MOD(B670,8)</f>
        <v>6</v>
      </c>
    </row>
    <row r="671" spans="1:3" ht="16.5" x14ac:dyDescent="0.2">
      <c r="A671" s="4" t="s">
        <v>269</v>
      </c>
      <c r="B671" s="15">
        <v>671</v>
      </c>
      <c r="C671">
        <f>MOD(B671,8)</f>
        <v>7</v>
      </c>
    </row>
    <row r="672" spans="1:3" ht="16.5" x14ac:dyDescent="0.2">
      <c r="A672" s="4" t="s">
        <v>269</v>
      </c>
      <c r="B672">
        <v>672</v>
      </c>
      <c r="C672">
        <f>MOD(B672,8)</f>
        <v>0</v>
      </c>
    </row>
    <row r="673" spans="1:3" ht="16.5" x14ac:dyDescent="0.2">
      <c r="A673" s="4" t="s">
        <v>268</v>
      </c>
      <c r="B673" s="15">
        <v>673</v>
      </c>
      <c r="C673">
        <f>MOD(B673,8)</f>
        <v>1</v>
      </c>
    </row>
    <row r="674" spans="1:3" ht="16.5" x14ac:dyDescent="0.2">
      <c r="A674" s="4" t="s">
        <v>268</v>
      </c>
      <c r="B674">
        <v>674</v>
      </c>
      <c r="C674">
        <f>MOD(B674,8)</f>
        <v>2</v>
      </c>
    </row>
    <row r="675" spans="1:3" ht="16.5" x14ac:dyDescent="0.2">
      <c r="A675" s="4" t="s">
        <v>268</v>
      </c>
      <c r="B675" s="15">
        <v>675</v>
      </c>
      <c r="C675">
        <f>MOD(B675,8)</f>
        <v>3</v>
      </c>
    </row>
    <row r="676" spans="1:3" ht="16.5" x14ac:dyDescent="0.2">
      <c r="A676" s="4" t="s">
        <v>268</v>
      </c>
      <c r="B676">
        <v>676</v>
      </c>
      <c r="C676">
        <f>MOD(B676,8)</f>
        <v>4</v>
      </c>
    </row>
    <row r="677" spans="1:3" ht="16.5" x14ac:dyDescent="0.2">
      <c r="A677" s="4" t="s">
        <v>268</v>
      </c>
      <c r="B677" s="15">
        <v>677</v>
      </c>
      <c r="C677">
        <f>MOD(B677,8)</f>
        <v>5</v>
      </c>
    </row>
    <row r="678" spans="1:3" ht="16.5" x14ac:dyDescent="0.2">
      <c r="A678" s="4" t="s">
        <v>268</v>
      </c>
      <c r="B678">
        <v>678</v>
      </c>
      <c r="C678">
        <f>MOD(B678,8)</f>
        <v>6</v>
      </c>
    </row>
    <row r="679" spans="1:3" ht="16.5" x14ac:dyDescent="0.2">
      <c r="A679" s="4" t="s">
        <v>268</v>
      </c>
      <c r="B679" s="15">
        <v>679</v>
      </c>
      <c r="C679">
        <f>MOD(B679,8)</f>
        <v>7</v>
      </c>
    </row>
    <row r="680" spans="1:3" ht="16.5" x14ac:dyDescent="0.2">
      <c r="A680" s="4" t="s">
        <v>268</v>
      </c>
      <c r="B680">
        <v>680</v>
      </c>
      <c r="C680">
        <f>MOD(B680,8)</f>
        <v>0</v>
      </c>
    </row>
    <row r="681" spans="1:3" ht="16.5" x14ac:dyDescent="0.2">
      <c r="A681" s="4" t="s">
        <v>267</v>
      </c>
      <c r="B681" s="15">
        <v>681</v>
      </c>
      <c r="C681">
        <f>MOD(B681,8)</f>
        <v>1</v>
      </c>
    </row>
    <row r="682" spans="1:3" ht="16.5" x14ac:dyDescent="0.2">
      <c r="A682" s="4" t="s">
        <v>267</v>
      </c>
      <c r="B682">
        <v>682</v>
      </c>
      <c r="C682">
        <f>MOD(B682,8)</f>
        <v>2</v>
      </c>
    </row>
    <row r="683" spans="1:3" ht="16.5" x14ac:dyDescent="0.2">
      <c r="A683" s="4" t="s">
        <v>267</v>
      </c>
      <c r="B683" s="15">
        <v>683</v>
      </c>
      <c r="C683">
        <f>MOD(B683,8)</f>
        <v>3</v>
      </c>
    </row>
    <row r="684" spans="1:3" ht="16.5" x14ac:dyDescent="0.2">
      <c r="A684" s="4" t="s">
        <v>267</v>
      </c>
      <c r="B684">
        <v>684</v>
      </c>
      <c r="C684">
        <f>MOD(B684,8)</f>
        <v>4</v>
      </c>
    </row>
    <row r="685" spans="1:3" ht="16.5" x14ac:dyDescent="0.2">
      <c r="A685" s="4" t="s">
        <v>267</v>
      </c>
      <c r="B685" s="15">
        <v>685</v>
      </c>
      <c r="C685">
        <f>MOD(B685,8)</f>
        <v>5</v>
      </c>
    </row>
    <row r="686" spans="1:3" ht="16.5" x14ac:dyDescent="0.2">
      <c r="A686" s="4" t="s">
        <v>267</v>
      </c>
      <c r="B686">
        <v>686</v>
      </c>
      <c r="C686">
        <f>MOD(B686,8)</f>
        <v>6</v>
      </c>
    </row>
    <row r="687" spans="1:3" ht="16.5" x14ac:dyDescent="0.2">
      <c r="A687" s="4" t="s">
        <v>267</v>
      </c>
      <c r="B687" s="15">
        <v>687</v>
      </c>
      <c r="C687">
        <f>MOD(B687,8)</f>
        <v>7</v>
      </c>
    </row>
    <row r="688" spans="1:3" ht="16.5" x14ac:dyDescent="0.2">
      <c r="A688" s="4" t="s">
        <v>267</v>
      </c>
      <c r="B688">
        <v>688</v>
      </c>
      <c r="C688">
        <f>MOD(B688,8)</f>
        <v>0</v>
      </c>
    </row>
    <row r="689" spans="1:3" ht="16.5" x14ac:dyDescent="0.2">
      <c r="A689" s="4" t="s">
        <v>266</v>
      </c>
      <c r="B689" s="15">
        <v>689</v>
      </c>
      <c r="C689">
        <f>MOD(B689,8)</f>
        <v>1</v>
      </c>
    </row>
    <row r="690" spans="1:3" ht="16.5" x14ac:dyDescent="0.2">
      <c r="A690" s="4" t="s">
        <v>266</v>
      </c>
      <c r="B690">
        <v>690</v>
      </c>
      <c r="C690">
        <f>MOD(B690,8)</f>
        <v>2</v>
      </c>
    </row>
    <row r="691" spans="1:3" ht="16.5" x14ac:dyDescent="0.2">
      <c r="A691" s="4" t="s">
        <v>266</v>
      </c>
      <c r="B691" s="15">
        <v>691</v>
      </c>
      <c r="C691">
        <f>MOD(B691,8)</f>
        <v>3</v>
      </c>
    </row>
    <row r="692" spans="1:3" ht="16.5" x14ac:dyDescent="0.2">
      <c r="A692" s="4" t="s">
        <v>266</v>
      </c>
      <c r="B692">
        <v>692</v>
      </c>
      <c r="C692">
        <f>MOD(B692,8)</f>
        <v>4</v>
      </c>
    </row>
    <row r="693" spans="1:3" ht="16.5" x14ac:dyDescent="0.2">
      <c r="A693" s="4" t="s">
        <v>266</v>
      </c>
      <c r="B693" s="15">
        <v>693</v>
      </c>
      <c r="C693">
        <f>MOD(B693,8)</f>
        <v>5</v>
      </c>
    </row>
    <row r="694" spans="1:3" ht="16.5" x14ac:dyDescent="0.2">
      <c r="A694" s="4" t="s">
        <v>266</v>
      </c>
      <c r="B694">
        <v>694</v>
      </c>
      <c r="C694">
        <f>MOD(B694,8)</f>
        <v>6</v>
      </c>
    </row>
    <row r="695" spans="1:3" ht="16.5" x14ac:dyDescent="0.2">
      <c r="A695" s="4" t="s">
        <v>266</v>
      </c>
      <c r="B695" s="15">
        <v>695</v>
      </c>
      <c r="C695">
        <f>MOD(B695,8)</f>
        <v>7</v>
      </c>
    </row>
    <row r="696" spans="1:3" ht="16.5" x14ac:dyDescent="0.2">
      <c r="A696" s="4" t="s">
        <v>266</v>
      </c>
      <c r="B696">
        <v>696</v>
      </c>
      <c r="C696">
        <f>MOD(B696,8)</f>
        <v>0</v>
      </c>
    </row>
    <row r="697" spans="1:3" ht="16.5" x14ac:dyDescent="0.2">
      <c r="A697" s="4" t="s">
        <v>265</v>
      </c>
      <c r="B697" s="15">
        <v>697</v>
      </c>
      <c r="C697">
        <f>MOD(B697,8)</f>
        <v>1</v>
      </c>
    </row>
    <row r="698" spans="1:3" ht="16.5" x14ac:dyDescent="0.2">
      <c r="A698" s="4" t="s">
        <v>265</v>
      </c>
      <c r="B698">
        <v>698</v>
      </c>
      <c r="C698">
        <f>MOD(B698,8)</f>
        <v>2</v>
      </c>
    </row>
    <row r="699" spans="1:3" ht="16.5" x14ac:dyDescent="0.2">
      <c r="A699" s="4" t="s">
        <v>265</v>
      </c>
      <c r="B699" s="15">
        <v>699</v>
      </c>
      <c r="C699">
        <f>MOD(B699,8)</f>
        <v>3</v>
      </c>
    </row>
    <row r="700" spans="1:3" ht="16.5" x14ac:dyDescent="0.2">
      <c r="A700" s="4" t="s">
        <v>265</v>
      </c>
      <c r="B700">
        <v>700</v>
      </c>
      <c r="C700">
        <f>MOD(B700,8)</f>
        <v>4</v>
      </c>
    </row>
    <row r="701" spans="1:3" ht="16.5" x14ac:dyDescent="0.2">
      <c r="A701" s="4" t="s">
        <v>265</v>
      </c>
      <c r="B701" s="15">
        <v>701</v>
      </c>
      <c r="C701">
        <f>MOD(B701,8)</f>
        <v>5</v>
      </c>
    </row>
    <row r="702" spans="1:3" ht="16.5" x14ac:dyDescent="0.2">
      <c r="A702" s="4" t="s">
        <v>265</v>
      </c>
      <c r="B702">
        <v>702</v>
      </c>
      <c r="C702">
        <f>MOD(B702,8)</f>
        <v>6</v>
      </c>
    </row>
    <row r="703" spans="1:3" ht="16.5" x14ac:dyDescent="0.2">
      <c r="A703" s="4" t="s">
        <v>265</v>
      </c>
      <c r="B703" s="15">
        <v>703</v>
      </c>
      <c r="C703">
        <f>MOD(B703,8)</f>
        <v>7</v>
      </c>
    </row>
    <row r="704" spans="1:3" ht="16.5" x14ac:dyDescent="0.2">
      <c r="A704" s="4" t="s">
        <v>265</v>
      </c>
      <c r="B704">
        <v>704</v>
      </c>
      <c r="C704">
        <f>MOD(B704,8)</f>
        <v>0</v>
      </c>
    </row>
    <row r="705" spans="1:3" ht="16.5" x14ac:dyDescent="0.2">
      <c r="A705" s="4" t="s">
        <v>264</v>
      </c>
      <c r="B705" s="15">
        <v>705</v>
      </c>
      <c r="C705">
        <f>MOD(B705,8)</f>
        <v>1</v>
      </c>
    </row>
    <row r="706" spans="1:3" ht="16.5" x14ac:dyDescent="0.2">
      <c r="A706" s="4" t="s">
        <v>264</v>
      </c>
      <c r="B706">
        <v>706</v>
      </c>
      <c r="C706">
        <f>MOD(B706,8)</f>
        <v>2</v>
      </c>
    </row>
    <row r="707" spans="1:3" ht="16.5" x14ac:dyDescent="0.2">
      <c r="A707" s="4" t="s">
        <v>264</v>
      </c>
      <c r="B707" s="15">
        <v>707</v>
      </c>
      <c r="C707">
        <f>MOD(B707,8)</f>
        <v>3</v>
      </c>
    </row>
    <row r="708" spans="1:3" ht="16.5" x14ac:dyDescent="0.2">
      <c r="A708" s="4" t="s">
        <v>264</v>
      </c>
      <c r="B708">
        <v>708</v>
      </c>
      <c r="C708">
        <f>MOD(B708,8)</f>
        <v>4</v>
      </c>
    </row>
    <row r="709" spans="1:3" ht="16.5" x14ac:dyDescent="0.2">
      <c r="A709" s="4" t="s">
        <v>264</v>
      </c>
      <c r="B709" s="15">
        <v>709</v>
      </c>
      <c r="C709">
        <f>MOD(B709,8)</f>
        <v>5</v>
      </c>
    </row>
    <row r="710" spans="1:3" ht="16.5" x14ac:dyDescent="0.2">
      <c r="A710" s="4" t="s">
        <v>264</v>
      </c>
      <c r="B710">
        <v>710</v>
      </c>
      <c r="C710">
        <f>MOD(B710,8)</f>
        <v>6</v>
      </c>
    </row>
    <row r="711" spans="1:3" ht="16.5" x14ac:dyDescent="0.2">
      <c r="A711" s="4" t="s">
        <v>264</v>
      </c>
      <c r="B711" s="15">
        <v>711</v>
      </c>
      <c r="C711">
        <f>MOD(B711,8)</f>
        <v>7</v>
      </c>
    </row>
    <row r="712" spans="1:3" ht="16.5" x14ac:dyDescent="0.2">
      <c r="A712" s="4" t="s">
        <v>264</v>
      </c>
      <c r="B712">
        <v>712</v>
      </c>
      <c r="C712">
        <f>MOD(B712,8)</f>
        <v>0</v>
      </c>
    </row>
    <row r="713" spans="1:3" ht="16.5" x14ac:dyDescent="0.2">
      <c r="A713" s="4" t="s">
        <v>263</v>
      </c>
      <c r="B713" s="15">
        <v>713</v>
      </c>
      <c r="C713">
        <f>MOD(B713,8)</f>
        <v>1</v>
      </c>
    </row>
    <row r="714" spans="1:3" ht="16.5" x14ac:dyDescent="0.2">
      <c r="A714" s="4" t="s">
        <v>263</v>
      </c>
      <c r="B714">
        <v>714</v>
      </c>
      <c r="C714">
        <f>MOD(B714,8)</f>
        <v>2</v>
      </c>
    </row>
    <row r="715" spans="1:3" ht="16.5" x14ac:dyDescent="0.2">
      <c r="A715" s="4" t="s">
        <v>263</v>
      </c>
      <c r="B715" s="15">
        <v>715</v>
      </c>
      <c r="C715">
        <f>MOD(B715,8)</f>
        <v>3</v>
      </c>
    </row>
    <row r="716" spans="1:3" ht="16.5" x14ac:dyDescent="0.2">
      <c r="A716" s="4" t="s">
        <v>263</v>
      </c>
      <c r="B716">
        <v>716</v>
      </c>
      <c r="C716">
        <f>MOD(B716,8)</f>
        <v>4</v>
      </c>
    </row>
    <row r="717" spans="1:3" ht="16.5" x14ac:dyDescent="0.2">
      <c r="A717" s="4" t="s">
        <v>263</v>
      </c>
      <c r="B717" s="15">
        <v>717</v>
      </c>
      <c r="C717">
        <f>MOD(B717,8)</f>
        <v>5</v>
      </c>
    </row>
    <row r="718" spans="1:3" ht="16.5" x14ac:dyDescent="0.2">
      <c r="A718" s="4" t="s">
        <v>263</v>
      </c>
      <c r="B718">
        <v>718</v>
      </c>
      <c r="C718">
        <f>MOD(B718,8)</f>
        <v>6</v>
      </c>
    </row>
    <row r="719" spans="1:3" ht="16.5" x14ac:dyDescent="0.2">
      <c r="A719" s="4" t="s">
        <v>263</v>
      </c>
      <c r="B719" s="15">
        <v>719</v>
      </c>
      <c r="C719">
        <f>MOD(B719,8)</f>
        <v>7</v>
      </c>
    </row>
    <row r="720" spans="1:3" ht="16.5" x14ac:dyDescent="0.2">
      <c r="A720" s="4" t="s">
        <v>263</v>
      </c>
      <c r="B720">
        <v>720</v>
      </c>
      <c r="C720">
        <f>MOD(B720,8)</f>
        <v>0</v>
      </c>
    </row>
    <row r="721" spans="1:3" ht="16.5" x14ac:dyDescent="0.2">
      <c r="A721" s="4" t="s">
        <v>262</v>
      </c>
      <c r="B721" s="15">
        <v>721</v>
      </c>
      <c r="C721">
        <f>MOD(B721,8)</f>
        <v>1</v>
      </c>
    </row>
    <row r="722" spans="1:3" ht="16.5" x14ac:dyDescent="0.2">
      <c r="A722" s="4" t="s">
        <v>262</v>
      </c>
      <c r="B722">
        <v>722</v>
      </c>
      <c r="C722">
        <f>MOD(B722,8)</f>
        <v>2</v>
      </c>
    </row>
    <row r="723" spans="1:3" ht="16.5" x14ac:dyDescent="0.2">
      <c r="A723" s="4" t="s">
        <v>262</v>
      </c>
      <c r="B723" s="15">
        <v>723</v>
      </c>
      <c r="C723">
        <f>MOD(B723,8)</f>
        <v>3</v>
      </c>
    </row>
    <row r="724" spans="1:3" ht="16.5" x14ac:dyDescent="0.2">
      <c r="A724" s="4" t="s">
        <v>262</v>
      </c>
      <c r="B724">
        <v>724</v>
      </c>
      <c r="C724">
        <f>MOD(B724,8)</f>
        <v>4</v>
      </c>
    </row>
    <row r="725" spans="1:3" ht="16.5" x14ac:dyDescent="0.2">
      <c r="A725" s="4" t="s">
        <v>262</v>
      </c>
      <c r="B725" s="15">
        <v>725</v>
      </c>
      <c r="C725">
        <f>MOD(B725,8)</f>
        <v>5</v>
      </c>
    </row>
    <row r="726" spans="1:3" ht="16.5" x14ac:dyDescent="0.2">
      <c r="A726" s="4" t="s">
        <v>262</v>
      </c>
      <c r="B726">
        <v>726</v>
      </c>
      <c r="C726">
        <f>MOD(B726,8)</f>
        <v>6</v>
      </c>
    </row>
    <row r="727" spans="1:3" ht="16.5" x14ac:dyDescent="0.2">
      <c r="A727" s="4" t="s">
        <v>262</v>
      </c>
      <c r="B727" s="15">
        <v>727</v>
      </c>
      <c r="C727">
        <f>MOD(B727,8)</f>
        <v>7</v>
      </c>
    </row>
    <row r="728" spans="1:3" ht="16.5" x14ac:dyDescent="0.2">
      <c r="A728" s="4" t="s">
        <v>262</v>
      </c>
      <c r="B728">
        <v>728</v>
      </c>
      <c r="C728">
        <f>MOD(B728,8)</f>
        <v>0</v>
      </c>
    </row>
    <row r="729" spans="1:3" ht="16.5" x14ac:dyDescent="0.2">
      <c r="A729" s="4" t="s">
        <v>261</v>
      </c>
      <c r="B729" s="15">
        <v>729</v>
      </c>
      <c r="C729">
        <f>MOD(B729,8)</f>
        <v>1</v>
      </c>
    </row>
    <row r="730" spans="1:3" ht="16.5" x14ac:dyDescent="0.2">
      <c r="A730" s="4" t="s">
        <v>261</v>
      </c>
      <c r="B730">
        <v>730</v>
      </c>
      <c r="C730">
        <f>MOD(B730,8)</f>
        <v>2</v>
      </c>
    </row>
    <row r="731" spans="1:3" ht="16.5" x14ac:dyDescent="0.2">
      <c r="A731" s="4" t="s">
        <v>261</v>
      </c>
      <c r="B731" s="15">
        <v>731</v>
      </c>
      <c r="C731">
        <f>MOD(B731,8)</f>
        <v>3</v>
      </c>
    </row>
    <row r="732" spans="1:3" ht="16.5" x14ac:dyDescent="0.2">
      <c r="A732" s="4" t="s">
        <v>261</v>
      </c>
      <c r="B732">
        <v>732</v>
      </c>
      <c r="C732">
        <f>MOD(B732,8)</f>
        <v>4</v>
      </c>
    </row>
    <row r="733" spans="1:3" ht="16.5" x14ac:dyDescent="0.2">
      <c r="A733" s="4" t="s">
        <v>261</v>
      </c>
      <c r="B733" s="15">
        <v>733</v>
      </c>
      <c r="C733">
        <f>MOD(B733,8)</f>
        <v>5</v>
      </c>
    </row>
    <row r="734" spans="1:3" ht="16.5" x14ac:dyDescent="0.2">
      <c r="A734" s="4" t="s">
        <v>261</v>
      </c>
      <c r="B734">
        <v>734</v>
      </c>
      <c r="C734">
        <f>MOD(B734,8)</f>
        <v>6</v>
      </c>
    </row>
    <row r="735" spans="1:3" ht="16.5" x14ac:dyDescent="0.2">
      <c r="A735" s="4" t="s">
        <v>261</v>
      </c>
      <c r="B735" s="15">
        <v>735</v>
      </c>
      <c r="C735">
        <f>MOD(B735,8)</f>
        <v>7</v>
      </c>
    </row>
    <row r="736" spans="1:3" ht="16.5" x14ac:dyDescent="0.2">
      <c r="A736" s="4" t="s">
        <v>261</v>
      </c>
      <c r="B736">
        <v>736</v>
      </c>
      <c r="C736">
        <f>MOD(B736,8)</f>
        <v>0</v>
      </c>
    </row>
    <row r="737" spans="1:3" ht="16.5" x14ac:dyDescent="0.2">
      <c r="A737" s="4" t="s">
        <v>260</v>
      </c>
      <c r="B737" s="15">
        <v>737</v>
      </c>
      <c r="C737">
        <f>MOD(B737,8)</f>
        <v>1</v>
      </c>
    </row>
    <row r="738" spans="1:3" ht="16.5" x14ac:dyDescent="0.2">
      <c r="A738" s="4" t="s">
        <v>260</v>
      </c>
      <c r="B738">
        <v>738</v>
      </c>
      <c r="C738">
        <f>MOD(B738,8)</f>
        <v>2</v>
      </c>
    </row>
    <row r="739" spans="1:3" ht="16.5" x14ac:dyDescent="0.2">
      <c r="A739" s="4" t="s">
        <v>260</v>
      </c>
      <c r="B739" s="15">
        <v>739</v>
      </c>
      <c r="C739">
        <f>MOD(B739,8)</f>
        <v>3</v>
      </c>
    </row>
    <row r="740" spans="1:3" ht="16.5" x14ac:dyDescent="0.2">
      <c r="A740" s="4" t="s">
        <v>260</v>
      </c>
      <c r="B740">
        <v>740</v>
      </c>
      <c r="C740">
        <f>MOD(B740,8)</f>
        <v>4</v>
      </c>
    </row>
    <row r="741" spans="1:3" ht="16.5" x14ac:dyDescent="0.2">
      <c r="A741" s="4" t="s">
        <v>260</v>
      </c>
      <c r="B741" s="15">
        <v>741</v>
      </c>
      <c r="C741">
        <f>MOD(B741,8)</f>
        <v>5</v>
      </c>
    </row>
    <row r="742" spans="1:3" ht="16.5" x14ac:dyDescent="0.2">
      <c r="A742" s="4" t="s">
        <v>260</v>
      </c>
      <c r="B742">
        <v>742</v>
      </c>
      <c r="C742">
        <f>MOD(B742,8)</f>
        <v>6</v>
      </c>
    </row>
    <row r="743" spans="1:3" ht="16.5" x14ac:dyDescent="0.2">
      <c r="A743" s="4" t="s">
        <v>260</v>
      </c>
      <c r="B743" s="15">
        <v>743</v>
      </c>
      <c r="C743">
        <f>MOD(B743,8)</f>
        <v>7</v>
      </c>
    </row>
    <row r="744" spans="1:3" ht="16.5" x14ac:dyDescent="0.2">
      <c r="A744" s="4" t="s">
        <v>260</v>
      </c>
      <c r="B744">
        <v>744</v>
      </c>
      <c r="C744">
        <f>MOD(B744,8)</f>
        <v>0</v>
      </c>
    </row>
    <row r="745" spans="1:3" ht="16.5" x14ac:dyDescent="0.2">
      <c r="A745" s="4" t="s">
        <v>259</v>
      </c>
      <c r="B745" s="15">
        <v>745</v>
      </c>
      <c r="C745">
        <f>MOD(B745,8)</f>
        <v>1</v>
      </c>
    </row>
    <row r="746" spans="1:3" ht="16.5" x14ac:dyDescent="0.2">
      <c r="A746" s="4" t="s">
        <v>259</v>
      </c>
      <c r="B746">
        <v>746</v>
      </c>
      <c r="C746">
        <f>MOD(B746,8)</f>
        <v>2</v>
      </c>
    </row>
    <row r="747" spans="1:3" ht="16.5" x14ac:dyDescent="0.2">
      <c r="A747" s="4" t="s">
        <v>259</v>
      </c>
      <c r="B747" s="15">
        <v>747</v>
      </c>
      <c r="C747">
        <f>MOD(B747,8)</f>
        <v>3</v>
      </c>
    </row>
    <row r="748" spans="1:3" ht="16.5" x14ac:dyDescent="0.2">
      <c r="A748" s="4" t="s">
        <v>259</v>
      </c>
      <c r="B748">
        <v>748</v>
      </c>
      <c r="C748">
        <f>MOD(B748,8)</f>
        <v>4</v>
      </c>
    </row>
    <row r="749" spans="1:3" ht="16.5" x14ac:dyDescent="0.2">
      <c r="A749" s="4" t="s">
        <v>259</v>
      </c>
      <c r="B749" s="15">
        <v>749</v>
      </c>
      <c r="C749">
        <f>MOD(B749,8)</f>
        <v>5</v>
      </c>
    </row>
    <row r="750" spans="1:3" ht="16.5" x14ac:dyDescent="0.2">
      <c r="A750" s="4" t="s">
        <v>259</v>
      </c>
      <c r="B750">
        <v>750</v>
      </c>
      <c r="C750">
        <f>MOD(B750,8)</f>
        <v>6</v>
      </c>
    </row>
    <row r="751" spans="1:3" ht="16.5" x14ac:dyDescent="0.2">
      <c r="A751" s="4" t="s">
        <v>259</v>
      </c>
      <c r="B751" s="15">
        <v>751</v>
      </c>
      <c r="C751">
        <f>MOD(B751,8)</f>
        <v>7</v>
      </c>
    </row>
    <row r="752" spans="1:3" ht="16.5" x14ac:dyDescent="0.2">
      <c r="A752" s="4" t="s">
        <v>259</v>
      </c>
      <c r="B752">
        <v>752</v>
      </c>
      <c r="C752">
        <f>MOD(B752,8)</f>
        <v>0</v>
      </c>
    </row>
    <row r="753" spans="1:3" ht="16.5" x14ac:dyDescent="0.2">
      <c r="A753" s="4" t="s">
        <v>258</v>
      </c>
      <c r="B753" s="15">
        <v>753</v>
      </c>
      <c r="C753">
        <f>MOD(B753,8)</f>
        <v>1</v>
      </c>
    </row>
    <row r="754" spans="1:3" ht="16.5" x14ac:dyDescent="0.2">
      <c r="A754" s="4" t="s">
        <v>258</v>
      </c>
      <c r="B754">
        <v>754</v>
      </c>
      <c r="C754">
        <f>MOD(B754,8)</f>
        <v>2</v>
      </c>
    </row>
    <row r="755" spans="1:3" ht="16.5" x14ac:dyDescent="0.2">
      <c r="A755" s="4" t="s">
        <v>258</v>
      </c>
      <c r="B755" s="15">
        <v>755</v>
      </c>
      <c r="C755">
        <f>MOD(B755,8)</f>
        <v>3</v>
      </c>
    </row>
    <row r="756" spans="1:3" ht="16.5" x14ac:dyDescent="0.2">
      <c r="A756" s="4" t="s">
        <v>258</v>
      </c>
      <c r="B756">
        <v>756</v>
      </c>
      <c r="C756">
        <f>MOD(B756,8)</f>
        <v>4</v>
      </c>
    </row>
    <row r="757" spans="1:3" ht="16.5" x14ac:dyDescent="0.2">
      <c r="A757" s="4" t="s">
        <v>258</v>
      </c>
      <c r="B757" s="15">
        <v>757</v>
      </c>
      <c r="C757">
        <f>MOD(B757,8)</f>
        <v>5</v>
      </c>
    </row>
    <row r="758" spans="1:3" ht="16.5" x14ac:dyDescent="0.2">
      <c r="A758" s="4" t="s">
        <v>258</v>
      </c>
      <c r="B758">
        <v>758</v>
      </c>
      <c r="C758">
        <f>MOD(B758,8)</f>
        <v>6</v>
      </c>
    </row>
    <row r="759" spans="1:3" ht="16.5" x14ac:dyDescent="0.2">
      <c r="A759" s="4" t="s">
        <v>258</v>
      </c>
      <c r="B759" s="15">
        <v>759</v>
      </c>
      <c r="C759">
        <f>MOD(B759,8)</f>
        <v>7</v>
      </c>
    </row>
    <row r="760" spans="1:3" ht="16.5" x14ac:dyDescent="0.2">
      <c r="A760" s="4" t="s">
        <v>258</v>
      </c>
      <c r="B760">
        <v>760</v>
      </c>
      <c r="C760">
        <f>MOD(B760,8)</f>
        <v>0</v>
      </c>
    </row>
    <row r="761" spans="1:3" ht="16.5" x14ac:dyDescent="0.2">
      <c r="A761" s="4" t="s">
        <v>257</v>
      </c>
      <c r="B761" s="15">
        <v>761</v>
      </c>
      <c r="C761">
        <f>MOD(B761,8)</f>
        <v>1</v>
      </c>
    </row>
    <row r="762" spans="1:3" ht="16.5" x14ac:dyDescent="0.2">
      <c r="A762" s="4" t="s">
        <v>257</v>
      </c>
      <c r="B762">
        <v>762</v>
      </c>
      <c r="C762">
        <f>MOD(B762,8)</f>
        <v>2</v>
      </c>
    </row>
    <row r="763" spans="1:3" ht="16.5" x14ac:dyDescent="0.2">
      <c r="A763" s="4" t="s">
        <v>257</v>
      </c>
      <c r="B763" s="15">
        <v>763</v>
      </c>
      <c r="C763">
        <f>MOD(B763,8)</f>
        <v>3</v>
      </c>
    </row>
    <row r="764" spans="1:3" ht="16.5" x14ac:dyDescent="0.2">
      <c r="A764" s="4" t="s">
        <v>257</v>
      </c>
      <c r="B764">
        <v>764</v>
      </c>
      <c r="C764">
        <f>MOD(B764,8)</f>
        <v>4</v>
      </c>
    </row>
    <row r="765" spans="1:3" ht="16.5" x14ac:dyDescent="0.2">
      <c r="A765" s="4" t="s">
        <v>257</v>
      </c>
      <c r="B765" s="15">
        <v>765</v>
      </c>
      <c r="C765">
        <f>MOD(B765,8)</f>
        <v>5</v>
      </c>
    </row>
    <row r="766" spans="1:3" ht="16.5" x14ac:dyDescent="0.2">
      <c r="A766" s="4" t="s">
        <v>257</v>
      </c>
      <c r="B766">
        <v>766</v>
      </c>
      <c r="C766">
        <f>MOD(B766,8)</f>
        <v>6</v>
      </c>
    </row>
    <row r="767" spans="1:3" ht="16.5" x14ac:dyDescent="0.2">
      <c r="A767" s="4" t="s">
        <v>257</v>
      </c>
      <c r="B767" s="15">
        <v>767</v>
      </c>
      <c r="C767">
        <f>MOD(B767,8)</f>
        <v>7</v>
      </c>
    </row>
    <row r="768" spans="1:3" ht="16.5" x14ac:dyDescent="0.2">
      <c r="A768" s="4" t="s">
        <v>257</v>
      </c>
      <c r="B768">
        <v>768</v>
      </c>
      <c r="C768">
        <f>MOD(B768,8)</f>
        <v>0</v>
      </c>
    </row>
    <row r="769" spans="1:3" ht="16.5" x14ac:dyDescent="0.2">
      <c r="A769" s="4" t="s">
        <v>256</v>
      </c>
      <c r="B769" s="15">
        <v>769</v>
      </c>
      <c r="C769">
        <f>MOD(B769,8)</f>
        <v>1</v>
      </c>
    </row>
    <row r="770" spans="1:3" ht="16.5" x14ac:dyDescent="0.2">
      <c r="A770" s="4" t="s">
        <v>256</v>
      </c>
      <c r="B770">
        <v>770</v>
      </c>
      <c r="C770">
        <f>MOD(B770,8)</f>
        <v>2</v>
      </c>
    </row>
    <row r="771" spans="1:3" ht="16.5" x14ac:dyDescent="0.2">
      <c r="A771" s="4" t="s">
        <v>256</v>
      </c>
      <c r="B771" s="15">
        <v>771</v>
      </c>
      <c r="C771">
        <f>MOD(B771,8)</f>
        <v>3</v>
      </c>
    </row>
    <row r="772" spans="1:3" ht="16.5" x14ac:dyDescent="0.2">
      <c r="A772" s="4" t="s">
        <v>256</v>
      </c>
      <c r="B772">
        <v>772</v>
      </c>
      <c r="C772">
        <f>MOD(B772,8)</f>
        <v>4</v>
      </c>
    </row>
    <row r="773" spans="1:3" ht="16.5" x14ac:dyDescent="0.2">
      <c r="A773" s="4" t="s">
        <v>256</v>
      </c>
      <c r="B773" s="15">
        <v>773</v>
      </c>
      <c r="C773">
        <f>MOD(B773,8)</f>
        <v>5</v>
      </c>
    </row>
    <row r="774" spans="1:3" ht="16.5" x14ac:dyDescent="0.2">
      <c r="A774" s="4" t="s">
        <v>256</v>
      </c>
      <c r="B774">
        <v>774</v>
      </c>
      <c r="C774">
        <f>MOD(B774,8)</f>
        <v>6</v>
      </c>
    </row>
    <row r="775" spans="1:3" ht="16.5" x14ac:dyDescent="0.2">
      <c r="A775" s="4" t="s">
        <v>256</v>
      </c>
      <c r="B775" s="15">
        <v>775</v>
      </c>
      <c r="C775">
        <f>MOD(B775,8)</f>
        <v>7</v>
      </c>
    </row>
    <row r="776" spans="1:3" ht="16.5" x14ac:dyDescent="0.2">
      <c r="A776" s="4" t="s">
        <v>256</v>
      </c>
      <c r="B776">
        <v>776</v>
      </c>
      <c r="C776">
        <f>MOD(B776,8)</f>
        <v>0</v>
      </c>
    </row>
    <row r="777" spans="1:3" ht="16.5" x14ac:dyDescent="0.2">
      <c r="A777" s="4" t="s">
        <v>255</v>
      </c>
      <c r="B777" s="15">
        <v>777</v>
      </c>
      <c r="C777">
        <f>MOD(B777,8)</f>
        <v>1</v>
      </c>
    </row>
    <row r="778" spans="1:3" ht="16.5" x14ac:dyDescent="0.2">
      <c r="A778" s="4" t="s">
        <v>255</v>
      </c>
      <c r="B778">
        <v>778</v>
      </c>
      <c r="C778">
        <f>MOD(B778,8)</f>
        <v>2</v>
      </c>
    </row>
    <row r="779" spans="1:3" ht="16.5" x14ac:dyDescent="0.2">
      <c r="A779" s="4" t="s">
        <v>255</v>
      </c>
      <c r="B779" s="15">
        <v>779</v>
      </c>
      <c r="C779">
        <f>MOD(B779,8)</f>
        <v>3</v>
      </c>
    </row>
    <row r="780" spans="1:3" ht="16.5" x14ac:dyDescent="0.2">
      <c r="A780" s="4" t="s">
        <v>255</v>
      </c>
      <c r="B780">
        <v>780</v>
      </c>
      <c r="C780">
        <f>MOD(B780,8)</f>
        <v>4</v>
      </c>
    </row>
    <row r="781" spans="1:3" ht="16.5" x14ac:dyDescent="0.2">
      <c r="A781" s="4" t="s">
        <v>255</v>
      </c>
      <c r="B781" s="15">
        <v>781</v>
      </c>
      <c r="C781">
        <f>MOD(B781,8)</f>
        <v>5</v>
      </c>
    </row>
    <row r="782" spans="1:3" ht="16.5" x14ac:dyDescent="0.2">
      <c r="A782" s="4" t="s">
        <v>255</v>
      </c>
      <c r="B782">
        <v>782</v>
      </c>
      <c r="C782">
        <f>MOD(B782,8)</f>
        <v>6</v>
      </c>
    </row>
    <row r="783" spans="1:3" ht="16.5" x14ac:dyDescent="0.2">
      <c r="A783" s="4" t="s">
        <v>255</v>
      </c>
      <c r="B783" s="15">
        <v>783</v>
      </c>
      <c r="C783">
        <f>MOD(B783,8)</f>
        <v>7</v>
      </c>
    </row>
    <row r="784" spans="1:3" ht="16.5" x14ac:dyDescent="0.2">
      <c r="A784" s="4" t="s">
        <v>255</v>
      </c>
      <c r="B784">
        <v>784</v>
      </c>
      <c r="C784">
        <f>MOD(B784,8)</f>
        <v>0</v>
      </c>
    </row>
    <row r="785" spans="1:3" ht="16.5" x14ac:dyDescent="0.2">
      <c r="A785" s="4" t="s">
        <v>254</v>
      </c>
      <c r="B785" s="15">
        <v>785</v>
      </c>
      <c r="C785">
        <f>MOD(B785,8)</f>
        <v>1</v>
      </c>
    </row>
    <row r="786" spans="1:3" ht="16.5" x14ac:dyDescent="0.2">
      <c r="A786" s="4" t="s">
        <v>254</v>
      </c>
      <c r="B786">
        <v>786</v>
      </c>
      <c r="C786">
        <f>MOD(B786,8)</f>
        <v>2</v>
      </c>
    </row>
    <row r="787" spans="1:3" ht="16.5" x14ac:dyDescent="0.2">
      <c r="A787" s="4" t="s">
        <v>254</v>
      </c>
      <c r="B787" s="15">
        <v>787</v>
      </c>
      <c r="C787">
        <f>MOD(B787,8)</f>
        <v>3</v>
      </c>
    </row>
    <row r="788" spans="1:3" ht="16.5" x14ac:dyDescent="0.2">
      <c r="A788" s="4" t="s">
        <v>254</v>
      </c>
      <c r="B788">
        <v>788</v>
      </c>
      <c r="C788">
        <f>MOD(B788,8)</f>
        <v>4</v>
      </c>
    </row>
    <row r="789" spans="1:3" ht="16.5" x14ac:dyDescent="0.2">
      <c r="A789" s="4" t="s">
        <v>254</v>
      </c>
      <c r="B789" s="15">
        <v>789</v>
      </c>
      <c r="C789">
        <f>MOD(B789,8)</f>
        <v>5</v>
      </c>
    </row>
    <row r="790" spans="1:3" ht="16.5" x14ac:dyDescent="0.2">
      <c r="A790" s="4" t="s">
        <v>254</v>
      </c>
      <c r="B790">
        <v>790</v>
      </c>
      <c r="C790">
        <f>MOD(B790,8)</f>
        <v>6</v>
      </c>
    </row>
    <row r="791" spans="1:3" ht="16.5" x14ac:dyDescent="0.2">
      <c r="A791" s="4" t="s">
        <v>254</v>
      </c>
      <c r="B791" s="15">
        <v>791</v>
      </c>
      <c r="C791">
        <f>MOD(B791,8)</f>
        <v>7</v>
      </c>
    </row>
    <row r="792" spans="1:3" ht="16.5" x14ac:dyDescent="0.2">
      <c r="A792" s="4" t="s">
        <v>254</v>
      </c>
      <c r="B792">
        <v>792</v>
      </c>
      <c r="C792">
        <f>MOD(B792,8)</f>
        <v>0</v>
      </c>
    </row>
    <row r="793" spans="1:3" ht="16.5" x14ac:dyDescent="0.2">
      <c r="A793" s="4" t="s">
        <v>253</v>
      </c>
      <c r="B793" s="15">
        <v>793</v>
      </c>
      <c r="C793">
        <f>MOD(B793,8)</f>
        <v>1</v>
      </c>
    </row>
    <row r="794" spans="1:3" ht="16.5" x14ac:dyDescent="0.2">
      <c r="A794" s="4" t="s">
        <v>253</v>
      </c>
      <c r="B794">
        <v>794</v>
      </c>
      <c r="C794">
        <f>MOD(B794,8)</f>
        <v>2</v>
      </c>
    </row>
    <row r="795" spans="1:3" ht="16.5" x14ac:dyDescent="0.2">
      <c r="A795" s="4" t="s">
        <v>253</v>
      </c>
      <c r="B795" s="15">
        <v>795</v>
      </c>
      <c r="C795">
        <f>MOD(B795,8)</f>
        <v>3</v>
      </c>
    </row>
    <row r="796" spans="1:3" ht="16.5" x14ac:dyDescent="0.2">
      <c r="A796" s="4" t="s">
        <v>253</v>
      </c>
      <c r="B796">
        <v>796</v>
      </c>
      <c r="C796">
        <f>MOD(B796,8)</f>
        <v>4</v>
      </c>
    </row>
    <row r="797" spans="1:3" ht="16.5" x14ac:dyDescent="0.2">
      <c r="A797" s="4" t="s">
        <v>253</v>
      </c>
      <c r="B797" s="15">
        <v>797</v>
      </c>
      <c r="C797">
        <f>MOD(B797,8)</f>
        <v>5</v>
      </c>
    </row>
    <row r="798" spans="1:3" ht="16.5" x14ac:dyDescent="0.2">
      <c r="A798" s="4" t="s">
        <v>253</v>
      </c>
      <c r="B798">
        <v>798</v>
      </c>
      <c r="C798">
        <f>MOD(B798,8)</f>
        <v>6</v>
      </c>
    </row>
    <row r="799" spans="1:3" ht="16.5" x14ac:dyDescent="0.2">
      <c r="A799" s="4" t="s">
        <v>253</v>
      </c>
      <c r="B799" s="15">
        <v>799</v>
      </c>
      <c r="C799">
        <f>MOD(B799,8)</f>
        <v>7</v>
      </c>
    </row>
    <row r="800" spans="1:3" ht="16.5" x14ac:dyDescent="0.2">
      <c r="A800" s="4" t="s">
        <v>253</v>
      </c>
      <c r="B800">
        <v>800</v>
      </c>
      <c r="C800">
        <f>MOD(B800,8)</f>
        <v>0</v>
      </c>
    </row>
    <row r="801" spans="1:3" ht="16.5" x14ac:dyDescent="0.2">
      <c r="A801" s="4" t="s">
        <v>252</v>
      </c>
      <c r="B801" s="15">
        <v>801</v>
      </c>
      <c r="C801">
        <f>MOD(B801,8)</f>
        <v>1</v>
      </c>
    </row>
    <row r="802" spans="1:3" ht="16.5" x14ac:dyDescent="0.2">
      <c r="A802" s="4" t="s">
        <v>252</v>
      </c>
      <c r="B802">
        <v>802</v>
      </c>
      <c r="C802">
        <f>MOD(B802,8)</f>
        <v>2</v>
      </c>
    </row>
    <row r="803" spans="1:3" ht="16.5" x14ac:dyDescent="0.2">
      <c r="A803" s="4" t="s">
        <v>252</v>
      </c>
      <c r="B803" s="15">
        <v>803</v>
      </c>
      <c r="C803">
        <f>MOD(B803,8)</f>
        <v>3</v>
      </c>
    </row>
    <row r="804" spans="1:3" ht="16.5" x14ac:dyDescent="0.2">
      <c r="A804" s="4" t="s">
        <v>252</v>
      </c>
      <c r="B804">
        <v>804</v>
      </c>
      <c r="C804">
        <f>MOD(B804,8)</f>
        <v>4</v>
      </c>
    </row>
    <row r="805" spans="1:3" ht="16.5" x14ac:dyDescent="0.2">
      <c r="A805" s="4" t="s">
        <v>252</v>
      </c>
      <c r="B805" s="15">
        <v>805</v>
      </c>
      <c r="C805">
        <f>MOD(B805,8)</f>
        <v>5</v>
      </c>
    </row>
    <row r="806" spans="1:3" ht="16.5" x14ac:dyDescent="0.2">
      <c r="A806" s="4" t="s">
        <v>252</v>
      </c>
      <c r="B806">
        <v>806</v>
      </c>
      <c r="C806">
        <f>MOD(B806,8)</f>
        <v>6</v>
      </c>
    </row>
    <row r="807" spans="1:3" ht="16.5" x14ac:dyDescent="0.2">
      <c r="A807" s="4" t="s">
        <v>252</v>
      </c>
      <c r="B807" s="15">
        <v>807</v>
      </c>
      <c r="C807">
        <f>MOD(B807,8)</f>
        <v>7</v>
      </c>
    </row>
    <row r="808" spans="1:3" ht="16.5" x14ac:dyDescent="0.2">
      <c r="A808" s="4" t="s">
        <v>252</v>
      </c>
      <c r="B808">
        <v>808</v>
      </c>
      <c r="C808">
        <f>MOD(B808,8)</f>
        <v>0</v>
      </c>
    </row>
    <row r="809" spans="1:3" ht="16.5" x14ac:dyDescent="0.2">
      <c r="A809" s="4" t="s">
        <v>251</v>
      </c>
      <c r="B809" s="15">
        <v>809</v>
      </c>
      <c r="C809">
        <f>MOD(B809,8)</f>
        <v>1</v>
      </c>
    </row>
    <row r="810" spans="1:3" ht="16.5" x14ac:dyDescent="0.2">
      <c r="A810" s="4" t="s">
        <v>251</v>
      </c>
      <c r="B810">
        <v>810</v>
      </c>
      <c r="C810">
        <f>MOD(B810,8)</f>
        <v>2</v>
      </c>
    </row>
    <row r="811" spans="1:3" ht="16.5" x14ac:dyDescent="0.2">
      <c r="A811" s="4" t="s">
        <v>251</v>
      </c>
      <c r="B811" s="15">
        <v>811</v>
      </c>
      <c r="C811">
        <f>MOD(B811,8)</f>
        <v>3</v>
      </c>
    </row>
    <row r="812" spans="1:3" ht="16.5" x14ac:dyDescent="0.2">
      <c r="A812" s="4" t="s">
        <v>251</v>
      </c>
      <c r="B812">
        <v>812</v>
      </c>
      <c r="C812">
        <f>MOD(B812,8)</f>
        <v>4</v>
      </c>
    </row>
    <row r="813" spans="1:3" ht="16.5" x14ac:dyDescent="0.2">
      <c r="A813" s="4" t="s">
        <v>251</v>
      </c>
      <c r="B813" s="15">
        <v>813</v>
      </c>
      <c r="C813">
        <f>MOD(B813,8)</f>
        <v>5</v>
      </c>
    </row>
    <row r="814" spans="1:3" ht="16.5" x14ac:dyDescent="0.2">
      <c r="A814" s="4" t="s">
        <v>251</v>
      </c>
      <c r="B814">
        <v>814</v>
      </c>
      <c r="C814">
        <f>MOD(B814,8)</f>
        <v>6</v>
      </c>
    </row>
    <row r="815" spans="1:3" ht="16.5" x14ac:dyDescent="0.2">
      <c r="A815" s="4" t="s">
        <v>251</v>
      </c>
      <c r="B815" s="15">
        <v>815</v>
      </c>
      <c r="C815">
        <f>MOD(B815,8)</f>
        <v>7</v>
      </c>
    </row>
    <row r="816" spans="1:3" ht="16.5" x14ac:dyDescent="0.2">
      <c r="A816" s="4" t="s">
        <v>251</v>
      </c>
      <c r="B816">
        <v>816</v>
      </c>
      <c r="C816">
        <f>MOD(B816,8)</f>
        <v>0</v>
      </c>
    </row>
    <row r="817" spans="1:3" ht="16.5" x14ac:dyDescent="0.2">
      <c r="A817" s="4" t="s">
        <v>250</v>
      </c>
      <c r="B817" s="15">
        <v>817</v>
      </c>
      <c r="C817">
        <f>MOD(B817,8)</f>
        <v>1</v>
      </c>
    </row>
    <row r="818" spans="1:3" ht="16.5" x14ac:dyDescent="0.2">
      <c r="A818" s="4" t="s">
        <v>250</v>
      </c>
      <c r="B818">
        <v>818</v>
      </c>
      <c r="C818">
        <f>MOD(B818,8)</f>
        <v>2</v>
      </c>
    </row>
    <row r="819" spans="1:3" ht="16.5" x14ac:dyDescent="0.2">
      <c r="A819" s="4" t="s">
        <v>250</v>
      </c>
      <c r="B819" s="15">
        <v>819</v>
      </c>
      <c r="C819">
        <f>MOD(B819,8)</f>
        <v>3</v>
      </c>
    </row>
    <row r="820" spans="1:3" ht="16.5" x14ac:dyDescent="0.2">
      <c r="A820" s="4" t="s">
        <v>250</v>
      </c>
      <c r="B820">
        <v>820</v>
      </c>
      <c r="C820">
        <f>MOD(B820,8)</f>
        <v>4</v>
      </c>
    </row>
    <row r="821" spans="1:3" ht="16.5" x14ac:dyDescent="0.2">
      <c r="A821" s="4" t="s">
        <v>250</v>
      </c>
      <c r="B821" s="15">
        <v>821</v>
      </c>
      <c r="C821">
        <f>MOD(B821,8)</f>
        <v>5</v>
      </c>
    </row>
    <row r="822" spans="1:3" ht="16.5" x14ac:dyDescent="0.2">
      <c r="A822" s="4" t="s">
        <v>250</v>
      </c>
      <c r="B822">
        <v>822</v>
      </c>
      <c r="C822">
        <f>MOD(B822,8)</f>
        <v>6</v>
      </c>
    </row>
    <row r="823" spans="1:3" ht="16.5" x14ac:dyDescent="0.2">
      <c r="A823" s="4" t="s">
        <v>250</v>
      </c>
      <c r="B823" s="15">
        <v>823</v>
      </c>
      <c r="C823">
        <f>MOD(B823,8)</f>
        <v>7</v>
      </c>
    </row>
    <row r="824" spans="1:3" ht="16.5" x14ac:dyDescent="0.2">
      <c r="A824" s="4" t="s">
        <v>250</v>
      </c>
      <c r="B824">
        <v>824</v>
      </c>
      <c r="C824">
        <f>MOD(B824,8)</f>
        <v>0</v>
      </c>
    </row>
    <row r="825" spans="1:3" ht="16.5" x14ac:dyDescent="0.2">
      <c r="A825" s="4" t="s">
        <v>249</v>
      </c>
      <c r="B825" s="15">
        <v>825</v>
      </c>
      <c r="C825">
        <f>MOD(B825,8)</f>
        <v>1</v>
      </c>
    </row>
    <row r="826" spans="1:3" ht="16.5" x14ac:dyDescent="0.2">
      <c r="A826" s="4" t="s">
        <v>249</v>
      </c>
      <c r="B826">
        <v>826</v>
      </c>
      <c r="C826">
        <f>MOD(B826,8)</f>
        <v>2</v>
      </c>
    </row>
    <row r="827" spans="1:3" ht="16.5" x14ac:dyDescent="0.2">
      <c r="A827" s="4" t="s">
        <v>249</v>
      </c>
      <c r="B827" s="15">
        <v>827</v>
      </c>
      <c r="C827">
        <f>MOD(B827,8)</f>
        <v>3</v>
      </c>
    </row>
    <row r="828" spans="1:3" ht="16.5" x14ac:dyDescent="0.2">
      <c r="A828" s="4" t="s">
        <v>249</v>
      </c>
      <c r="B828">
        <v>828</v>
      </c>
      <c r="C828">
        <f>MOD(B828,8)</f>
        <v>4</v>
      </c>
    </row>
    <row r="829" spans="1:3" ht="16.5" x14ac:dyDescent="0.2">
      <c r="A829" s="4" t="s">
        <v>249</v>
      </c>
      <c r="B829" s="15">
        <v>829</v>
      </c>
      <c r="C829">
        <f>MOD(B829,8)</f>
        <v>5</v>
      </c>
    </row>
    <row r="830" spans="1:3" ht="16.5" x14ac:dyDescent="0.2">
      <c r="A830" s="4" t="s">
        <v>249</v>
      </c>
      <c r="B830">
        <v>830</v>
      </c>
      <c r="C830">
        <f>MOD(B830,8)</f>
        <v>6</v>
      </c>
    </row>
    <row r="831" spans="1:3" ht="16.5" x14ac:dyDescent="0.2">
      <c r="A831" s="4" t="s">
        <v>249</v>
      </c>
      <c r="B831" s="15">
        <v>831</v>
      </c>
      <c r="C831">
        <f>MOD(B831,8)</f>
        <v>7</v>
      </c>
    </row>
    <row r="832" spans="1:3" ht="16.5" x14ac:dyDescent="0.2">
      <c r="A832" s="4" t="s">
        <v>249</v>
      </c>
      <c r="B832">
        <v>832</v>
      </c>
      <c r="C832">
        <f>MOD(B832,8)</f>
        <v>0</v>
      </c>
    </row>
    <row r="833" spans="1:3" ht="16.5" x14ac:dyDescent="0.2">
      <c r="A833" s="4" t="s">
        <v>248</v>
      </c>
      <c r="B833" s="15">
        <v>833</v>
      </c>
      <c r="C833">
        <f>MOD(B833,8)</f>
        <v>1</v>
      </c>
    </row>
    <row r="834" spans="1:3" ht="16.5" x14ac:dyDescent="0.2">
      <c r="A834" s="4" t="s">
        <v>248</v>
      </c>
      <c r="B834">
        <v>834</v>
      </c>
      <c r="C834">
        <f>MOD(B834,8)</f>
        <v>2</v>
      </c>
    </row>
    <row r="835" spans="1:3" ht="16.5" x14ac:dyDescent="0.2">
      <c r="A835" s="4" t="s">
        <v>248</v>
      </c>
      <c r="B835" s="15">
        <v>835</v>
      </c>
      <c r="C835">
        <f>MOD(B835,8)</f>
        <v>3</v>
      </c>
    </row>
    <row r="836" spans="1:3" ht="16.5" x14ac:dyDescent="0.2">
      <c r="A836" s="4" t="s">
        <v>248</v>
      </c>
      <c r="B836">
        <v>836</v>
      </c>
      <c r="C836">
        <f>MOD(B836,8)</f>
        <v>4</v>
      </c>
    </row>
    <row r="837" spans="1:3" ht="16.5" x14ac:dyDescent="0.2">
      <c r="A837" s="4" t="s">
        <v>248</v>
      </c>
      <c r="B837" s="15">
        <v>837</v>
      </c>
      <c r="C837">
        <f>MOD(B837,8)</f>
        <v>5</v>
      </c>
    </row>
    <row r="838" spans="1:3" ht="16.5" x14ac:dyDescent="0.2">
      <c r="A838" s="4" t="s">
        <v>248</v>
      </c>
      <c r="B838">
        <v>838</v>
      </c>
      <c r="C838">
        <f>MOD(B838,8)</f>
        <v>6</v>
      </c>
    </row>
    <row r="839" spans="1:3" ht="16.5" x14ac:dyDescent="0.2">
      <c r="A839" s="4" t="s">
        <v>248</v>
      </c>
      <c r="B839" s="15">
        <v>839</v>
      </c>
      <c r="C839">
        <f>MOD(B839,8)</f>
        <v>7</v>
      </c>
    </row>
    <row r="840" spans="1:3" ht="16.5" x14ac:dyDescent="0.2">
      <c r="A840" s="4" t="s">
        <v>248</v>
      </c>
      <c r="B840">
        <v>840</v>
      </c>
      <c r="C840">
        <f>MOD(B840,8)</f>
        <v>0</v>
      </c>
    </row>
    <row r="841" spans="1:3" ht="16.5" x14ac:dyDescent="0.2">
      <c r="A841" s="4" t="s">
        <v>247</v>
      </c>
      <c r="B841" s="15">
        <v>841</v>
      </c>
      <c r="C841">
        <f>MOD(B841,8)</f>
        <v>1</v>
      </c>
    </row>
    <row r="842" spans="1:3" ht="16.5" x14ac:dyDescent="0.2">
      <c r="A842" s="4" t="s">
        <v>247</v>
      </c>
      <c r="B842">
        <v>842</v>
      </c>
      <c r="C842">
        <f>MOD(B842,8)</f>
        <v>2</v>
      </c>
    </row>
    <row r="843" spans="1:3" ht="16.5" x14ac:dyDescent="0.2">
      <c r="A843" s="4" t="s">
        <v>247</v>
      </c>
      <c r="B843" s="15">
        <v>843</v>
      </c>
      <c r="C843">
        <f>MOD(B843,8)</f>
        <v>3</v>
      </c>
    </row>
    <row r="844" spans="1:3" ht="16.5" x14ac:dyDescent="0.2">
      <c r="A844" s="4" t="s">
        <v>247</v>
      </c>
      <c r="B844">
        <v>844</v>
      </c>
      <c r="C844">
        <f>MOD(B844,8)</f>
        <v>4</v>
      </c>
    </row>
    <row r="845" spans="1:3" ht="16.5" x14ac:dyDescent="0.2">
      <c r="A845" s="4" t="s">
        <v>247</v>
      </c>
      <c r="B845" s="15">
        <v>845</v>
      </c>
      <c r="C845">
        <f>MOD(B845,8)</f>
        <v>5</v>
      </c>
    </row>
    <row r="846" spans="1:3" ht="16.5" x14ac:dyDescent="0.2">
      <c r="A846" s="4" t="s">
        <v>247</v>
      </c>
      <c r="B846">
        <v>846</v>
      </c>
      <c r="C846">
        <f>MOD(B846,8)</f>
        <v>6</v>
      </c>
    </row>
    <row r="847" spans="1:3" ht="16.5" x14ac:dyDescent="0.2">
      <c r="A847" s="4" t="s">
        <v>247</v>
      </c>
      <c r="B847" s="15">
        <v>847</v>
      </c>
      <c r="C847">
        <f>MOD(B847,8)</f>
        <v>7</v>
      </c>
    </row>
    <row r="848" spans="1:3" ht="16.5" x14ac:dyDescent="0.2">
      <c r="A848" s="4" t="s">
        <v>247</v>
      </c>
      <c r="B848">
        <v>848</v>
      </c>
      <c r="C848">
        <f>MOD(B848,8)</f>
        <v>0</v>
      </c>
    </row>
    <row r="849" spans="1:3" ht="16.5" x14ac:dyDescent="0.2">
      <c r="A849" s="4" t="s">
        <v>246</v>
      </c>
      <c r="B849" s="15">
        <v>849</v>
      </c>
      <c r="C849">
        <f>MOD(B849,8)</f>
        <v>1</v>
      </c>
    </row>
    <row r="850" spans="1:3" ht="16.5" x14ac:dyDescent="0.2">
      <c r="A850" s="4" t="s">
        <v>246</v>
      </c>
      <c r="B850">
        <v>850</v>
      </c>
      <c r="C850">
        <f>MOD(B850,8)</f>
        <v>2</v>
      </c>
    </row>
    <row r="851" spans="1:3" ht="16.5" x14ac:dyDescent="0.2">
      <c r="A851" s="4" t="s">
        <v>246</v>
      </c>
      <c r="B851" s="15">
        <v>851</v>
      </c>
      <c r="C851">
        <f>MOD(B851,8)</f>
        <v>3</v>
      </c>
    </row>
    <row r="852" spans="1:3" ht="16.5" x14ac:dyDescent="0.2">
      <c r="A852" s="4" t="s">
        <v>246</v>
      </c>
      <c r="B852">
        <v>852</v>
      </c>
      <c r="C852">
        <f>MOD(B852,8)</f>
        <v>4</v>
      </c>
    </row>
    <row r="853" spans="1:3" ht="16.5" x14ac:dyDescent="0.2">
      <c r="A853" s="4" t="s">
        <v>246</v>
      </c>
      <c r="B853" s="15">
        <v>853</v>
      </c>
      <c r="C853">
        <f>MOD(B853,8)</f>
        <v>5</v>
      </c>
    </row>
    <row r="854" spans="1:3" ht="16.5" x14ac:dyDescent="0.2">
      <c r="A854" s="4" t="s">
        <v>246</v>
      </c>
      <c r="B854">
        <v>854</v>
      </c>
      <c r="C854">
        <f>MOD(B854,8)</f>
        <v>6</v>
      </c>
    </row>
    <row r="855" spans="1:3" ht="16.5" x14ac:dyDescent="0.2">
      <c r="A855" s="4" t="s">
        <v>246</v>
      </c>
      <c r="B855" s="15">
        <v>855</v>
      </c>
      <c r="C855">
        <f>MOD(B855,8)</f>
        <v>7</v>
      </c>
    </row>
    <row r="856" spans="1:3" ht="16.5" x14ac:dyDescent="0.2">
      <c r="A856" s="4" t="s">
        <v>246</v>
      </c>
      <c r="B856">
        <v>856</v>
      </c>
      <c r="C856">
        <f>MOD(B856,8)</f>
        <v>0</v>
      </c>
    </row>
    <row r="857" spans="1:3" ht="16.5" x14ac:dyDescent="0.2">
      <c r="A857" s="4" t="s">
        <v>245</v>
      </c>
      <c r="B857" s="15">
        <v>857</v>
      </c>
      <c r="C857">
        <f>MOD(B857,8)</f>
        <v>1</v>
      </c>
    </row>
    <row r="858" spans="1:3" ht="16.5" x14ac:dyDescent="0.2">
      <c r="A858" s="4" t="s">
        <v>245</v>
      </c>
      <c r="B858">
        <v>858</v>
      </c>
      <c r="C858">
        <f>MOD(B858,8)</f>
        <v>2</v>
      </c>
    </row>
    <row r="859" spans="1:3" ht="16.5" x14ac:dyDescent="0.2">
      <c r="A859" s="4" t="s">
        <v>245</v>
      </c>
      <c r="B859" s="15">
        <v>859</v>
      </c>
      <c r="C859">
        <f>MOD(B859,8)</f>
        <v>3</v>
      </c>
    </row>
    <row r="860" spans="1:3" ht="16.5" x14ac:dyDescent="0.2">
      <c r="A860" s="4" t="s">
        <v>245</v>
      </c>
      <c r="B860">
        <v>860</v>
      </c>
      <c r="C860">
        <f>MOD(B860,8)</f>
        <v>4</v>
      </c>
    </row>
    <row r="861" spans="1:3" ht="16.5" x14ac:dyDescent="0.2">
      <c r="A861" s="4" t="s">
        <v>245</v>
      </c>
      <c r="B861" s="15">
        <v>861</v>
      </c>
      <c r="C861">
        <f>MOD(B861,8)</f>
        <v>5</v>
      </c>
    </row>
    <row r="862" spans="1:3" ht="16.5" x14ac:dyDescent="0.2">
      <c r="A862" s="4" t="s">
        <v>245</v>
      </c>
      <c r="B862">
        <v>862</v>
      </c>
      <c r="C862">
        <f>MOD(B862,8)</f>
        <v>6</v>
      </c>
    </row>
    <row r="863" spans="1:3" ht="16.5" x14ac:dyDescent="0.2">
      <c r="A863" s="4" t="s">
        <v>245</v>
      </c>
      <c r="B863" s="15">
        <v>863</v>
      </c>
      <c r="C863">
        <f>MOD(B863,8)</f>
        <v>7</v>
      </c>
    </row>
    <row r="864" spans="1:3" ht="16.5" x14ac:dyDescent="0.2">
      <c r="A864" s="4" t="s">
        <v>245</v>
      </c>
      <c r="B864">
        <v>864</v>
      </c>
      <c r="C864">
        <f>MOD(B864,8)</f>
        <v>0</v>
      </c>
    </row>
    <row r="865" spans="1:3" ht="16.5" x14ac:dyDescent="0.2">
      <c r="A865" s="4" t="s">
        <v>244</v>
      </c>
      <c r="B865" s="15">
        <v>865</v>
      </c>
      <c r="C865">
        <f>MOD(B865,8)</f>
        <v>1</v>
      </c>
    </row>
    <row r="866" spans="1:3" ht="16.5" x14ac:dyDescent="0.2">
      <c r="A866" s="4" t="s">
        <v>244</v>
      </c>
      <c r="B866">
        <v>866</v>
      </c>
      <c r="C866">
        <f>MOD(B866,8)</f>
        <v>2</v>
      </c>
    </row>
    <row r="867" spans="1:3" ht="16.5" x14ac:dyDescent="0.2">
      <c r="A867" s="4" t="s">
        <v>244</v>
      </c>
      <c r="B867" s="15">
        <v>867</v>
      </c>
      <c r="C867">
        <f>MOD(B867,8)</f>
        <v>3</v>
      </c>
    </row>
    <row r="868" spans="1:3" ht="16.5" x14ac:dyDescent="0.2">
      <c r="A868" s="4" t="s">
        <v>244</v>
      </c>
      <c r="B868">
        <v>868</v>
      </c>
      <c r="C868">
        <f>MOD(B868,8)</f>
        <v>4</v>
      </c>
    </row>
    <row r="869" spans="1:3" ht="16.5" x14ac:dyDescent="0.2">
      <c r="A869" s="4" t="s">
        <v>244</v>
      </c>
      <c r="B869" s="15">
        <v>869</v>
      </c>
      <c r="C869">
        <f>MOD(B869,8)</f>
        <v>5</v>
      </c>
    </row>
    <row r="870" spans="1:3" ht="16.5" x14ac:dyDescent="0.2">
      <c r="A870" s="4" t="s">
        <v>244</v>
      </c>
      <c r="B870">
        <v>870</v>
      </c>
      <c r="C870">
        <f>MOD(B870,8)</f>
        <v>6</v>
      </c>
    </row>
    <row r="871" spans="1:3" ht="16.5" x14ac:dyDescent="0.2">
      <c r="A871" s="4" t="s">
        <v>244</v>
      </c>
      <c r="B871" s="15">
        <v>871</v>
      </c>
      <c r="C871">
        <f>MOD(B871,8)</f>
        <v>7</v>
      </c>
    </row>
    <row r="872" spans="1:3" ht="16.5" x14ac:dyDescent="0.2">
      <c r="A872" s="4" t="s">
        <v>244</v>
      </c>
      <c r="B872">
        <v>872</v>
      </c>
      <c r="C872">
        <f>MOD(B872,8)</f>
        <v>0</v>
      </c>
    </row>
    <row r="873" spans="1:3" ht="16.5" x14ac:dyDescent="0.2">
      <c r="A873" s="4" t="s">
        <v>243</v>
      </c>
      <c r="B873" s="15">
        <v>873</v>
      </c>
      <c r="C873">
        <f>MOD(B873,8)</f>
        <v>1</v>
      </c>
    </row>
    <row r="874" spans="1:3" ht="16.5" x14ac:dyDescent="0.2">
      <c r="A874" s="4" t="s">
        <v>243</v>
      </c>
      <c r="B874">
        <v>874</v>
      </c>
      <c r="C874">
        <f>MOD(B874,8)</f>
        <v>2</v>
      </c>
    </row>
    <row r="875" spans="1:3" ht="16.5" x14ac:dyDescent="0.2">
      <c r="A875" s="4" t="s">
        <v>243</v>
      </c>
      <c r="B875" s="15">
        <v>875</v>
      </c>
      <c r="C875">
        <f>MOD(B875,8)</f>
        <v>3</v>
      </c>
    </row>
    <row r="876" spans="1:3" ht="16.5" x14ac:dyDescent="0.2">
      <c r="A876" s="4" t="s">
        <v>243</v>
      </c>
      <c r="B876">
        <v>876</v>
      </c>
      <c r="C876">
        <f>MOD(B876,8)</f>
        <v>4</v>
      </c>
    </row>
    <row r="877" spans="1:3" ht="16.5" x14ac:dyDescent="0.2">
      <c r="A877" s="4" t="s">
        <v>243</v>
      </c>
      <c r="B877" s="15">
        <v>877</v>
      </c>
      <c r="C877">
        <f>MOD(B877,8)</f>
        <v>5</v>
      </c>
    </row>
    <row r="878" spans="1:3" ht="16.5" x14ac:dyDescent="0.2">
      <c r="A878" s="4" t="s">
        <v>243</v>
      </c>
      <c r="B878">
        <v>878</v>
      </c>
      <c r="C878">
        <f>MOD(B878,8)</f>
        <v>6</v>
      </c>
    </row>
    <row r="879" spans="1:3" ht="16.5" x14ac:dyDescent="0.2">
      <c r="A879" s="4" t="s">
        <v>243</v>
      </c>
      <c r="B879" s="15">
        <v>879</v>
      </c>
      <c r="C879">
        <f>MOD(B879,8)</f>
        <v>7</v>
      </c>
    </row>
    <row r="880" spans="1:3" ht="16.5" x14ac:dyDescent="0.2">
      <c r="A880" s="4" t="s">
        <v>243</v>
      </c>
      <c r="B880">
        <v>880</v>
      </c>
      <c r="C880">
        <f>MOD(B880,8)</f>
        <v>0</v>
      </c>
    </row>
    <row r="881" spans="1:3" ht="16.5" x14ac:dyDescent="0.2">
      <c r="A881" s="4" t="s">
        <v>242</v>
      </c>
      <c r="B881" s="15">
        <v>881</v>
      </c>
      <c r="C881">
        <f>MOD(B881,8)</f>
        <v>1</v>
      </c>
    </row>
    <row r="882" spans="1:3" ht="16.5" x14ac:dyDescent="0.2">
      <c r="A882" s="4" t="s">
        <v>242</v>
      </c>
      <c r="B882">
        <v>882</v>
      </c>
      <c r="C882">
        <f>MOD(B882,8)</f>
        <v>2</v>
      </c>
    </row>
    <row r="883" spans="1:3" ht="16.5" x14ac:dyDescent="0.2">
      <c r="A883" s="4" t="s">
        <v>242</v>
      </c>
      <c r="B883" s="15">
        <v>883</v>
      </c>
      <c r="C883">
        <f>MOD(B883,8)</f>
        <v>3</v>
      </c>
    </row>
    <row r="884" spans="1:3" ht="16.5" x14ac:dyDescent="0.2">
      <c r="A884" s="4" t="s">
        <v>242</v>
      </c>
      <c r="B884">
        <v>884</v>
      </c>
      <c r="C884">
        <f>MOD(B884,8)</f>
        <v>4</v>
      </c>
    </row>
    <row r="885" spans="1:3" ht="16.5" x14ac:dyDescent="0.2">
      <c r="A885" s="4" t="s">
        <v>242</v>
      </c>
      <c r="B885" s="15">
        <v>885</v>
      </c>
      <c r="C885">
        <f>MOD(B885,8)</f>
        <v>5</v>
      </c>
    </row>
    <row r="886" spans="1:3" ht="16.5" x14ac:dyDescent="0.2">
      <c r="A886" s="4" t="s">
        <v>242</v>
      </c>
      <c r="B886">
        <v>886</v>
      </c>
      <c r="C886">
        <f>MOD(B886,8)</f>
        <v>6</v>
      </c>
    </row>
    <row r="887" spans="1:3" ht="16.5" x14ac:dyDescent="0.2">
      <c r="A887" s="4" t="s">
        <v>242</v>
      </c>
      <c r="B887" s="15">
        <v>887</v>
      </c>
      <c r="C887">
        <f>MOD(B887,8)</f>
        <v>7</v>
      </c>
    </row>
    <row r="888" spans="1:3" ht="16.5" x14ac:dyDescent="0.2">
      <c r="A888" s="4" t="s">
        <v>242</v>
      </c>
      <c r="B888">
        <v>888</v>
      </c>
      <c r="C888">
        <f>MOD(B888,8)</f>
        <v>0</v>
      </c>
    </row>
    <row r="889" spans="1:3" ht="16.5" x14ac:dyDescent="0.2">
      <c r="A889" s="4" t="s">
        <v>241</v>
      </c>
      <c r="B889" s="15">
        <v>889</v>
      </c>
      <c r="C889">
        <f>MOD(B889,8)</f>
        <v>1</v>
      </c>
    </row>
    <row r="890" spans="1:3" ht="16.5" x14ac:dyDescent="0.2">
      <c r="A890" s="4" t="s">
        <v>241</v>
      </c>
      <c r="B890">
        <v>890</v>
      </c>
      <c r="C890">
        <f>MOD(B890,8)</f>
        <v>2</v>
      </c>
    </row>
    <row r="891" spans="1:3" ht="16.5" x14ac:dyDescent="0.2">
      <c r="A891" s="4" t="s">
        <v>241</v>
      </c>
      <c r="B891" s="15">
        <v>891</v>
      </c>
      <c r="C891">
        <f>MOD(B891,8)</f>
        <v>3</v>
      </c>
    </row>
    <row r="892" spans="1:3" ht="16.5" x14ac:dyDescent="0.2">
      <c r="A892" s="4" t="s">
        <v>241</v>
      </c>
      <c r="B892">
        <v>892</v>
      </c>
      <c r="C892">
        <f>MOD(B892,8)</f>
        <v>4</v>
      </c>
    </row>
    <row r="893" spans="1:3" ht="16.5" x14ac:dyDescent="0.2">
      <c r="A893" s="4" t="s">
        <v>241</v>
      </c>
      <c r="B893" s="15">
        <v>893</v>
      </c>
      <c r="C893">
        <f>MOD(B893,8)</f>
        <v>5</v>
      </c>
    </row>
    <row r="894" spans="1:3" ht="16.5" x14ac:dyDescent="0.2">
      <c r="A894" s="4" t="s">
        <v>241</v>
      </c>
      <c r="B894">
        <v>894</v>
      </c>
      <c r="C894">
        <f>MOD(B894,8)</f>
        <v>6</v>
      </c>
    </row>
    <row r="895" spans="1:3" ht="16.5" x14ac:dyDescent="0.2">
      <c r="A895" s="4" t="s">
        <v>241</v>
      </c>
      <c r="B895" s="15">
        <v>895</v>
      </c>
      <c r="C895">
        <f>MOD(B895,8)</f>
        <v>7</v>
      </c>
    </row>
    <row r="896" spans="1:3" ht="16.5" x14ac:dyDescent="0.2">
      <c r="A896" s="4" t="s">
        <v>241</v>
      </c>
      <c r="B896">
        <v>896</v>
      </c>
      <c r="C896">
        <f>MOD(B896,8)</f>
        <v>0</v>
      </c>
    </row>
    <row r="897" spans="1:3" ht="16.5" x14ac:dyDescent="0.2">
      <c r="A897" s="4" t="s">
        <v>240</v>
      </c>
      <c r="B897">
        <v>897</v>
      </c>
      <c r="C897">
        <f>MOD(B897,8)</f>
        <v>1</v>
      </c>
    </row>
    <row r="898" spans="1:3" ht="16.5" x14ac:dyDescent="0.2">
      <c r="A898" s="4" t="s">
        <v>240</v>
      </c>
      <c r="B898" s="15">
        <v>898</v>
      </c>
      <c r="C898">
        <f>MOD(B898,8)</f>
        <v>2</v>
      </c>
    </row>
    <row r="899" spans="1:3" ht="16.5" x14ac:dyDescent="0.2">
      <c r="A899" s="4" t="s">
        <v>240</v>
      </c>
      <c r="B899">
        <v>899</v>
      </c>
      <c r="C899">
        <f>MOD(B899,8)</f>
        <v>3</v>
      </c>
    </row>
    <row r="900" spans="1:3" ht="16.5" x14ac:dyDescent="0.2">
      <c r="A900" s="4" t="s">
        <v>240</v>
      </c>
      <c r="B900" s="15">
        <v>900</v>
      </c>
      <c r="C900">
        <f>MOD(B900,8)</f>
        <v>4</v>
      </c>
    </row>
    <row r="901" spans="1:3" ht="16.5" x14ac:dyDescent="0.2">
      <c r="A901" s="4" t="s">
        <v>240</v>
      </c>
      <c r="B901">
        <v>901</v>
      </c>
      <c r="C901">
        <f>MOD(B901,8)</f>
        <v>5</v>
      </c>
    </row>
    <row r="902" spans="1:3" ht="16.5" x14ac:dyDescent="0.2">
      <c r="A902" s="4" t="s">
        <v>240</v>
      </c>
      <c r="B902">
        <v>902</v>
      </c>
      <c r="C902">
        <f>MOD(B902,8)</f>
        <v>6</v>
      </c>
    </row>
    <row r="903" spans="1:3" ht="16.5" x14ac:dyDescent="0.2">
      <c r="A903" s="4" t="s">
        <v>240</v>
      </c>
      <c r="B903" s="15">
        <v>903</v>
      </c>
      <c r="C903">
        <f>MOD(B903,8)</f>
        <v>7</v>
      </c>
    </row>
    <row r="904" spans="1:3" ht="16.5" x14ac:dyDescent="0.2">
      <c r="A904" s="4" t="s">
        <v>240</v>
      </c>
      <c r="B904">
        <v>904</v>
      </c>
      <c r="C904">
        <f>MOD(B904,8)</f>
        <v>0</v>
      </c>
    </row>
    <row r="905" spans="1:3" ht="16.5" x14ac:dyDescent="0.2">
      <c r="A905" s="4" t="s">
        <v>239</v>
      </c>
      <c r="B905" s="15">
        <v>905</v>
      </c>
      <c r="C905">
        <f>MOD(B905,8)</f>
        <v>1</v>
      </c>
    </row>
    <row r="906" spans="1:3" ht="16.5" x14ac:dyDescent="0.2">
      <c r="A906" s="4" t="s">
        <v>239</v>
      </c>
      <c r="B906">
        <v>906</v>
      </c>
      <c r="C906">
        <f>MOD(B906,8)</f>
        <v>2</v>
      </c>
    </row>
    <row r="907" spans="1:3" ht="16.5" x14ac:dyDescent="0.2">
      <c r="A907" s="4" t="s">
        <v>239</v>
      </c>
      <c r="B907">
        <v>907</v>
      </c>
      <c r="C907">
        <f>MOD(B907,8)</f>
        <v>3</v>
      </c>
    </row>
    <row r="908" spans="1:3" ht="16.5" x14ac:dyDescent="0.2">
      <c r="A908" s="4" t="s">
        <v>239</v>
      </c>
      <c r="B908" s="15">
        <v>908</v>
      </c>
      <c r="C908">
        <f>MOD(B908,8)</f>
        <v>4</v>
      </c>
    </row>
    <row r="909" spans="1:3" ht="16.5" x14ac:dyDescent="0.2">
      <c r="A909" s="4" t="s">
        <v>239</v>
      </c>
      <c r="B909">
        <v>909</v>
      </c>
      <c r="C909">
        <f>MOD(B909,8)</f>
        <v>5</v>
      </c>
    </row>
    <row r="910" spans="1:3" ht="16.5" x14ac:dyDescent="0.2">
      <c r="A910" s="4" t="s">
        <v>239</v>
      </c>
      <c r="B910" s="15">
        <v>910</v>
      </c>
      <c r="C910">
        <f>MOD(B910,8)</f>
        <v>6</v>
      </c>
    </row>
    <row r="911" spans="1:3" ht="16.5" x14ac:dyDescent="0.2">
      <c r="A911" s="4" t="s">
        <v>239</v>
      </c>
      <c r="B911">
        <v>911</v>
      </c>
      <c r="C911">
        <f>MOD(B911,8)</f>
        <v>7</v>
      </c>
    </row>
    <row r="912" spans="1:3" ht="16.5" x14ac:dyDescent="0.2">
      <c r="A912" s="4" t="s">
        <v>239</v>
      </c>
      <c r="B912">
        <v>912</v>
      </c>
      <c r="C912">
        <f>MOD(B912,8)</f>
        <v>0</v>
      </c>
    </row>
    <row r="913" spans="1:3" ht="16.5" x14ac:dyDescent="0.2">
      <c r="A913" s="4" t="s">
        <v>238</v>
      </c>
      <c r="B913" s="15">
        <v>913</v>
      </c>
      <c r="C913">
        <f>MOD(B913,8)</f>
        <v>1</v>
      </c>
    </row>
    <row r="914" spans="1:3" ht="16.5" x14ac:dyDescent="0.2">
      <c r="A914" s="4" t="s">
        <v>238</v>
      </c>
      <c r="B914">
        <v>914</v>
      </c>
      <c r="C914">
        <f>MOD(B914,8)</f>
        <v>2</v>
      </c>
    </row>
    <row r="915" spans="1:3" ht="16.5" x14ac:dyDescent="0.2">
      <c r="A915" s="4" t="s">
        <v>238</v>
      </c>
      <c r="B915" s="15">
        <v>915</v>
      </c>
      <c r="C915">
        <f>MOD(B915,8)</f>
        <v>3</v>
      </c>
    </row>
    <row r="916" spans="1:3" ht="16.5" x14ac:dyDescent="0.2">
      <c r="A916" s="4" t="s">
        <v>238</v>
      </c>
      <c r="B916">
        <v>916</v>
      </c>
      <c r="C916">
        <f>MOD(B916,8)</f>
        <v>4</v>
      </c>
    </row>
    <row r="917" spans="1:3" ht="16.5" x14ac:dyDescent="0.2">
      <c r="A917" s="4" t="s">
        <v>238</v>
      </c>
      <c r="B917">
        <v>917</v>
      </c>
      <c r="C917">
        <f>MOD(B917,8)</f>
        <v>5</v>
      </c>
    </row>
    <row r="918" spans="1:3" ht="16.5" x14ac:dyDescent="0.2">
      <c r="A918" s="4" t="s">
        <v>238</v>
      </c>
      <c r="B918" s="15">
        <v>918</v>
      </c>
      <c r="C918">
        <f>MOD(B918,8)</f>
        <v>6</v>
      </c>
    </row>
    <row r="919" spans="1:3" ht="16.5" x14ac:dyDescent="0.2">
      <c r="A919" s="4" t="s">
        <v>238</v>
      </c>
      <c r="B919">
        <v>919</v>
      </c>
      <c r="C919">
        <f>MOD(B919,8)</f>
        <v>7</v>
      </c>
    </row>
    <row r="920" spans="1:3" ht="16.5" x14ac:dyDescent="0.2">
      <c r="A920" s="4" t="s">
        <v>238</v>
      </c>
      <c r="B920" s="15">
        <v>920</v>
      </c>
      <c r="C920">
        <f>MOD(B920,8)</f>
        <v>0</v>
      </c>
    </row>
    <row r="921" spans="1:3" ht="16.5" x14ac:dyDescent="0.2">
      <c r="A921" s="4" t="s">
        <v>237</v>
      </c>
      <c r="B921">
        <v>921</v>
      </c>
      <c r="C921">
        <f>MOD(B921,8)</f>
        <v>1</v>
      </c>
    </row>
    <row r="922" spans="1:3" ht="16.5" x14ac:dyDescent="0.2">
      <c r="A922" s="4" t="s">
        <v>237</v>
      </c>
      <c r="B922">
        <v>922</v>
      </c>
      <c r="C922">
        <f>MOD(B922,8)</f>
        <v>2</v>
      </c>
    </row>
    <row r="923" spans="1:3" ht="16.5" x14ac:dyDescent="0.2">
      <c r="A923" s="4" t="s">
        <v>237</v>
      </c>
      <c r="B923" s="15">
        <v>923</v>
      </c>
      <c r="C923">
        <f>MOD(B923,8)</f>
        <v>3</v>
      </c>
    </row>
    <row r="924" spans="1:3" ht="16.5" x14ac:dyDescent="0.2">
      <c r="A924" s="4" t="s">
        <v>237</v>
      </c>
      <c r="B924">
        <v>924</v>
      </c>
      <c r="C924">
        <f>MOD(B924,8)</f>
        <v>4</v>
      </c>
    </row>
    <row r="925" spans="1:3" ht="16.5" x14ac:dyDescent="0.2">
      <c r="A925" s="4" t="s">
        <v>237</v>
      </c>
      <c r="B925" s="15">
        <v>925</v>
      </c>
      <c r="C925">
        <f>MOD(B925,8)</f>
        <v>5</v>
      </c>
    </row>
    <row r="926" spans="1:3" ht="16.5" x14ac:dyDescent="0.2">
      <c r="A926" s="4" t="s">
        <v>237</v>
      </c>
      <c r="B926">
        <v>926</v>
      </c>
      <c r="C926">
        <f>MOD(B926,8)</f>
        <v>6</v>
      </c>
    </row>
    <row r="927" spans="1:3" ht="16.5" x14ac:dyDescent="0.2">
      <c r="A927" s="4" t="s">
        <v>237</v>
      </c>
      <c r="B927">
        <v>927</v>
      </c>
      <c r="C927">
        <f>MOD(B927,8)</f>
        <v>7</v>
      </c>
    </row>
    <row r="928" spans="1:3" ht="16.5" x14ac:dyDescent="0.2">
      <c r="A928" s="4" t="s">
        <v>237</v>
      </c>
      <c r="B928" s="15">
        <v>928</v>
      </c>
      <c r="C928">
        <f>MOD(B928,8)</f>
        <v>0</v>
      </c>
    </row>
    <row r="929" spans="1:3" ht="16.5" x14ac:dyDescent="0.2">
      <c r="A929" s="4" t="s">
        <v>236</v>
      </c>
      <c r="B929">
        <v>929</v>
      </c>
      <c r="C929">
        <f>MOD(B929,8)</f>
        <v>1</v>
      </c>
    </row>
    <row r="930" spans="1:3" ht="16.5" x14ac:dyDescent="0.2">
      <c r="A930" s="4" t="s">
        <v>236</v>
      </c>
      <c r="B930" s="15">
        <v>930</v>
      </c>
      <c r="C930">
        <f>MOD(B930,8)</f>
        <v>2</v>
      </c>
    </row>
    <row r="931" spans="1:3" ht="16.5" x14ac:dyDescent="0.2">
      <c r="A931" s="4" t="s">
        <v>236</v>
      </c>
      <c r="B931">
        <v>931</v>
      </c>
      <c r="C931">
        <f>MOD(B931,8)</f>
        <v>3</v>
      </c>
    </row>
    <row r="932" spans="1:3" ht="16.5" x14ac:dyDescent="0.2">
      <c r="A932" s="4" t="s">
        <v>236</v>
      </c>
      <c r="B932">
        <v>932</v>
      </c>
      <c r="C932">
        <f>MOD(B932,8)</f>
        <v>4</v>
      </c>
    </row>
    <row r="933" spans="1:3" ht="16.5" x14ac:dyDescent="0.2">
      <c r="A933" s="4" t="s">
        <v>236</v>
      </c>
      <c r="B933" s="15">
        <v>933</v>
      </c>
      <c r="C933">
        <f>MOD(B933,8)</f>
        <v>5</v>
      </c>
    </row>
    <row r="934" spans="1:3" ht="16.5" x14ac:dyDescent="0.2">
      <c r="A934" s="4" t="s">
        <v>236</v>
      </c>
      <c r="B934">
        <v>934</v>
      </c>
      <c r="C934">
        <f>MOD(B934,8)</f>
        <v>6</v>
      </c>
    </row>
    <row r="935" spans="1:3" ht="16.5" x14ac:dyDescent="0.2">
      <c r="A935" s="4" t="s">
        <v>236</v>
      </c>
      <c r="B935" s="15">
        <v>935</v>
      </c>
      <c r="C935">
        <f>MOD(B935,8)</f>
        <v>7</v>
      </c>
    </row>
    <row r="936" spans="1:3" ht="16.5" x14ac:dyDescent="0.2">
      <c r="A936" s="4" t="s">
        <v>236</v>
      </c>
      <c r="B936">
        <v>936</v>
      </c>
      <c r="C936">
        <f>MOD(B936,8)</f>
        <v>0</v>
      </c>
    </row>
    <row r="937" spans="1:3" ht="16.5" x14ac:dyDescent="0.2">
      <c r="A937" s="4" t="s">
        <v>235</v>
      </c>
      <c r="B937">
        <v>937</v>
      </c>
      <c r="C937">
        <f>MOD(B937,8)</f>
        <v>1</v>
      </c>
    </row>
    <row r="938" spans="1:3" ht="16.5" x14ac:dyDescent="0.2">
      <c r="A938" s="4" t="s">
        <v>235</v>
      </c>
      <c r="B938" s="15">
        <v>938</v>
      </c>
      <c r="C938">
        <f>MOD(B938,8)</f>
        <v>2</v>
      </c>
    </row>
    <row r="939" spans="1:3" ht="16.5" x14ac:dyDescent="0.2">
      <c r="A939" s="4" t="s">
        <v>235</v>
      </c>
      <c r="B939">
        <v>939</v>
      </c>
      <c r="C939">
        <f>MOD(B939,8)</f>
        <v>3</v>
      </c>
    </row>
    <row r="940" spans="1:3" ht="16.5" x14ac:dyDescent="0.2">
      <c r="A940" s="4" t="s">
        <v>235</v>
      </c>
      <c r="B940" s="15">
        <v>940</v>
      </c>
      <c r="C940">
        <f>MOD(B940,8)</f>
        <v>4</v>
      </c>
    </row>
    <row r="941" spans="1:3" ht="16.5" x14ac:dyDescent="0.2">
      <c r="A941" s="4" t="s">
        <v>235</v>
      </c>
      <c r="B941">
        <v>941</v>
      </c>
      <c r="C941">
        <f>MOD(B941,8)</f>
        <v>5</v>
      </c>
    </row>
    <row r="942" spans="1:3" ht="16.5" x14ac:dyDescent="0.2">
      <c r="A942" s="4" t="s">
        <v>235</v>
      </c>
      <c r="B942">
        <v>942</v>
      </c>
      <c r="C942">
        <f>MOD(B942,8)</f>
        <v>6</v>
      </c>
    </row>
    <row r="943" spans="1:3" ht="16.5" x14ac:dyDescent="0.2">
      <c r="A943" s="4" t="s">
        <v>235</v>
      </c>
      <c r="B943" s="15">
        <v>943</v>
      </c>
      <c r="C943">
        <f>MOD(B943,8)</f>
        <v>7</v>
      </c>
    </row>
    <row r="944" spans="1:3" ht="16.5" x14ac:dyDescent="0.2">
      <c r="A944" s="4" t="s">
        <v>235</v>
      </c>
      <c r="B944">
        <v>944</v>
      </c>
      <c r="C944">
        <f>MOD(B944,8)</f>
        <v>0</v>
      </c>
    </row>
    <row r="945" spans="1:3" ht="16.5" x14ac:dyDescent="0.2">
      <c r="A945" s="4" t="s">
        <v>234</v>
      </c>
      <c r="B945" s="15">
        <v>945</v>
      </c>
      <c r="C945">
        <f>MOD(B945,8)</f>
        <v>1</v>
      </c>
    </row>
    <row r="946" spans="1:3" ht="16.5" x14ac:dyDescent="0.2">
      <c r="A946" s="4" t="s">
        <v>234</v>
      </c>
      <c r="B946">
        <v>946</v>
      </c>
      <c r="C946">
        <f>MOD(B946,8)</f>
        <v>2</v>
      </c>
    </row>
    <row r="947" spans="1:3" ht="16.5" x14ac:dyDescent="0.2">
      <c r="A947" s="4" t="s">
        <v>234</v>
      </c>
      <c r="B947">
        <v>947</v>
      </c>
      <c r="C947">
        <f>MOD(B947,8)</f>
        <v>3</v>
      </c>
    </row>
    <row r="948" spans="1:3" ht="16.5" x14ac:dyDescent="0.2">
      <c r="A948" s="4" t="s">
        <v>234</v>
      </c>
      <c r="B948" s="15">
        <v>948</v>
      </c>
      <c r="C948">
        <f>MOD(B948,8)</f>
        <v>4</v>
      </c>
    </row>
    <row r="949" spans="1:3" ht="16.5" x14ac:dyDescent="0.2">
      <c r="A949" s="4" t="s">
        <v>234</v>
      </c>
      <c r="B949">
        <v>949</v>
      </c>
      <c r="C949">
        <f>MOD(B949,8)</f>
        <v>5</v>
      </c>
    </row>
    <row r="950" spans="1:3" ht="16.5" x14ac:dyDescent="0.2">
      <c r="A950" s="4" t="s">
        <v>234</v>
      </c>
      <c r="B950" s="15">
        <v>950</v>
      </c>
      <c r="C950">
        <f>MOD(B950,8)</f>
        <v>6</v>
      </c>
    </row>
    <row r="951" spans="1:3" ht="16.5" x14ac:dyDescent="0.2">
      <c r="A951" s="4" t="s">
        <v>234</v>
      </c>
      <c r="B951">
        <v>951</v>
      </c>
      <c r="C951">
        <f>MOD(B951,8)</f>
        <v>7</v>
      </c>
    </row>
    <row r="952" spans="1:3" ht="16.5" x14ac:dyDescent="0.2">
      <c r="A952" s="4" t="s">
        <v>234</v>
      </c>
      <c r="B952">
        <v>952</v>
      </c>
      <c r="C952">
        <f>MOD(B952,8)</f>
        <v>0</v>
      </c>
    </row>
    <row r="953" spans="1:3" ht="16.5" x14ac:dyDescent="0.2">
      <c r="A953" s="4" t="s">
        <v>233</v>
      </c>
      <c r="B953" s="15">
        <v>953</v>
      </c>
      <c r="C953">
        <f>MOD(B953,8)</f>
        <v>1</v>
      </c>
    </row>
    <row r="954" spans="1:3" ht="16.5" x14ac:dyDescent="0.2">
      <c r="A954" s="4" t="s">
        <v>233</v>
      </c>
      <c r="B954">
        <v>954</v>
      </c>
      <c r="C954">
        <f>MOD(B954,8)</f>
        <v>2</v>
      </c>
    </row>
    <row r="955" spans="1:3" ht="16.5" x14ac:dyDescent="0.2">
      <c r="A955" s="4" t="s">
        <v>233</v>
      </c>
      <c r="B955" s="15">
        <v>955</v>
      </c>
      <c r="C955">
        <f>MOD(B955,8)</f>
        <v>3</v>
      </c>
    </row>
    <row r="956" spans="1:3" ht="16.5" x14ac:dyDescent="0.2">
      <c r="A956" s="4" t="s">
        <v>233</v>
      </c>
      <c r="B956">
        <v>956</v>
      </c>
      <c r="C956">
        <f>MOD(B956,8)</f>
        <v>4</v>
      </c>
    </row>
    <row r="957" spans="1:3" ht="16.5" x14ac:dyDescent="0.2">
      <c r="A957" s="4" t="s">
        <v>233</v>
      </c>
      <c r="B957">
        <v>957</v>
      </c>
      <c r="C957">
        <f>MOD(B957,8)</f>
        <v>5</v>
      </c>
    </row>
    <row r="958" spans="1:3" ht="16.5" x14ac:dyDescent="0.2">
      <c r="A958" s="4" t="s">
        <v>233</v>
      </c>
      <c r="B958" s="15">
        <v>958</v>
      </c>
      <c r="C958">
        <f>MOD(B958,8)</f>
        <v>6</v>
      </c>
    </row>
    <row r="959" spans="1:3" ht="16.5" x14ac:dyDescent="0.2">
      <c r="A959" s="4" t="s">
        <v>233</v>
      </c>
      <c r="B959">
        <v>959</v>
      </c>
      <c r="C959">
        <f>MOD(B959,8)</f>
        <v>7</v>
      </c>
    </row>
    <row r="960" spans="1:3" ht="16.5" x14ac:dyDescent="0.2">
      <c r="A960" s="4" t="s">
        <v>233</v>
      </c>
      <c r="B960" s="15">
        <v>960</v>
      </c>
      <c r="C960">
        <f>MOD(B960,8)</f>
        <v>0</v>
      </c>
    </row>
    <row r="961" spans="1:3" ht="16.5" x14ac:dyDescent="0.2">
      <c r="A961" s="4" t="s">
        <v>232</v>
      </c>
      <c r="B961">
        <v>961</v>
      </c>
      <c r="C961">
        <f>MOD(B961,8)</f>
        <v>1</v>
      </c>
    </row>
    <row r="962" spans="1:3" ht="16.5" x14ac:dyDescent="0.2">
      <c r="A962" s="4" t="s">
        <v>232</v>
      </c>
      <c r="B962">
        <v>962</v>
      </c>
      <c r="C962">
        <f>MOD(B962,8)</f>
        <v>2</v>
      </c>
    </row>
    <row r="963" spans="1:3" ht="16.5" x14ac:dyDescent="0.2">
      <c r="A963" s="4" t="s">
        <v>232</v>
      </c>
      <c r="B963" s="15">
        <v>963</v>
      </c>
      <c r="C963">
        <f>MOD(B963,8)</f>
        <v>3</v>
      </c>
    </row>
    <row r="964" spans="1:3" ht="16.5" x14ac:dyDescent="0.2">
      <c r="A964" s="4" t="s">
        <v>232</v>
      </c>
      <c r="B964">
        <v>964</v>
      </c>
      <c r="C964">
        <f>MOD(B964,8)</f>
        <v>4</v>
      </c>
    </row>
    <row r="965" spans="1:3" ht="16.5" x14ac:dyDescent="0.2">
      <c r="A965" s="4" t="s">
        <v>232</v>
      </c>
      <c r="B965" s="15">
        <v>965</v>
      </c>
      <c r="C965">
        <f>MOD(B965,8)</f>
        <v>5</v>
      </c>
    </row>
    <row r="966" spans="1:3" ht="16.5" x14ac:dyDescent="0.2">
      <c r="A966" s="4" t="s">
        <v>232</v>
      </c>
      <c r="B966">
        <v>966</v>
      </c>
      <c r="C966">
        <f>MOD(B966,8)</f>
        <v>6</v>
      </c>
    </row>
    <row r="967" spans="1:3" ht="16.5" x14ac:dyDescent="0.2">
      <c r="A967" s="4" t="s">
        <v>232</v>
      </c>
      <c r="B967">
        <v>967</v>
      </c>
      <c r="C967">
        <f>MOD(B967,8)</f>
        <v>7</v>
      </c>
    </row>
    <row r="968" spans="1:3" ht="16.5" x14ac:dyDescent="0.2">
      <c r="A968" s="4" t="s">
        <v>232</v>
      </c>
      <c r="B968" s="15">
        <v>968</v>
      </c>
      <c r="C968">
        <f>MOD(B968,8)</f>
        <v>0</v>
      </c>
    </row>
    <row r="969" spans="1:3" ht="16.5" x14ac:dyDescent="0.2">
      <c r="A969" s="4" t="s">
        <v>231</v>
      </c>
      <c r="B969">
        <v>969</v>
      </c>
      <c r="C969">
        <f>MOD(B969,8)</f>
        <v>1</v>
      </c>
    </row>
    <row r="970" spans="1:3" ht="16.5" x14ac:dyDescent="0.2">
      <c r="A970" s="4" t="s">
        <v>231</v>
      </c>
      <c r="B970" s="15">
        <v>970</v>
      </c>
      <c r="C970">
        <f>MOD(B970,8)</f>
        <v>2</v>
      </c>
    </row>
    <row r="971" spans="1:3" ht="16.5" x14ac:dyDescent="0.2">
      <c r="A971" s="4" t="s">
        <v>231</v>
      </c>
      <c r="B971">
        <v>971</v>
      </c>
      <c r="C971">
        <f>MOD(B971,8)</f>
        <v>3</v>
      </c>
    </row>
    <row r="972" spans="1:3" ht="16.5" x14ac:dyDescent="0.2">
      <c r="A972" s="4" t="s">
        <v>231</v>
      </c>
      <c r="B972">
        <v>972</v>
      </c>
      <c r="C972">
        <f>MOD(B972,8)</f>
        <v>4</v>
      </c>
    </row>
    <row r="973" spans="1:3" ht="16.5" x14ac:dyDescent="0.2">
      <c r="A973" s="4" t="s">
        <v>231</v>
      </c>
      <c r="B973" s="15">
        <v>973</v>
      </c>
      <c r="C973">
        <f>MOD(B973,8)</f>
        <v>5</v>
      </c>
    </row>
    <row r="974" spans="1:3" ht="16.5" x14ac:dyDescent="0.2">
      <c r="A974" s="4" t="s">
        <v>231</v>
      </c>
      <c r="B974">
        <v>974</v>
      </c>
      <c r="C974">
        <f>MOD(B974,8)</f>
        <v>6</v>
      </c>
    </row>
    <row r="975" spans="1:3" ht="16.5" x14ac:dyDescent="0.2">
      <c r="A975" s="4" t="s">
        <v>231</v>
      </c>
      <c r="B975" s="15">
        <v>975</v>
      </c>
      <c r="C975">
        <f>MOD(B975,8)</f>
        <v>7</v>
      </c>
    </row>
    <row r="976" spans="1:3" ht="16.5" x14ac:dyDescent="0.2">
      <c r="A976" s="4" t="s">
        <v>231</v>
      </c>
      <c r="B976">
        <v>976</v>
      </c>
      <c r="C976">
        <f>MOD(B976,8)</f>
        <v>0</v>
      </c>
    </row>
    <row r="977" spans="1:3" ht="16.5" x14ac:dyDescent="0.2">
      <c r="A977" s="4" t="s">
        <v>230</v>
      </c>
      <c r="B977">
        <v>977</v>
      </c>
      <c r="C977">
        <f>MOD(B977,8)</f>
        <v>1</v>
      </c>
    </row>
    <row r="978" spans="1:3" ht="16.5" x14ac:dyDescent="0.2">
      <c r="A978" s="4" t="s">
        <v>230</v>
      </c>
      <c r="B978" s="15">
        <v>978</v>
      </c>
      <c r="C978">
        <f>MOD(B978,8)</f>
        <v>2</v>
      </c>
    </row>
    <row r="979" spans="1:3" ht="16.5" x14ac:dyDescent="0.2">
      <c r="A979" s="4" t="s">
        <v>230</v>
      </c>
      <c r="B979">
        <v>979</v>
      </c>
      <c r="C979">
        <f>MOD(B979,8)</f>
        <v>3</v>
      </c>
    </row>
    <row r="980" spans="1:3" ht="16.5" x14ac:dyDescent="0.2">
      <c r="A980" s="4" t="s">
        <v>230</v>
      </c>
      <c r="B980" s="15">
        <v>980</v>
      </c>
      <c r="C980">
        <f>MOD(B980,8)</f>
        <v>4</v>
      </c>
    </row>
    <row r="981" spans="1:3" ht="16.5" x14ac:dyDescent="0.2">
      <c r="A981" s="4" t="s">
        <v>230</v>
      </c>
      <c r="B981">
        <v>981</v>
      </c>
      <c r="C981">
        <f>MOD(B981,8)</f>
        <v>5</v>
      </c>
    </row>
    <row r="982" spans="1:3" ht="16.5" x14ac:dyDescent="0.2">
      <c r="A982" s="4" t="s">
        <v>230</v>
      </c>
      <c r="B982">
        <v>982</v>
      </c>
      <c r="C982">
        <f>MOD(B982,8)</f>
        <v>6</v>
      </c>
    </row>
    <row r="983" spans="1:3" ht="16.5" x14ac:dyDescent="0.2">
      <c r="A983" s="4" t="s">
        <v>230</v>
      </c>
      <c r="B983" s="15">
        <v>983</v>
      </c>
      <c r="C983">
        <f>MOD(B983,8)</f>
        <v>7</v>
      </c>
    </row>
    <row r="984" spans="1:3" ht="16.5" x14ac:dyDescent="0.2">
      <c r="A984" s="4" t="s">
        <v>230</v>
      </c>
      <c r="B984">
        <v>984</v>
      </c>
      <c r="C984">
        <f>MOD(B984,8)</f>
        <v>0</v>
      </c>
    </row>
    <row r="985" spans="1:3" ht="16.5" x14ac:dyDescent="0.2">
      <c r="A985" s="4" t="s">
        <v>229</v>
      </c>
      <c r="B985" s="15">
        <v>985</v>
      </c>
      <c r="C985">
        <f>MOD(B985,8)</f>
        <v>1</v>
      </c>
    </row>
    <row r="986" spans="1:3" ht="16.5" x14ac:dyDescent="0.2">
      <c r="A986" s="4" t="s">
        <v>229</v>
      </c>
      <c r="B986">
        <v>986</v>
      </c>
      <c r="C986">
        <f>MOD(B986,8)</f>
        <v>2</v>
      </c>
    </row>
    <row r="987" spans="1:3" ht="16.5" x14ac:dyDescent="0.2">
      <c r="A987" s="4" t="s">
        <v>229</v>
      </c>
      <c r="B987">
        <v>987</v>
      </c>
      <c r="C987">
        <f>MOD(B987,8)</f>
        <v>3</v>
      </c>
    </row>
    <row r="988" spans="1:3" ht="16.5" x14ac:dyDescent="0.2">
      <c r="A988" s="4" t="s">
        <v>229</v>
      </c>
      <c r="B988" s="15">
        <v>988</v>
      </c>
      <c r="C988">
        <f>MOD(B988,8)</f>
        <v>4</v>
      </c>
    </row>
    <row r="989" spans="1:3" ht="16.5" x14ac:dyDescent="0.2">
      <c r="A989" s="4" t="s">
        <v>229</v>
      </c>
      <c r="B989">
        <v>989</v>
      </c>
      <c r="C989">
        <f>MOD(B989,8)</f>
        <v>5</v>
      </c>
    </row>
    <row r="990" spans="1:3" ht="16.5" x14ac:dyDescent="0.2">
      <c r="A990" s="4" t="s">
        <v>229</v>
      </c>
      <c r="B990" s="15">
        <v>990</v>
      </c>
      <c r="C990">
        <f>MOD(B990,8)</f>
        <v>6</v>
      </c>
    </row>
    <row r="991" spans="1:3" ht="16.5" x14ac:dyDescent="0.2">
      <c r="A991" s="4" t="s">
        <v>229</v>
      </c>
      <c r="B991">
        <v>991</v>
      </c>
      <c r="C991">
        <f>MOD(B991,8)</f>
        <v>7</v>
      </c>
    </row>
    <row r="992" spans="1:3" ht="16.5" x14ac:dyDescent="0.2">
      <c r="A992" s="4" t="s">
        <v>229</v>
      </c>
      <c r="B992">
        <v>992</v>
      </c>
      <c r="C992">
        <f>MOD(B992,8)</f>
        <v>0</v>
      </c>
    </row>
    <row r="993" spans="1:3" ht="16.5" x14ac:dyDescent="0.2">
      <c r="A993" s="4" t="s">
        <v>228</v>
      </c>
      <c r="B993" s="15">
        <v>993</v>
      </c>
      <c r="C993">
        <f>MOD(B993,8)</f>
        <v>1</v>
      </c>
    </row>
    <row r="994" spans="1:3" ht="16.5" x14ac:dyDescent="0.2">
      <c r="A994" s="4" t="s">
        <v>228</v>
      </c>
      <c r="B994">
        <v>994</v>
      </c>
      <c r="C994">
        <f>MOD(B994,8)</f>
        <v>2</v>
      </c>
    </row>
    <row r="995" spans="1:3" ht="16.5" x14ac:dyDescent="0.2">
      <c r="A995" s="4" t="s">
        <v>228</v>
      </c>
      <c r="B995" s="15">
        <v>995</v>
      </c>
      <c r="C995">
        <f>MOD(B995,8)</f>
        <v>3</v>
      </c>
    </row>
    <row r="996" spans="1:3" ht="16.5" x14ac:dyDescent="0.2">
      <c r="A996" s="4" t="s">
        <v>228</v>
      </c>
      <c r="B996">
        <v>996</v>
      </c>
      <c r="C996">
        <f>MOD(B996,8)</f>
        <v>4</v>
      </c>
    </row>
    <row r="997" spans="1:3" ht="16.5" x14ac:dyDescent="0.2">
      <c r="A997" s="4" t="s">
        <v>228</v>
      </c>
      <c r="B997">
        <v>997</v>
      </c>
      <c r="C997">
        <f>MOD(B997,8)</f>
        <v>5</v>
      </c>
    </row>
    <row r="998" spans="1:3" ht="16.5" x14ac:dyDescent="0.2">
      <c r="A998" s="4" t="s">
        <v>228</v>
      </c>
      <c r="B998" s="15">
        <v>998</v>
      </c>
      <c r="C998">
        <f>MOD(B998,8)</f>
        <v>6</v>
      </c>
    </row>
    <row r="999" spans="1:3" ht="16.5" x14ac:dyDescent="0.2">
      <c r="A999" s="4" t="s">
        <v>228</v>
      </c>
      <c r="B999">
        <v>999</v>
      </c>
      <c r="C999">
        <f>MOD(B999,8)</f>
        <v>7</v>
      </c>
    </row>
    <row r="1000" spans="1:3" ht="16.5" x14ac:dyDescent="0.2">
      <c r="A1000" s="4" t="s">
        <v>228</v>
      </c>
      <c r="B1000" s="15">
        <v>1000</v>
      </c>
      <c r="C1000">
        <f>MOD(B1000,8)</f>
        <v>0</v>
      </c>
    </row>
    <row r="1001" spans="1:3" ht="16.5" x14ac:dyDescent="0.2">
      <c r="A1001" s="4" t="s">
        <v>227</v>
      </c>
      <c r="B1001">
        <v>1001</v>
      </c>
      <c r="C1001">
        <f>MOD(B1001,8)</f>
        <v>1</v>
      </c>
    </row>
    <row r="1002" spans="1:3" ht="16.5" x14ac:dyDescent="0.2">
      <c r="A1002" s="4" t="s">
        <v>227</v>
      </c>
      <c r="B1002">
        <v>1002</v>
      </c>
      <c r="C1002">
        <f>MOD(B1002,8)</f>
        <v>2</v>
      </c>
    </row>
    <row r="1003" spans="1:3" ht="16.5" x14ac:dyDescent="0.2">
      <c r="A1003" s="4" t="s">
        <v>227</v>
      </c>
      <c r="B1003" s="15">
        <v>1003</v>
      </c>
      <c r="C1003">
        <f>MOD(B1003,8)</f>
        <v>3</v>
      </c>
    </row>
    <row r="1004" spans="1:3" ht="16.5" x14ac:dyDescent="0.2">
      <c r="A1004" s="4" t="s">
        <v>227</v>
      </c>
      <c r="B1004">
        <v>1004</v>
      </c>
      <c r="C1004">
        <f>MOD(B1004,8)</f>
        <v>4</v>
      </c>
    </row>
    <row r="1005" spans="1:3" ht="16.5" x14ac:dyDescent="0.2">
      <c r="A1005" s="4" t="s">
        <v>227</v>
      </c>
      <c r="B1005" s="15">
        <v>1005</v>
      </c>
      <c r="C1005">
        <f>MOD(B1005,8)</f>
        <v>5</v>
      </c>
    </row>
    <row r="1006" spans="1:3" ht="16.5" x14ac:dyDescent="0.2">
      <c r="A1006" s="4" t="s">
        <v>227</v>
      </c>
      <c r="B1006">
        <v>1006</v>
      </c>
      <c r="C1006">
        <f>MOD(B1006,8)</f>
        <v>6</v>
      </c>
    </row>
    <row r="1007" spans="1:3" ht="16.5" x14ac:dyDescent="0.2">
      <c r="A1007" s="4" t="s">
        <v>227</v>
      </c>
      <c r="B1007">
        <v>1007</v>
      </c>
      <c r="C1007">
        <f>MOD(B1007,8)</f>
        <v>7</v>
      </c>
    </row>
    <row r="1008" spans="1:3" ht="16.5" x14ac:dyDescent="0.2">
      <c r="A1008" s="4" t="s">
        <v>227</v>
      </c>
      <c r="B1008" s="15">
        <v>1008</v>
      </c>
      <c r="C1008">
        <f>MOD(B1008,8)</f>
        <v>0</v>
      </c>
    </row>
    <row r="1009" spans="1:3" ht="16.5" x14ac:dyDescent="0.2">
      <c r="A1009" s="4" t="s">
        <v>226</v>
      </c>
      <c r="B1009">
        <v>1009</v>
      </c>
      <c r="C1009">
        <f>MOD(B1009,8)</f>
        <v>1</v>
      </c>
    </row>
    <row r="1010" spans="1:3" ht="16.5" x14ac:dyDescent="0.2">
      <c r="A1010" s="4" t="s">
        <v>226</v>
      </c>
      <c r="B1010" s="15">
        <v>1010</v>
      </c>
      <c r="C1010">
        <f>MOD(B1010,8)</f>
        <v>2</v>
      </c>
    </row>
    <row r="1011" spans="1:3" ht="16.5" x14ac:dyDescent="0.2">
      <c r="A1011" s="4" t="s">
        <v>226</v>
      </c>
      <c r="B1011">
        <v>1011</v>
      </c>
      <c r="C1011">
        <f>MOD(B1011,8)</f>
        <v>3</v>
      </c>
    </row>
    <row r="1012" spans="1:3" ht="16.5" x14ac:dyDescent="0.2">
      <c r="A1012" s="4" t="s">
        <v>226</v>
      </c>
      <c r="B1012">
        <v>1012</v>
      </c>
      <c r="C1012">
        <f>MOD(B1012,8)</f>
        <v>4</v>
      </c>
    </row>
    <row r="1013" spans="1:3" ht="16.5" x14ac:dyDescent="0.2">
      <c r="A1013" s="4" t="s">
        <v>226</v>
      </c>
      <c r="B1013" s="15">
        <v>1013</v>
      </c>
      <c r="C1013">
        <f>MOD(B1013,8)</f>
        <v>5</v>
      </c>
    </row>
    <row r="1014" spans="1:3" ht="16.5" x14ac:dyDescent="0.2">
      <c r="A1014" s="4" t="s">
        <v>226</v>
      </c>
      <c r="B1014">
        <v>1014</v>
      </c>
      <c r="C1014">
        <f>MOD(B1014,8)</f>
        <v>6</v>
      </c>
    </row>
    <row r="1015" spans="1:3" ht="16.5" x14ac:dyDescent="0.2">
      <c r="A1015" s="4" t="s">
        <v>226</v>
      </c>
      <c r="B1015" s="15">
        <v>1015</v>
      </c>
      <c r="C1015">
        <f>MOD(B1015,8)</f>
        <v>7</v>
      </c>
    </row>
    <row r="1016" spans="1:3" ht="16.5" x14ac:dyDescent="0.2">
      <c r="A1016" s="4" t="s">
        <v>226</v>
      </c>
      <c r="B1016">
        <v>1016</v>
      </c>
      <c r="C1016">
        <f>MOD(B1016,8)</f>
        <v>0</v>
      </c>
    </row>
    <row r="1017" spans="1:3" ht="16.5" x14ac:dyDescent="0.2">
      <c r="A1017" s="4" t="s">
        <v>225</v>
      </c>
      <c r="B1017">
        <v>1017</v>
      </c>
      <c r="C1017">
        <f>MOD(B1017,8)</f>
        <v>1</v>
      </c>
    </row>
    <row r="1018" spans="1:3" ht="16.5" x14ac:dyDescent="0.2">
      <c r="A1018" s="4" t="s">
        <v>225</v>
      </c>
      <c r="B1018" s="15">
        <v>1018</v>
      </c>
      <c r="C1018">
        <f>MOD(B1018,8)</f>
        <v>2</v>
      </c>
    </row>
    <row r="1019" spans="1:3" ht="16.5" x14ac:dyDescent="0.2">
      <c r="A1019" s="4" t="s">
        <v>225</v>
      </c>
      <c r="B1019">
        <v>1019</v>
      </c>
      <c r="C1019">
        <f>MOD(B1019,8)</f>
        <v>3</v>
      </c>
    </row>
    <row r="1020" spans="1:3" ht="16.5" x14ac:dyDescent="0.2">
      <c r="A1020" s="4" t="s">
        <v>225</v>
      </c>
      <c r="B1020" s="15">
        <v>1020</v>
      </c>
      <c r="C1020">
        <f>MOD(B1020,8)</f>
        <v>4</v>
      </c>
    </row>
    <row r="1021" spans="1:3" ht="16.5" x14ac:dyDescent="0.2">
      <c r="A1021" s="4" t="s">
        <v>225</v>
      </c>
      <c r="B1021">
        <v>1021</v>
      </c>
      <c r="C1021">
        <f>MOD(B1021,8)</f>
        <v>5</v>
      </c>
    </row>
    <row r="1022" spans="1:3" ht="16.5" x14ac:dyDescent="0.2">
      <c r="A1022" s="4" t="s">
        <v>225</v>
      </c>
      <c r="B1022">
        <v>1022</v>
      </c>
      <c r="C1022">
        <f>MOD(B1022,8)</f>
        <v>6</v>
      </c>
    </row>
    <row r="1023" spans="1:3" ht="16.5" x14ac:dyDescent="0.2">
      <c r="A1023" s="4" t="s">
        <v>225</v>
      </c>
      <c r="B1023" s="15">
        <v>1023</v>
      </c>
      <c r="C1023">
        <f>MOD(B1023,8)</f>
        <v>7</v>
      </c>
    </row>
    <row r="1024" spans="1:3" ht="16.5" x14ac:dyDescent="0.2">
      <c r="A1024" s="4" t="s">
        <v>225</v>
      </c>
      <c r="B1024">
        <v>1024</v>
      </c>
      <c r="C1024">
        <f>MOD(B1024,8)</f>
        <v>0</v>
      </c>
    </row>
    <row r="1025" spans="1:3" ht="16.5" x14ac:dyDescent="0.2">
      <c r="A1025" s="4" t="s">
        <v>224</v>
      </c>
      <c r="B1025" s="15">
        <v>1025</v>
      </c>
      <c r="C1025">
        <f>MOD(B1025,8)</f>
        <v>1</v>
      </c>
    </row>
    <row r="1026" spans="1:3" ht="16.5" x14ac:dyDescent="0.2">
      <c r="A1026" s="4" t="s">
        <v>224</v>
      </c>
      <c r="B1026">
        <v>1026</v>
      </c>
      <c r="C1026">
        <f>MOD(B1026,8)</f>
        <v>2</v>
      </c>
    </row>
    <row r="1027" spans="1:3" ht="16.5" x14ac:dyDescent="0.2">
      <c r="A1027" s="4" t="s">
        <v>224</v>
      </c>
      <c r="B1027">
        <v>1027</v>
      </c>
      <c r="C1027">
        <f>MOD(B1027,8)</f>
        <v>3</v>
      </c>
    </row>
    <row r="1028" spans="1:3" ht="16.5" x14ac:dyDescent="0.2">
      <c r="A1028" s="4" t="s">
        <v>224</v>
      </c>
      <c r="B1028" s="15">
        <v>1028</v>
      </c>
      <c r="C1028">
        <f>MOD(B1028,8)</f>
        <v>4</v>
      </c>
    </row>
    <row r="1029" spans="1:3" ht="16.5" x14ac:dyDescent="0.2">
      <c r="A1029" s="4" t="s">
        <v>224</v>
      </c>
      <c r="B1029">
        <v>1029</v>
      </c>
      <c r="C1029">
        <f>MOD(B1029,8)</f>
        <v>5</v>
      </c>
    </row>
    <row r="1030" spans="1:3" ht="16.5" x14ac:dyDescent="0.2">
      <c r="A1030" s="4" t="s">
        <v>224</v>
      </c>
      <c r="B1030" s="15">
        <v>1030</v>
      </c>
      <c r="C1030">
        <f>MOD(B1030,8)</f>
        <v>6</v>
      </c>
    </row>
    <row r="1031" spans="1:3" ht="16.5" x14ac:dyDescent="0.2">
      <c r="A1031" s="4" t="s">
        <v>224</v>
      </c>
      <c r="B1031">
        <v>1031</v>
      </c>
      <c r="C1031">
        <f>MOD(B1031,8)</f>
        <v>7</v>
      </c>
    </row>
    <row r="1032" spans="1:3" ht="16.5" x14ac:dyDescent="0.2">
      <c r="A1032" s="4" t="s">
        <v>224</v>
      </c>
      <c r="B1032">
        <v>1032</v>
      </c>
      <c r="C1032">
        <f>MOD(B1032,8)</f>
        <v>0</v>
      </c>
    </row>
    <row r="1033" spans="1:3" ht="16.5" x14ac:dyDescent="0.2">
      <c r="A1033" s="4" t="s">
        <v>223</v>
      </c>
      <c r="B1033" s="15">
        <v>1033</v>
      </c>
      <c r="C1033">
        <f>MOD(B1033,8)</f>
        <v>1</v>
      </c>
    </row>
    <row r="1034" spans="1:3" ht="16.5" x14ac:dyDescent="0.2">
      <c r="A1034" s="4" t="s">
        <v>223</v>
      </c>
      <c r="B1034">
        <v>1034</v>
      </c>
      <c r="C1034">
        <f>MOD(B1034,8)</f>
        <v>2</v>
      </c>
    </row>
    <row r="1035" spans="1:3" ht="16.5" x14ac:dyDescent="0.2">
      <c r="A1035" s="4" t="s">
        <v>223</v>
      </c>
      <c r="B1035" s="15">
        <v>1035</v>
      </c>
      <c r="C1035">
        <f>MOD(B1035,8)</f>
        <v>3</v>
      </c>
    </row>
    <row r="1036" spans="1:3" ht="16.5" x14ac:dyDescent="0.2">
      <c r="A1036" s="4" t="s">
        <v>223</v>
      </c>
      <c r="B1036">
        <v>1036</v>
      </c>
      <c r="C1036">
        <f>MOD(B1036,8)</f>
        <v>4</v>
      </c>
    </row>
    <row r="1037" spans="1:3" ht="16.5" x14ac:dyDescent="0.2">
      <c r="A1037" s="4" t="s">
        <v>223</v>
      </c>
      <c r="B1037">
        <v>1037</v>
      </c>
      <c r="C1037">
        <f>MOD(B1037,8)</f>
        <v>5</v>
      </c>
    </row>
    <row r="1038" spans="1:3" ht="16.5" x14ac:dyDescent="0.2">
      <c r="A1038" s="4" t="s">
        <v>223</v>
      </c>
      <c r="B1038" s="15">
        <v>1038</v>
      </c>
      <c r="C1038">
        <f>MOD(B1038,8)</f>
        <v>6</v>
      </c>
    </row>
    <row r="1039" spans="1:3" ht="16.5" x14ac:dyDescent="0.2">
      <c r="A1039" s="4" t="s">
        <v>223</v>
      </c>
      <c r="B1039">
        <v>1039</v>
      </c>
      <c r="C1039">
        <f>MOD(B1039,8)</f>
        <v>7</v>
      </c>
    </row>
    <row r="1040" spans="1:3" ht="16.5" x14ac:dyDescent="0.2">
      <c r="A1040" s="4" t="s">
        <v>223</v>
      </c>
      <c r="B1040" s="15">
        <v>1040</v>
      </c>
      <c r="C1040">
        <f>MOD(B1040,8)</f>
        <v>0</v>
      </c>
    </row>
    <row r="1041" spans="1:3" ht="16.5" x14ac:dyDescent="0.2">
      <c r="A1041" s="4" t="s">
        <v>222</v>
      </c>
      <c r="B1041">
        <v>1041</v>
      </c>
      <c r="C1041">
        <f>MOD(B1041,8)</f>
        <v>1</v>
      </c>
    </row>
    <row r="1042" spans="1:3" ht="16.5" x14ac:dyDescent="0.2">
      <c r="A1042" s="4" t="s">
        <v>222</v>
      </c>
      <c r="B1042">
        <v>1042</v>
      </c>
      <c r="C1042">
        <f>MOD(B1042,8)</f>
        <v>2</v>
      </c>
    </row>
    <row r="1043" spans="1:3" ht="16.5" x14ac:dyDescent="0.2">
      <c r="A1043" s="4" t="s">
        <v>222</v>
      </c>
      <c r="B1043" s="15">
        <v>1043</v>
      </c>
      <c r="C1043">
        <f>MOD(B1043,8)</f>
        <v>3</v>
      </c>
    </row>
    <row r="1044" spans="1:3" ht="16.5" x14ac:dyDescent="0.2">
      <c r="A1044" s="4" t="s">
        <v>222</v>
      </c>
      <c r="B1044">
        <v>1044</v>
      </c>
      <c r="C1044">
        <f>MOD(B1044,8)</f>
        <v>4</v>
      </c>
    </row>
    <row r="1045" spans="1:3" ht="16.5" x14ac:dyDescent="0.2">
      <c r="A1045" s="4" t="s">
        <v>222</v>
      </c>
      <c r="B1045" s="15">
        <v>1045</v>
      </c>
      <c r="C1045">
        <f>MOD(B1045,8)</f>
        <v>5</v>
      </c>
    </row>
    <row r="1046" spans="1:3" ht="16.5" x14ac:dyDescent="0.2">
      <c r="A1046" s="4" t="s">
        <v>222</v>
      </c>
      <c r="B1046">
        <v>1046</v>
      </c>
      <c r="C1046">
        <f>MOD(B1046,8)</f>
        <v>6</v>
      </c>
    </row>
    <row r="1047" spans="1:3" ht="16.5" x14ac:dyDescent="0.2">
      <c r="A1047" s="4" t="s">
        <v>222</v>
      </c>
      <c r="B1047">
        <v>1047</v>
      </c>
      <c r="C1047">
        <f>MOD(B1047,8)</f>
        <v>7</v>
      </c>
    </row>
    <row r="1048" spans="1:3" ht="16.5" x14ac:dyDescent="0.2">
      <c r="A1048" s="4" t="s">
        <v>222</v>
      </c>
      <c r="B1048" s="15">
        <v>1048</v>
      </c>
      <c r="C1048">
        <f>MOD(B1048,8)</f>
        <v>0</v>
      </c>
    </row>
    <row r="1049" spans="1:3" ht="16.5" x14ac:dyDescent="0.2">
      <c r="A1049" s="4" t="s">
        <v>221</v>
      </c>
      <c r="B1049">
        <v>1049</v>
      </c>
      <c r="C1049">
        <f>MOD(B1049,8)</f>
        <v>1</v>
      </c>
    </row>
    <row r="1050" spans="1:3" ht="16.5" x14ac:dyDescent="0.2">
      <c r="A1050" s="4" t="s">
        <v>221</v>
      </c>
      <c r="B1050" s="15">
        <v>1050</v>
      </c>
      <c r="C1050">
        <f>MOD(B1050,8)</f>
        <v>2</v>
      </c>
    </row>
    <row r="1051" spans="1:3" ht="16.5" x14ac:dyDescent="0.2">
      <c r="A1051" s="4" t="s">
        <v>221</v>
      </c>
      <c r="B1051">
        <v>1051</v>
      </c>
      <c r="C1051">
        <f>MOD(B1051,8)</f>
        <v>3</v>
      </c>
    </row>
    <row r="1052" spans="1:3" ht="16.5" x14ac:dyDescent="0.2">
      <c r="A1052" s="4" t="s">
        <v>221</v>
      </c>
      <c r="B1052">
        <v>1052</v>
      </c>
      <c r="C1052">
        <f>MOD(B1052,8)</f>
        <v>4</v>
      </c>
    </row>
    <row r="1053" spans="1:3" ht="16.5" x14ac:dyDescent="0.2">
      <c r="A1053" s="4" t="s">
        <v>221</v>
      </c>
      <c r="B1053" s="15">
        <v>1053</v>
      </c>
      <c r="C1053">
        <f>MOD(B1053,8)</f>
        <v>5</v>
      </c>
    </row>
    <row r="1054" spans="1:3" ht="16.5" x14ac:dyDescent="0.2">
      <c r="A1054" s="4" t="s">
        <v>221</v>
      </c>
      <c r="B1054">
        <v>1054</v>
      </c>
      <c r="C1054">
        <f>MOD(B1054,8)</f>
        <v>6</v>
      </c>
    </row>
    <row r="1055" spans="1:3" ht="16.5" x14ac:dyDescent="0.2">
      <c r="A1055" s="4" t="s">
        <v>221</v>
      </c>
      <c r="B1055" s="15">
        <v>1055</v>
      </c>
      <c r="C1055">
        <f>MOD(B1055,8)</f>
        <v>7</v>
      </c>
    </row>
    <row r="1056" spans="1:3" ht="16.5" x14ac:dyDescent="0.2">
      <c r="A1056" s="4" t="s">
        <v>221</v>
      </c>
      <c r="B1056">
        <v>1056</v>
      </c>
      <c r="C1056">
        <f>MOD(B1056,8)</f>
        <v>0</v>
      </c>
    </row>
    <row r="1057" spans="1:3" ht="16.5" x14ac:dyDescent="0.2">
      <c r="A1057" s="4" t="s">
        <v>220</v>
      </c>
      <c r="B1057">
        <v>1057</v>
      </c>
      <c r="C1057">
        <f>MOD(B1057,8)</f>
        <v>1</v>
      </c>
    </row>
    <row r="1058" spans="1:3" ht="16.5" x14ac:dyDescent="0.2">
      <c r="A1058" s="4" t="s">
        <v>220</v>
      </c>
      <c r="B1058" s="15">
        <v>1058</v>
      </c>
      <c r="C1058">
        <f>MOD(B1058,8)</f>
        <v>2</v>
      </c>
    </row>
    <row r="1059" spans="1:3" ht="16.5" x14ac:dyDescent="0.2">
      <c r="A1059" s="4" t="s">
        <v>220</v>
      </c>
      <c r="B1059">
        <v>1059</v>
      </c>
      <c r="C1059">
        <f>MOD(B1059,8)</f>
        <v>3</v>
      </c>
    </row>
    <row r="1060" spans="1:3" ht="16.5" x14ac:dyDescent="0.2">
      <c r="A1060" s="4" t="s">
        <v>220</v>
      </c>
      <c r="B1060" s="15">
        <v>1060</v>
      </c>
      <c r="C1060">
        <f>MOD(B1060,8)</f>
        <v>4</v>
      </c>
    </row>
    <row r="1061" spans="1:3" ht="16.5" x14ac:dyDescent="0.2">
      <c r="A1061" s="4" t="s">
        <v>220</v>
      </c>
      <c r="B1061">
        <v>1061</v>
      </c>
      <c r="C1061">
        <f>MOD(B1061,8)</f>
        <v>5</v>
      </c>
    </row>
    <row r="1062" spans="1:3" ht="16.5" x14ac:dyDescent="0.2">
      <c r="A1062" s="4" t="s">
        <v>220</v>
      </c>
      <c r="B1062">
        <v>1062</v>
      </c>
      <c r="C1062">
        <f>MOD(B1062,8)</f>
        <v>6</v>
      </c>
    </row>
    <row r="1063" spans="1:3" ht="16.5" x14ac:dyDescent="0.2">
      <c r="A1063" s="4" t="s">
        <v>220</v>
      </c>
      <c r="B1063" s="15">
        <v>1063</v>
      </c>
      <c r="C1063">
        <f>MOD(B1063,8)</f>
        <v>7</v>
      </c>
    </row>
    <row r="1064" spans="1:3" ht="16.5" x14ac:dyDescent="0.2">
      <c r="A1064" s="4" t="s">
        <v>220</v>
      </c>
      <c r="B1064">
        <v>1064</v>
      </c>
      <c r="C1064">
        <f>MOD(B1064,8)</f>
        <v>0</v>
      </c>
    </row>
    <row r="1065" spans="1:3" ht="16.5" x14ac:dyDescent="0.2">
      <c r="A1065" s="4" t="s">
        <v>219</v>
      </c>
      <c r="B1065" s="15">
        <v>1065</v>
      </c>
      <c r="C1065">
        <f>MOD(B1065,8)</f>
        <v>1</v>
      </c>
    </row>
    <row r="1066" spans="1:3" ht="16.5" x14ac:dyDescent="0.2">
      <c r="A1066" s="4" t="s">
        <v>219</v>
      </c>
      <c r="B1066">
        <v>1066</v>
      </c>
      <c r="C1066">
        <f>MOD(B1066,8)</f>
        <v>2</v>
      </c>
    </row>
    <row r="1067" spans="1:3" ht="16.5" x14ac:dyDescent="0.2">
      <c r="A1067" s="4" t="s">
        <v>219</v>
      </c>
      <c r="B1067">
        <v>1067</v>
      </c>
      <c r="C1067">
        <f>MOD(B1067,8)</f>
        <v>3</v>
      </c>
    </row>
    <row r="1068" spans="1:3" ht="16.5" x14ac:dyDescent="0.2">
      <c r="A1068" s="4" t="s">
        <v>219</v>
      </c>
      <c r="B1068" s="15">
        <v>1068</v>
      </c>
      <c r="C1068">
        <f>MOD(B1068,8)</f>
        <v>4</v>
      </c>
    </row>
    <row r="1069" spans="1:3" ht="16.5" x14ac:dyDescent="0.2">
      <c r="A1069" s="4" t="s">
        <v>219</v>
      </c>
      <c r="B1069">
        <v>1069</v>
      </c>
      <c r="C1069">
        <f>MOD(B1069,8)</f>
        <v>5</v>
      </c>
    </row>
    <row r="1070" spans="1:3" ht="16.5" x14ac:dyDescent="0.2">
      <c r="A1070" s="4" t="s">
        <v>219</v>
      </c>
      <c r="B1070" s="15">
        <v>1070</v>
      </c>
      <c r="C1070">
        <f>MOD(B1070,8)</f>
        <v>6</v>
      </c>
    </row>
    <row r="1071" spans="1:3" ht="16.5" x14ac:dyDescent="0.2">
      <c r="A1071" s="4" t="s">
        <v>219</v>
      </c>
      <c r="B1071">
        <v>1071</v>
      </c>
      <c r="C1071">
        <f>MOD(B1071,8)</f>
        <v>7</v>
      </c>
    </row>
    <row r="1072" spans="1:3" ht="16.5" x14ac:dyDescent="0.2">
      <c r="A1072" s="4" t="s">
        <v>219</v>
      </c>
      <c r="B1072">
        <v>1072</v>
      </c>
      <c r="C1072">
        <f>MOD(B1072,8)</f>
        <v>0</v>
      </c>
    </row>
    <row r="1073" spans="1:3" ht="16.5" x14ac:dyDescent="0.2">
      <c r="A1073" s="4" t="s">
        <v>218</v>
      </c>
      <c r="B1073" s="15">
        <v>1073</v>
      </c>
      <c r="C1073">
        <f>MOD(B1073,8)</f>
        <v>1</v>
      </c>
    </row>
    <row r="1074" spans="1:3" ht="16.5" x14ac:dyDescent="0.2">
      <c r="A1074" s="4" t="s">
        <v>218</v>
      </c>
      <c r="B1074">
        <v>1074</v>
      </c>
      <c r="C1074">
        <f>MOD(B1074,8)</f>
        <v>2</v>
      </c>
    </row>
    <row r="1075" spans="1:3" ht="16.5" x14ac:dyDescent="0.2">
      <c r="A1075" s="4" t="s">
        <v>218</v>
      </c>
      <c r="B1075" s="15">
        <v>1075</v>
      </c>
      <c r="C1075">
        <f>MOD(B1075,8)</f>
        <v>3</v>
      </c>
    </row>
    <row r="1076" spans="1:3" ht="16.5" x14ac:dyDescent="0.2">
      <c r="A1076" s="4" t="s">
        <v>218</v>
      </c>
      <c r="B1076">
        <v>1076</v>
      </c>
      <c r="C1076">
        <f>MOD(B1076,8)</f>
        <v>4</v>
      </c>
    </row>
    <row r="1077" spans="1:3" ht="16.5" x14ac:dyDescent="0.2">
      <c r="A1077" s="4" t="s">
        <v>218</v>
      </c>
      <c r="B1077">
        <v>1077</v>
      </c>
      <c r="C1077">
        <f>MOD(B1077,8)</f>
        <v>5</v>
      </c>
    </row>
    <row r="1078" spans="1:3" ht="16.5" x14ac:dyDescent="0.2">
      <c r="A1078" s="4" t="s">
        <v>218</v>
      </c>
      <c r="B1078" s="15">
        <v>1078</v>
      </c>
      <c r="C1078">
        <f>MOD(B1078,8)</f>
        <v>6</v>
      </c>
    </row>
    <row r="1079" spans="1:3" ht="16.5" x14ac:dyDescent="0.2">
      <c r="A1079" s="4" t="s">
        <v>218</v>
      </c>
      <c r="B1079">
        <v>1079</v>
      </c>
      <c r="C1079">
        <f>MOD(B1079,8)</f>
        <v>7</v>
      </c>
    </row>
    <row r="1080" spans="1:3" ht="16.5" x14ac:dyDescent="0.2">
      <c r="A1080" s="4" t="s">
        <v>218</v>
      </c>
      <c r="B1080" s="15">
        <v>1080</v>
      </c>
      <c r="C1080">
        <f>MOD(B1080,8)</f>
        <v>0</v>
      </c>
    </row>
    <row r="1081" spans="1:3" ht="16.5" x14ac:dyDescent="0.2">
      <c r="A1081" s="4" t="s">
        <v>217</v>
      </c>
      <c r="B1081">
        <v>1081</v>
      </c>
      <c r="C1081">
        <f>MOD(B1081,8)</f>
        <v>1</v>
      </c>
    </row>
    <row r="1082" spans="1:3" ht="16.5" x14ac:dyDescent="0.2">
      <c r="A1082" s="4" t="s">
        <v>217</v>
      </c>
      <c r="B1082">
        <v>1082</v>
      </c>
      <c r="C1082">
        <f>MOD(B1082,8)</f>
        <v>2</v>
      </c>
    </row>
    <row r="1083" spans="1:3" ht="16.5" x14ac:dyDescent="0.2">
      <c r="A1083" s="4" t="s">
        <v>217</v>
      </c>
      <c r="B1083" s="15">
        <v>1083</v>
      </c>
      <c r="C1083">
        <f>MOD(B1083,8)</f>
        <v>3</v>
      </c>
    </row>
    <row r="1084" spans="1:3" ht="16.5" x14ac:dyDescent="0.2">
      <c r="A1084" s="4" t="s">
        <v>217</v>
      </c>
      <c r="B1084">
        <v>1084</v>
      </c>
      <c r="C1084">
        <f>MOD(B1084,8)</f>
        <v>4</v>
      </c>
    </row>
    <row r="1085" spans="1:3" ht="16.5" x14ac:dyDescent="0.2">
      <c r="A1085" s="4" t="s">
        <v>217</v>
      </c>
      <c r="B1085" s="15">
        <v>1085</v>
      </c>
      <c r="C1085">
        <f>MOD(B1085,8)</f>
        <v>5</v>
      </c>
    </row>
    <row r="1086" spans="1:3" ht="16.5" x14ac:dyDescent="0.2">
      <c r="A1086" s="4" t="s">
        <v>217</v>
      </c>
      <c r="B1086">
        <v>1086</v>
      </c>
      <c r="C1086">
        <f>MOD(B1086,8)</f>
        <v>6</v>
      </c>
    </row>
    <row r="1087" spans="1:3" ht="16.5" x14ac:dyDescent="0.2">
      <c r="A1087" s="4" t="s">
        <v>217</v>
      </c>
      <c r="B1087">
        <v>1087</v>
      </c>
      <c r="C1087">
        <f>MOD(B1087,8)</f>
        <v>7</v>
      </c>
    </row>
    <row r="1088" spans="1:3" ht="16.5" x14ac:dyDescent="0.2">
      <c r="A1088" s="4" t="s">
        <v>217</v>
      </c>
      <c r="B1088" s="15">
        <v>1088</v>
      </c>
      <c r="C1088">
        <f>MOD(B1088,8)</f>
        <v>0</v>
      </c>
    </row>
    <row r="1089" spans="1:3" ht="16.5" x14ac:dyDescent="0.2">
      <c r="A1089" s="4" t="s">
        <v>216</v>
      </c>
      <c r="B1089">
        <v>1089</v>
      </c>
      <c r="C1089">
        <f>MOD(B1089,8)</f>
        <v>1</v>
      </c>
    </row>
    <row r="1090" spans="1:3" ht="16.5" x14ac:dyDescent="0.2">
      <c r="A1090" s="4" t="s">
        <v>216</v>
      </c>
      <c r="B1090" s="15">
        <v>1090</v>
      </c>
      <c r="C1090">
        <f>MOD(B1090,8)</f>
        <v>2</v>
      </c>
    </row>
    <row r="1091" spans="1:3" ht="16.5" x14ac:dyDescent="0.2">
      <c r="A1091" s="4" t="s">
        <v>216</v>
      </c>
      <c r="B1091">
        <v>1091</v>
      </c>
      <c r="C1091">
        <f>MOD(B1091,8)</f>
        <v>3</v>
      </c>
    </row>
    <row r="1092" spans="1:3" ht="16.5" x14ac:dyDescent="0.2">
      <c r="A1092" s="4" t="s">
        <v>216</v>
      </c>
      <c r="B1092">
        <v>1092</v>
      </c>
      <c r="C1092">
        <f>MOD(B1092,8)</f>
        <v>4</v>
      </c>
    </row>
    <row r="1093" spans="1:3" ht="16.5" x14ac:dyDescent="0.2">
      <c r="A1093" s="4" t="s">
        <v>216</v>
      </c>
      <c r="B1093" s="15">
        <v>1093</v>
      </c>
      <c r="C1093">
        <f>MOD(B1093,8)</f>
        <v>5</v>
      </c>
    </row>
    <row r="1094" spans="1:3" ht="16.5" x14ac:dyDescent="0.2">
      <c r="A1094" s="4" t="s">
        <v>216</v>
      </c>
      <c r="B1094">
        <v>1094</v>
      </c>
      <c r="C1094">
        <f>MOD(B1094,8)</f>
        <v>6</v>
      </c>
    </row>
    <row r="1095" spans="1:3" ht="16.5" x14ac:dyDescent="0.2">
      <c r="A1095" s="4" t="s">
        <v>216</v>
      </c>
      <c r="B1095" s="15">
        <v>1095</v>
      </c>
      <c r="C1095">
        <f>MOD(B1095,8)</f>
        <v>7</v>
      </c>
    </row>
    <row r="1096" spans="1:3" ht="16.5" x14ac:dyDescent="0.2">
      <c r="A1096" s="4" t="s">
        <v>216</v>
      </c>
      <c r="B1096">
        <v>1096</v>
      </c>
      <c r="C1096">
        <f>MOD(B1096,8)</f>
        <v>0</v>
      </c>
    </row>
    <row r="1097" spans="1:3" ht="16.5" x14ac:dyDescent="0.2">
      <c r="A1097" s="4" t="s">
        <v>215</v>
      </c>
      <c r="B1097">
        <v>1097</v>
      </c>
      <c r="C1097">
        <f>MOD(B1097,8)</f>
        <v>1</v>
      </c>
    </row>
    <row r="1098" spans="1:3" ht="16.5" x14ac:dyDescent="0.2">
      <c r="A1098" s="4" t="s">
        <v>215</v>
      </c>
      <c r="B1098" s="15">
        <v>1098</v>
      </c>
      <c r="C1098">
        <f>MOD(B1098,8)</f>
        <v>2</v>
      </c>
    </row>
    <row r="1099" spans="1:3" ht="16.5" x14ac:dyDescent="0.2">
      <c r="A1099" s="4" t="s">
        <v>215</v>
      </c>
      <c r="B1099">
        <v>1099</v>
      </c>
      <c r="C1099">
        <f>MOD(B1099,8)</f>
        <v>3</v>
      </c>
    </row>
    <row r="1100" spans="1:3" ht="16.5" x14ac:dyDescent="0.2">
      <c r="A1100" s="4" t="s">
        <v>215</v>
      </c>
      <c r="B1100" s="15">
        <v>1100</v>
      </c>
      <c r="C1100">
        <f>MOD(B1100,8)</f>
        <v>4</v>
      </c>
    </row>
    <row r="1101" spans="1:3" ht="16.5" x14ac:dyDescent="0.2">
      <c r="A1101" s="4" t="s">
        <v>215</v>
      </c>
      <c r="B1101">
        <v>1101</v>
      </c>
      <c r="C1101">
        <f>MOD(B1101,8)</f>
        <v>5</v>
      </c>
    </row>
    <row r="1102" spans="1:3" ht="16.5" x14ac:dyDescent="0.2">
      <c r="A1102" s="4" t="s">
        <v>215</v>
      </c>
      <c r="B1102">
        <v>1102</v>
      </c>
      <c r="C1102">
        <f>MOD(B1102,8)</f>
        <v>6</v>
      </c>
    </row>
    <row r="1103" spans="1:3" ht="16.5" x14ac:dyDescent="0.2">
      <c r="A1103" s="4" t="s">
        <v>215</v>
      </c>
      <c r="B1103" s="15">
        <v>1103</v>
      </c>
      <c r="C1103">
        <f>MOD(B1103,8)</f>
        <v>7</v>
      </c>
    </row>
    <row r="1104" spans="1:3" ht="16.5" x14ac:dyDescent="0.2">
      <c r="A1104" s="4" t="s">
        <v>215</v>
      </c>
      <c r="B1104">
        <v>1104</v>
      </c>
      <c r="C1104">
        <f>MOD(B1104,8)</f>
        <v>0</v>
      </c>
    </row>
    <row r="1105" spans="1:3" ht="16.5" x14ac:dyDescent="0.2">
      <c r="A1105" s="4" t="s">
        <v>214</v>
      </c>
      <c r="B1105" s="15">
        <v>1105</v>
      </c>
      <c r="C1105">
        <f>MOD(B1105,8)</f>
        <v>1</v>
      </c>
    </row>
    <row r="1106" spans="1:3" ht="16.5" x14ac:dyDescent="0.2">
      <c r="A1106" s="4" t="s">
        <v>214</v>
      </c>
      <c r="B1106">
        <v>1106</v>
      </c>
      <c r="C1106">
        <f>MOD(B1106,8)</f>
        <v>2</v>
      </c>
    </row>
    <row r="1107" spans="1:3" ht="16.5" x14ac:dyDescent="0.2">
      <c r="A1107" s="4" t="s">
        <v>214</v>
      </c>
      <c r="B1107">
        <v>1107</v>
      </c>
      <c r="C1107">
        <f>MOD(B1107,8)</f>
        <v>3</v>
      </c>
    </row>
    <row r="1108" spans="1:3" ht="16.5" x14ac:dyDescent="0.2">
      <c r="A1108" s="4" t="s">
        <v>214</v>
      </c>
      <c r="B1108" s="15">
        <v>1108</v>
      </c>
      <c r="C1108">
        <f>MOD(B1108,8)</f>
        <v>4</v>
      </c>
    </row>
    <row r="1109" spans="1:3" ht="16.5" x14ac:dyDescent="0.2">
      <c r="A1109" s="4" t="s">
        <v>214</v>
      </c>
      <c r="B1109">
        <v>1109</v>
      </c>
      <c r="C1109">
        <f>MOD(B1109,8)</f>
        <v>5</v>
      </c>
    </row>
    <row r="1110" spans="1:3" ht="16.5" x14ac:dyDescent="0.2">
      <c r="A1110" s="4" t="s">
        <v>214</v>
      </c>
      <c r="B1110" s="15">
        <v>1110</v>
      </c>
      <c r="C1110">
        <f>MOD(B1110,8)</f>
        <v>6</v>
      </c>
    </row>
    <row r="1111" spans="1:3" ht="16.5" x14ac:dyDescent="0.2">
      <c r="A1111" s="4" t="s">
        <v>214</v>
      </c>
      <c r="B1111">
        <v>1111</v>
      </c>
      <c r="C1111">
        <f>MOD(B1111,8)</f>
        <v>7</v>
      </c>
    </row>
    <row r="1112" spans="1:3" ht="16.5" x14ac:dyDescent="0.2">
      <c r="A1112" s="4" t="s">
        <v>214</v>
      </c>
      <c r="B1112">
        <v>1112</v>
      </c>
      <c r="C1112">
        <f>MOD(B1112,8)</f>
        <v>0</v>
      </c>
    </row>
    <row r="1113" spans="1:3" ht="16.5" x14ac:dyDescent="0.2">
      <c r="A1113" s="4" t="s">
        <v>213</v>
      </c>
      <c r="B1113" s="15">
        <v>1113</v>
      </c>
      <c r="C1113">
        <f>MOD(B1113,8)</f>
        <v>1</v>
      </c>
    </row>
    <row r="1114" spans="1:3" ht="16.5" x14ac:dyDescent="0.2">
      <c r="A1114" s="4" t="s">
        <v>213</v>
      </c>
      <c r="B1114">
        <v>1114</v>
      </c>
      <c r="C1114">
        <f>MOD(B1114,8)</f>
        <v>2</v>
      </c>
    </row>
    <row r="1115" spans="1:3" ht="16.5" x14ac:dyDescent="0.2">
      <c r="A1115" s="4" t="s">
        <v>213</v>
      </c>
      <c r="B1115" s="15">
        <v>1115</v>
      </c>
      <c r="C1115">
        <f>MOD(B1115,8)</f>
        <v>3</v>
      </c>
    </row>
    <row r="1116" spans="1:3" ht="16.5" x14ac:dyDescent="0.2">
      <c r="A1116" s="4" t="s">
        <v>213</v>
      </c>
      <c r="B1116">
        <v>1116</v>
      </c>
      <c r="C1116">
        <f>MOD(B1116,8)</f>
        <v>4</v>
      </c>
    </row>
    <row r="1117" spans="1:3" ht="16.5" x14ac:dyDescent="0.2">
      <c r="A1117" s="4" t="s">
        <v>213</v>
      </c>
      <c r="B1117">
        <v>1117</v>
      </c>
      <c r="C1117">
        <f>MOD(B1117,8)</f>
        <v>5</v>
      </c>
    </row>
    <row r="1118" spans="1:3" ht="16.5" x14ac:dyDescent="0.2">
      <c r="A1118" s="4" t="s">
        <v>213</v>
      </c>
      <c r="B1118" s="15">
        <v>1118</v>
      </c>
      <c r="C1118">
        <f>MOD(B1118,8)</f>
        <v>6</v>
      </c>
    </row>
    <row r="1119" spans="1:3" ht="16.5" x14ac:dyDescent="0.2">
      <c r="A1119" s="4" t="s">
        <v>213</v>
      </c>
      <c r="B1119">
        <v>1119</v>
      </c>
      <c r="C1119">
        <f>MOD(B1119,8)</f>
        <v>7</v>
      </c>
    </row>
    <row r="1120" spans="1:3" ht="16.5" x14ac:dyDescent="0.2">
      <c r="A1120" s="4" t="s">
        <v>213</v>
      </c>
      <c r="B1120" s="15">
        <v>1120</v>
      </c>
      <c r="C1120">
        <f>MOD(B1120,8)</f>
        <v>0</v>
      </c>
    </row>
    <row r="1121" spans="1:3" ht="16.5" x14ac:dyDescent="0.2">
      <c r="A1121" s="4" t="s">
        <v>212</v>
      </c>
      <c r="B1121">
        <v>1121</v>
      </c>
      <c r="C1121">
        <f>MOD(B1121,8)</f>
        <v>1</v>
      </c>
    </row>
    <row r="1122" spans="1:3" ht="16.5" x14ac:dyDescent="0.2">
      <c r="A1122" s="4" t="s">
        <v>212</v>
      </c>
      <c r="B1122">
        <v>1122</v>
      </c>
      <c r="C1122">
        <f>MOD(B1122,8)</f>
        <v>2</v>
      </c>
    </row>
    <row r="1123" spans="1:3" ht="16.5" x14ac:dyDescent="0.2">
      <c r="A1123" s="4" t="s">
        <v>212</v>
      </c>
      <c r="B1123" s="15">
        <v>1123</v>
      </c>
      <c r="C1123">
        <f>MOD(B1123,8)</f>
        <v>3</v>
      </c>
    </row>
    <row r="1124" spans="1:3" ht="16.5" x14ac:dyDescent="0.2">
      <c r="A1124" s="4" t="s">
        <v>212</v>
      </c>
      <c r="B1124">
        <v>1124</v>
      </c>
      <c r="C1124">
        <f>MOD(B1124,8)</f>
        <v>4</v>
      </c>
    </row>
    <row r="1125" spans="1:3" ht="16.5" x14ac:dyDescent="0.2">
      <c r="A1125" s="4" t="s">
        <v>212</v>
      </c>
      <c r="B1125" s="15">
        <v>1125</v>
      </c>
      <c r="C1125">
        <f>MOD(B1125,8)</f>
        <v>5</v>
      </c>
    </row>
    <row r="1126" spans="1:3" ht="16.5" x14ac:dyDescent="0.2">
      <c r="A1126" s="4" t="s">
        <v>212</v>
      </c>
      <c r="B1126">
        <v>1126</v>
      </c>
      <c r="C1126">
        <f>MOD(B1126,8)</f>
        <v>6</v>
      </c>
    </row>
    <row r="1127" spans="1:3" ht="16.5" x14ac:dyDescent="0.2">
      <c r="A1127" s="4" t="s">
        <v>212</v>
      </c>
      <c r="B1127">
        <v>1127</v>
      </c>
      <c r="C1127">
        <f>MOD(B1127,8)</f>
        <v>7</v>
      </c>
    </row>
    <row r="1128" spans="1:3" ht="16.5" x14ac:dyDescent="0.2">
      <c r="A1128" s="4" t="s">
        <v>212</v>
      </c>
      <c r="B1128" s="15">
        <v>1128</v>
      </c>
      <c r="C1128">
        <f>MOD(B1128,8)</f>
        <v>0</v>
      </c>
    </row>
    <row r="1129" spans="1:3" ht="16.5" x14ac:dyDescent="0.2">
      <c r="A1129" s="4" t="s">
        <v>211</v>
      </c>
      <c r="B1129">
        <v>1129</v>
      </c>
      <c r="C1129">
        <f>MOD(B1129,8)</f>
        <v>1</v>
      </c>
    </row>
    <row r="1130" spans="1:3" ht="16.5" x14ac:dyDescent="0.2">
      <c r="A1130" s="4" t="s">
        <v>211</v>
      </c>
      <c r="B1130" s="15">
        <v>1130</v>
      </c>
      <c r="C1130">
        <f>MOD(B1130,8)</f>
        <v>2</v>
      </c>
    </row>
    <row r="1131" spans="1:3" ht="16.5" x14ac:dyDescent="0.2">
      <c r="A1131" s="4" t="s">
        <v>211</v>
      </c>
      <c r="B1131">
        <v>1131</v>
      </c>
      <c r="C1131">
        <f>MOD(B1131,8)</f>
        <v>3</v>
      </c>
    </row>
    <row r="1132" spans="1:3" ht="16.5" x14ac:dyDescent="0.2">
      <c r="A1132" s="4" t="s">
        <v>211</v>
      </c>
      <c r="B1132">
        <v>1132</v>
      </c>
      <c r="C1132">
        <f>MOD(B1132,8)</f>
        <v>4</v>
      </c>
    </row>
    <row r="1133" spans="1:3" ht="16.5" x14ac:dyDescent="0.2">
      <c r="A1133" s="4" t="s">
        <v>211</v>
      </c>
      <c r="B1133" s="15">
        <v>1133</v>
      </c>
      <c r="C1133">
        <f>MOD(B1133,8)</f>
        <v>5</v>
      </c>
    </row>
    <row r="1134" spans="1:3" ht="16.5" x14ac:dyDescent="0.2">
      <c r="A1134" s="4" t="s">
        <v>211</v>
      </c>
      <c r="B1134">
        <v>1134</v>
      </c>
      <c r="C1134">
        <f>MOD(B1134,8)</f>
        <v>6</v>
      </c>
    </row>
    <row r="1135" spans="1:3" ht="16.5" x14ac:dyDescent="0.2">
      <c r="A1135" s="4" t="s">
        <v>211</v>
      </c>
      <c r="B1135" s="15">
        <v>1135</v>
      </c>
      <c r="C1135">
        <f>MOD(B1135,8)</f>
        <v>7</v>
      </c>
    </row>
    <row r="1136" spans="1:3" ht="16.5" x14ac:dyDescent="0.2">
      <c r="A1136" s="4" t="s">
        <v>211</v>
      </c>
      <c r="B1136">
        <v>1136</v>
      </c>
      <c r="C1136">
        <f>MOD(B1136,8)</f>
        <v>0</v>
      </c>
    </row>
    <row r="1137" spans="1:3" ht="16.5" x14ac:dyDescent="0.2">
      <c r="A1137" s="4" t="s">
        <v>210</v>
      </c>
      <c r="B1137">
        <v>1137</v>
      </c>
      <c r="C1137">
        <f>MOD(B1137,8)</f>
        <v>1</v>
      </c>
    </row>
    <row r="1138" spans="1:3" ht="16.5" x14ac:dyDescent="0.2">
      <c r="A1138" s="4" t="s">
        <v>210</v>
      </c>
      <c r="B1138" s="15">
        <v>1138</v>
      </c>
      <c r="C1138">
        <f>MOD(B1138,8)</f>
        <v>2</v>
      </c>
    </row>
    <row r="1139" spans="1:3" ht="16.5" x14ac:dyDescent="0.2">
      <c r="A1139" s="4" t="s">
        <v>210</v>
      </c>
      <c r="B1139">
        <v>1139</v>
      </c>
      <c r="C1139">
        <f>MOD(B1139,8)</f>
        <v>3</v>
      </c>
    </row>
    <row r="1140" spans="1:3" ht="16.5" x14ac:dyDescent="0.2">
      <c r="A1140" s="4" t="s">
        <v>210</v>
      </c>
      <c r="B1140" s="15">
        <v>1140</v>
      </c>
      <c r="C1140">
        <f>MOD(B1140,8)</f>
        <v>4</v>
      </c>
    </row>
    <row r="1141" spans="1:3" ht="16.5" x14ac:dyDescent="0.2">
      <c r="A1141" s="4" t="s">
        <v>210</v>
      </c>
      <c r="B1141">
        <v>1141</v>
      </c>
      <c r="C1141">
        <f>MOD(B1141,8)</f>
        <v>5</v>
      </c>
    </row>
    <row r="1142" spans="1:3" ht="16.5" x14ac:dyDescent="0.2">
      <c r="A1142" s="4" t="s">
        <v>210</v>
      </c>
      <c r="B1142">
        <v>1142</v>
      </c>
      <c r="C1142">
        <f>MOD(B1142,8)</f>
        <v>6</v>
      </c>
    </row>
    <row r="1143" spans="1:3" ht="16.5" x14ac:dyDescent="0.2">
      <c r="A1143" s="4" t="s">
        <v>210</v>
      </c>
      <c r="B1143" s="15">
        <v>1143</v>
      </c>
      <c r="C1143">
        <f>MOD(B1143,8)</f>
        <v>7</v>
      </c>
    </row>
    <row r="1144" spans="1:3" ht="16.5" x14ac:dyDescent="0.2">
      <c r="A1144" s="4" t="s">
        <v>210</v>
      </c>
      <c r="B1144">
        <v>1144</v>
      </c>
      <c r="C1144">
        <f>MOD(B1144,8)</f>
        <v>0</v>
      </c>
    </row>
    <row r="1145" spans="1:3" ht="16.5" x14ac:dyDescent="0.2">
      <c r="A1145" s="4" t="s">
        <v>209</v>
      </c>
      <c r="B1145" s="15">
        <v>1145</v>
      </c>
      <c r="C1145">
        <f>MOD(B1145,8)</f>
        <v>1</v>
      </c>
    </row>
    <row r="1146" spans="1:3" ht="16.5" x14ac:dyDescent="0.2">
      <c r="A1146" s="4" t="s">
        <v>209</v>
      </c>
      <c r="B1146">
        <v>1146</v>
      </c>
      <c r="C1146">
        <f>MOD(B1146,8)</f>
        <v>2</v>
      </c>
    </row>
    <row r="1147" spans="1:3" ht="16.5" x14ac:dyDescent="0.2">
      <c r="A1147" s="4" t="s">
        <v>209</v>
      </c>
      <c r="B1147">
        <v>1147</v>
      </c>
      <c r="C1147">
        <f>MOD(B1147,8)</f>
        <v>3</v>
      </c>
    </row>
    <row r="1148" spans="1:3" ht="16.5" x14ac:dyDescent="0.2">
      <c r="A1148" s="4" t="s">
        <v>209</v>
      </c>
      <c r="B1148" s="15">
        <v>1148</v>
      </c>
      <c r="C1148">
        <f>MOD(B1148,8)</f>
        <v>4</v>
      </c>
    </row>
    <row r="1149" spans="1:3" ht="16.5" x14ac:dyDescent="0.2">
      <c r="A1149" s="4" t="s">
        <v>209</v>
      </c>
      <c r="B1149">
        <v>1149</v>
      </c>
      <c r="C1149">
        <f>MOD(B1149,8)</f>
        <v>5</v>
      </c>
    </row>
    <row r="1150" spans="1:3" ht="16.5" x14ac:dyDescent="0.2">
      <c r="A1150" s="4" t="s">
        <v>209</v>
      </c>
      <c r="B1150" s="15">
        <v>1150</v>
      </c>
      <c r="C1150">
        <f>MOD(B1150,8)</f>
        <v>6</v>
      </c>
    </row>
    <row r="1151" spans="1:3" ht="16.5" x14ac:dyDescent="0.2">
      <c r="A1151" s="4" t="s">
        <v>209</v>
      </c>
      <c r="B1151">
        <v>1151</v>
      </c>
      <c r="C1151">
        <f>MOD(B1151,8)</f>
        <v>7</v>
      </c>
    </row>
    <row r="1152" spans="1:3" ht="16.5" x14ac:dyDescent="0.2">
      <c r="A1152" s="4" t="s">
        <v>209</v>
      </c>
      <c r="B1152">
        <v>1152</v>
      </c>
      <c r="C1152">
        <f>MOD(B1152,8)</f>
        <v>0</v>
      </c>
    </row>
    <row r="1153" spans="1:3" ht="16.5" x14ac:dyDescent="0.2">
      <c r="A1153" s="4" t="s">
        <v>208</v>
      </c>
      <c r="B1153" s="15">
        <v>1153</v>
      </c>
      <c r="C1153">
        <f>MOD(B1153,8)</f>
        <v>1</v>
      </c>
    </row>
    <row r="1154" spans="1:3" ht="16.5" x14ac:dyDescent="0.2">
      <c r="A1154" s="4" t="s">
        <v>208</v>
      </c>
      <c r="B1154">
        <v>1154</v>
      </c>
      <c r="C1154">
        <f>MOD(B1154,8)</f>
        <v>2</v>
      </c>
    </row>
    <row r="1155" spans="1:3" ht="16.5" x14ac:dyDescent="0.2">
      <c r="A1155" s="4" t="s">
        <v>208</v>
      </c>
      <c r="B1155" s="15">
        <v>1155</v>
      </c>
      <c r="C1155">
        <f>MOD(B1155,8)</f>
        <v>3</v>
      </c>
    </row>
    <row r="1156" spans="1:3" ht="16.5" x14ac:dyDescent="0.2">
      <c r="A1156" s="4" t="s">
        <v>208</v>
      </c>
      <c r="B1156">
        <v>1156</v>
      </c>
      <c r="C1156">
        <f>MOD(B1156,8)</f>
        <v>4</v>
      </c>
    </row>
    <row r="1157" spans="1:3" ht="16.5" x14ac:dyDescent="0.2">
      <c r="A1157" s="4" t="s">
        <v>208</v>
      </c>
      <c r="B1157">
        <v>1157</v>
      </c>
      <c r="C1157">
        <f>MOD(B1157,8)</f>
        <v>5</v>
      </c>
    </row>
    <row r="1158" spans="1:3" ht="16.5" x14ac:dyDescent="0.2">
      <c r="A1158" s="4" t="s">
        <v>208</v>
      </c>
      <c r="B1158" s="15">
        <v>1158</v>
      </c>
      <c r="C1158">
        <f>MOD(B1158,8)</f>
        <v>6</v>
      </c>
    </row>
    <row r="1159" spans="1:3" ht="16.5" x14ac:dyDescent="0.2">
      <c r="A1159" s="4" t="s">
        <v>208</v>
      </c>
      <c r="B1159">
        <v>1159</v>
      </c>
      <c r="C1159">
        <f>MOD(B1159,8)</f>
        <v>7</v>
      </c>
    </row>
    <row r="1160" spans="1:3" ht="16.5" x14ac:dyDescent="0.2">
      <c r="A1160" s="4" t="s">
        <v>208</v>
      </c>
      <c r="B1160" s="15">
        <v>1160</v>
      </c>
      <c r="C1160">
        <f>MOD(B1160,8)</f>
        <v>0</v>
      </c>
    </row>
    <row r="1161" spans="1:3" ht="16.5" x14ac:dyDescent="0.2">
      <c r="A1161" s="4" t="s">
        <v>207</v>
      </c>
      <c r="B1161">
        <v>1161</v>
      </c>
      <c r="C1161">
        <f>MOD(B1161,8)</f>
        <v>1</v>
      </c>
    </row>
    <row r="1162" spans="1:3" ht="16.5" x14ac:dyDescent="0.2">
      <c r="A1162" s="4" t="s">
        <v>207</v>
      </c>
      <c r="B1162">
        <v>1162</v>
      </c>
      <c r="C1162">
        <f>MOD(B1162,8)</f>
        <v>2</v>
      </c>
    </row>
    <row r="1163" spans="1:3" ht="16.5" x14ac:dyDescent="0.2">
      <c r="A1163" s="4" t="s">
        <v>207</v>
      </c>
      <c r="B1163" s="15">
        <v>1163</v>
      </c>
      <c r="C1163">
        <f>MOD(B1163,8)</f>
        <v>3</v>
      </c>
    </row>
    <row r="1164" spans="1:3" ht="16.5" x14ac:dyDescent="0.2">
      <c r="A1164" s="4" t="s">
        <v>207</v>
      </c>
      <c r="B1164">
        <v>1164</v>
      </c>
      <c r="C1164">
        <f>MOD(B1164,8)</f>
        <v>4</v>
      </c>
    </row>
    <row r="1165" spans="1:3" ht="16.5" x14ac:dyDescent="0.2">
      <c r="A1165" s="4" t="s">
        <v>207</v>
      </c>
      <c r="B1165" s="15">
        <v>1165</v>
      </c>
      <c r="C1165">
        <f>MOD(B1165,8)</f>
        <v>5</v>
      </c>
    </row>
    <row r="1166" spans="1:3" ht="16.5" x14ac:dyDescent="0.2">
      <c r="A1166" s="4" t="s">
        <v>207</v>
      </c>
      <c r="B1166">
        <v>1166</v>
      </c>
      <c r="C1166">
        <f>MOD(B1166,8)</f>
        <v>6</v>
      </c>
    </row>
    <row r="1167" spans="1:3" ht="16.5" x14ac:dyDescent="0.2">
      <c r="A1167" s="4" t="s">
        <v>207</v>
      </c>
      <c r="B1167">
        <v>1167</v>
      </c>
      <c r="C1167">
        <f>MOD(B1167,8)</f>
        <v>7</v>
      </c>
    </row>
    <row r="1168" spans="1:3" ht="16.5" x14ac:dyDescent="0.2">
      <c r="A1168" s="4" t="s">
        <v>207</v>
      </c>
      <c r="B1168" s="15">
        <v>1168</v>
      </c>
      <c r="C1168">
        <f>MOD(B1168,8)</f>
        <v>0</v>
      </c>
    </row>
    <row r="1169" spans="1:3" ht="16.5" x14ac:dyDescent="0.2">
      <c r="A1169" s="4" t="s">
        <v>206</v>
      </c>
      <c r="B1169">
        <v>1169</v>
      </c>
      <c r="C1169">
        <f>MOD(B1169,8)</f>
        <v>1</v>
      </c>
    </row>
    <row r="1170" spans="1:3" ht="16.5" x14ac:dyDescent="0.2">
      <c r="A1170" s="4" t="s">
        <v>206</v>
      </c>
      <c r="B1170" s="15">
        <v>1170</v>
      </c>
      <c r="C1170">
        <f>MOD(B1170,8)</f>
        <v>2</v>
      </c>
    </row>
    <row r="1171" spans="1:3" ht="16.5" x14ac:dyDescent="0.2">
      <c r="A1171" s="4" t="s">
        <v>206</v>
      </c>
      <c r="B1171">
        <v>1171</v>
      </c>
      <c r="C1171">
        <f>MOD(B1171,8)</f>
        <v>3</v>
      </c>
    </row>
    <row r="1172" spans="1:3" ht="16.5" x14ac:dyDescent="0.2">
      <c r="A1172" s="4" t="s">
        <v>206</v>
      </c>
      <c r="B1172">
        <v>1172</v>
      </c>
      <c r="C1172">
        <f>MOD(B1172,8)</f>
        <v>4</v>
      </c>
    </row>
    <row r="1173" spans="1:3" ht="16.5" x14ac:dyDescent="0.2">
      <c r="A1173" s="4" t="s">
        <v>206</v>
      </c>
      <c r="B1173" s="15">
        <v>1173</v>
      </c>
      <c r="C1173">
        <f>MOD(B1173,8)</f>
        <v>5</v>
      </c>
    </row>
    <row r="1174" spans="1:3" ht="16.5" x14ac:dyDescent="0.2">
      <c r="A1174" s="4" t="s">
        <v>206</v>
      </c>
      <c r="B1174">
        <v>1174</v>
      </c>
      <c r="C1174">
        <f>MOD(B1174,8)</f>
        <v>6</v>
      </c>
    </row>
    <row r="1175" spans="1:3" ht="16.5" x14ac:dyDescent="0.2">
      <c r="A1175" s="4" t="s">
        <v>206</v>
      </c>
      <c r="B1175" s="15">
        <v>1175</v>
      </c>
      <c r="C1175">
        <f>MOD(B1175,8)</f>
        <v>7</v>
      </c>
    </row>
    <row r="1176" spans="1:3" ht="16.5" x14ac:dyDescent="0.2">
      <c r="A1176" s="4" t="s">
        <v>206</v>
      </c>
      <c r="B1176">
        <v>1176</v>
      </c>
      <c r="C1176">
        <f>MOD(B1176,8)</f>
        <v>0</v>
      </c>
    </row>
    <row r="1177" spans="1:3" ht="16.5" x14ac:dyDescent="0.2">
      <c r="A1177" s="4" t="s">
        <v>205</v>
      </c>
      <c r="B1177">
        <v>1177</v>
      </c>
      <c r="C1177">
        <f>MOD(B1177,8)</f>
        <v>1</v>
      </c>
    </row>
    <row r="1178" spans="1:3" ht="16.5" x14ac:dyDescent="0.2">
      <c r="A1178" s="4" t="s">
        <v>205</v>
      </c>
      <c r="B1178" s="15">
        <v>1178</v>
      </c>
      <c r="C1178">
        <f>MOD(B1178,8)</f>
        <v>2</v>
      </c>
    </row>
    <row r="1179" spans="1:3" ht="16.5" x14ac:dyDescent="0.2">
      <c r="A1179" s="4" t="s">
        <v>205</v>
      </c>
      <c r="B1179">
        <v>1179</v>
      </c>
      <c r="C1179">
        <f>MOD(B1179,8)</f>
        <v>3</v>
      </c>
    </row>
    <row r="1180" spans="1:3" ht="16.5" x14ac:dyDescent="0.2">
      <c r="A1180" s="4" t="s">
        <v>205</v>
      </c>
      <c r="B1180" s="15">
        <v>1180</v>
      </c>
      <c r="C1180">
        <f>MOD(B1180,8)</f>
        <v>4</v>
      </c>
    </row>
    <row r="1181" spans="1:3" ht="16.5" x14ac:dyDescent="0.2">
      <c r="A1181" s="4" t="s">
        <v>205</v>
      </c>
      <c r="B1181">
        <v>1181</v>
      </c>
      <c r="C1181">
        <f>MOD(B1181,8)</f>
        <v>5</v>
      </c>
    </row>
    <row r="1182" spans="1:3" ht="16.5" x14ac:dyDescent="0.2">
      <c r="A1182" s="4" t="s">
        <v>205</v>
      </c>
      <c r="B1182">
        <v>1182</v>
      </c>
      <c r="C1182">
        <f>MOD(B1182,8)</f>
        <v>6</v>
      </c>
    </row>
    <row r="1183" spans="1:3" ht="16.5" x14ac:dyDescent="0.2">
      <c r="A1183" s="4" t="s">
        <v>205</v>
      </c>
      <c r="B1183" s="15">
        <v>1183</v>
      </c>
      <c r="C1183">
        <f>MOD(B1183,8)</f>
        <v>7</v>
      </c>
    </row>
    <row r="1184" spans="1:3" ht="16.5" x14ac:dyDescent="0.2">
      <c r="A1184" s="4" t="s">
        <v>205</v>
      </c>
      <c r="B1184">
        <v>1184</v>
      </c>
      <c r="C1184">
        <f>MOD(B1184,8)</f>
        <v>0</v>
      </c>
    </row>
    <row r="1185" spans="1:3" ht="16.5" x14ac:dyDescent="0.2">
      <c r="A1185" s="4" t="s">
        <v>204</v>
      </c>
      <c r="B1185" s="15">
        <v>1185</v>
      </c>
      <c r="C1185">
        <f>MOD(B1185,8)</f>
        <v>1</v>
      </c>
    </row>
    <row r="1186" spans="1:3" ht="16.5" x14ac:dyDescent="0.2">
      <c r="A1186" s="4" t="s">
        <v>204</v>
      </c>
      <c r="B1186">
        <v>1186</v>
      </c>
      <c r="C1186">
        <f>MOD(B1186,8)</f>
        <v>2</v>
      </c>
    </row>
    <row r="1187" spans="1:3" ht="16.5" x14ac:dyDescent="0.2">
      <c r="A1187" s="4" t="s">
        <v>204</v>
      </c>
      <c r="B1187">
        <v>1187</v>
      </c>
      <c r="C1187">
        <f>MOD(B1187,8)</f>
        <v>3</v>
      </c>
    </row>
    <row r="1188" spans="1:3" ht="16.5" x14ac:dyDescent="0.2">
      <c r="A1188" s="4" t="s">
        <v>204</v>
      </c>
      <c r="B1188" s="15">
        <v>1188</v>
      </c>
      <c r="C1188">
        <f>MOD(B1188,8)</f>
        <v>4</v>
      </c>
    </row>
    <row r="1189" spans="1:3" ht="16.5" x14ac:dyDescent="0.2">
      <c r="A1189" s="4" t="s">
        <v>204</v>
      </c>
      <c r="B1189">
        <v>1189</v>
      </c>
      <c r="C1189">
        <f>MOD(B1189,8)</f>
        <v>5</v>
      </c>
    </row>
    <row r="1190" spans="1:3" ht="16.5" x14ac:dyDescent="0.2">
      <c r="A1190" s="4" t="s">
        <v>204</v>
      </c>
      <c r="B1190" s="15">
        <v>1190</v>
      </c>
      <c r="C1190">
        <f>MOD(B1190,8)</f>
        <v>6</v>
      </c>
    </row>
    <row r="1191" spans="1:3" ht="16.5" x14ac:dyDescent="0.2">
      <c r="A1191" s="4" t="s">
        <v>204</v>
      </c>
      <c r="B1191">
        <v>1191</v>
      </c>
      <c r="C1191">
        <f>MOD(B1191,8)</f>
        <v>7</v>
      </c>
    </row>
    <row r="1192" spans="1:3" ht="16.5" x14ac:dyDescent="0.2">
      <c r="A1192" s="4" t="s">
        <v>204</v>
      </c>
      <c r="B1192">
        <v>1192</v>
      </c>
      <c r="C1192">
        <f>MOD(B1192,8)</f>
        <v>0</v>
      </c>
    </row>
    <row r="1193" spans="1:3" ht="16.5" x14ac:dyDescent="0.2">
      <c r="A1193" s="4" t="s">
        <v>203</v>
      </c>
      <c r="B1193" s="15">
        <v>1193</v>
      </c>
      <c r="C1193">
        <f>MOD(B1193,8)</f>
        <v>1</v>
      </c>
    </row>
    <row r="1194" spans="1:3" ht="16.5" x14ac:dyDescent="0.2">
      <c r="A1194" s="4" t="s">
        <v>203</v>
      </c>
      <c r="B1194">
        <v>1194</v>
      </c>
      <c r="C1194">
        <f>MOD(B1194,8)</f>
        <v>2</v>
      </c>
    </row>
    <row r="1195" spans="1:3" ht="16.5" x14ac:dyDescent="0.2">
      <c r="A1195" s="4" t="s">
        <v>203</v>
      </c>
      <c r="B1195" s="15">
        <v>1195</v>
      </c>
      <c r="C1195">
        <f>MOD(B1195,8)</f>
        <v>3</v>
      </c>
    </row>
    <row r="1196" spans="1:3" ht="16.5" x14ac:dyDescent="0.2">
      <c r="A1196" s="4" t="s">
        <v>203</v>
      </c>
      <c r="B1196">
        <v>1196</v>
      </c>
      <c r="C1196">
        <f>MOD(B1196,8)</f>
        <v>4</v>
      </c>
    </row>
    <row r="1197" spans="1:3" ht="16.5" x14ac:dyDescent="0.2">
      <c r="A1197" s="4" t="s">
        <v>203</v>
      </c>
      <c r="B1197">
        <v>1197</v>
      </c>
      <c r="C1197">
        <f>MOD(B1197,8)</f>
        <v>5</v>
      </c>
    </row>
    <row r="1198" spans="1:3" ht="16.5" x14ac:dyDescent="0.2">
      <c r="A1198" s="4" t="s">
        <v>203</v>
      </c>
      <c r="B1198" s="15">
        <v>1198</v>
      </c>
      <c r="C1198">
        <f>MOD(B1198,8)</f>
        <v>6</v>
      </c>
    </row>
    <row r="1199" spans="1:3" ht="16.5" x14ac:dyDescent="0.2">
      <c r="A1199" s="4" t="s">
        <v>203</v>
      </c>
      <c r="B1199">
        <v>1199</v>
      </c>
      <c r="C1199">
        <f>MOD(B1199,8)</f>
        <v>7</v>
      </c>
    </row>
    <row r="1200" spans="1:3" ht="16.5" x14ac:dyDescent="0.2">
      <c r="A1200" s="4" t="s">
        <v>203</v>
      </c>
      <c r="B1200" s="15">
        <v>1200</v>
      </c>
      <c r="C1200">
        <f>MOD(B1200,8)</f>
        <v>0</v>
      </c>
    </row>
    <row r="1201" spans="1:3" ht="16.5" x14ac:dyDescent="0.2">
      <c r="A1201" s="4" t="s">
        <v>202</v>
      </c>
      <c r="B1201">
        <v>1201</v>
      </c>
      <c r="C1201">
        <f>MOD(B1201,8)</f>
        <v>1</v>
      </c>
    </row>
    <row r="1202" spans="1:3" ht="16.5" x14ac:dyDescent="0.2">
      <c r="A1202" s="4" t="s">
        <v>202</v>
      </c>
      <c r="B1202">
        <v>1202</v>
      </c>
      <c r="C1202">
        <f>MOD(B1202,8)</f>
        <v>2</v>
      </c>
    </row>
    <row r="1203" spans="1:3" ht="16.5" x14ac:dyDescent="0.2">
      <c r="A1203" s="4" t="s">
        <v>202</v>
      </c>
      <c r="B1203" s="15">
        <v>1203</v>
      </c>
      <c r="C1203">
        <f>MOD(B1203,8)</f>
        <v>3</v>
      </c>
    </row>
    <row r="1204" spans="1:3" ht="16.5" x14ac:dyDescent="0.2">
      <c r="A1204" s="4" t="s">
        <v>202</v>
      </c>
      <c r="B1204">
        <v>1204</v>
      </c>
      <c r="C1204">
        <f>MOD(B1204,8)</f>
        <v>4</v>
      </c>
    </row>
    <row r="1205" spans="1:3" ht="16.5" x14ac:dyDescent="0.2">
      <c r="A1205" s="4" t="s">
        <v>202</v>
      </c>
      <c r="B1205" s="15">
        <v>1205</v>
      </c>
      <c r="C1205">
        <f>MOD(B1205,8)</f>
        <v>5</v>
      </c>
    </row>
    <row r="1206" spans="1:3" ht="16.5" x14ac:dyDescent="0.2">
      <c r="A1206" s="4" t="s">
        <v>202</v>
      </c>
      <c r="B1206">
        <v>1206</v>
      </c>
      <c r="C1206">
        <f>MOD(B1206,8)</f>
        <v>6</v>
      </c>
    </row>
    <row r="1207" spans="1:3" ht="16.5" x14ac:dyDescent="0.2">
      <c r="A1207" s="4" t="s">
        <v>202</v>
      </c>
      <c r="B1207">
        <v>1207</v>
      </c>
      <c r="C1207">
        <f>MOD(B1207,8)</f>
        <v>7</v>
      </c>
    </row>
    <row r="1208" spans="1:3" ht="16.5" x14ac:dyDescent="0.2">
      <c r="A1208" s="4" t="s">
        <v>202</v>
      </c>
      <c r="B1208" s="15">
        <v>1208</v>
      </c>
      <c r="C1208">
        <f>MOD(B1208,8)</f>
        <v>0</v>
      </c>
    </row>
    <row r="1209" spans="1:3" ht="16.5" x14ac:dyDescent="0.2">
      <c r="A1209" s="4" t="s">
        <v>201</v>
      </c>
      <c r="B1209">
        <v>1209</v>
      </c>
      <c r="C1209">
        <f>MOD(B1209,8)</f>
        <v>1</v>
      </c>
    </row>
    <row r="1210" spans="1:3" ht="16.5" x14ac:dyDescent="0.2">
      <c r="A1210" s="4" t="s">
        <v>201</v>
      </c>
      <c r="B1210" s="15">
        <v>1210</v>
      </c>
      <c r="C1210">
        <f>MOD(B1210,8)</f>
        <v>2</v>
      </c>
    </row>
    <row r="1211" spans="1:3" ht="16.5" x14ac:dyDescent="0.2">
      <c r="A1211" s="4" t="s">
        <v>201</v>
      </c>
      <c r="B1211">
        <v>1211</v>
      </c>
      <c r="C1211">
        <f>MOD(B1211,8)</f>
        <v>3</v>
      </c>
    </row>
    <row r="1212" spans="1:3" ht="16.5" x14ac:dyDescent="0.2">
      <c r="A1212" s="4" t="s">
        <v>201</v>
      </c>
      <c r="B1212">
        <v>1212</v>
      </c>
      <c r="C1212">
        <f>MOD(B1212,8)</f>
        <v>4</v>
      </c>
    </row>
    <row r="1213" spans="1:3" ht="16.5" x14ac:dyDescent="0.2">
      <c r="A1213" s="4" t="s">
        <v>201</v>
      </c>
      <c r="B1213" s="15">
        <v>1213</v>
      </c>
      <c r="C1213">
        <f>MOD(B1213,8)</f>
        <v>5</v>
      </c>
    </row>
    <row r="1214" spans="1:3" ht="16.5" x14ac:dyDescent="0.2">
      <c r="A1214" s="4" t="s">
        <v>201</v>
      </c>
      <c r="B1214">
        <v>1214</v>
      </c>
      <c r="C1214">
        <f>MOD(B1214,8)</f>
        <v>6</v>
      </c>
    </row>
    <row r="1215" spans="1:3" ht="16.5" x14ac:dyDescent="0.2">
      <c r="A1215" s="4" t="s">
        <v>201</v>
      </c>
      <c r="B1215" s="15">
        <v>1215</v>
      </c>
      <c r="C1215">
        <f>MOD(B1215,8)</f>
        <v>7</v>
      </c>
    </row>
    <row r="1216" spans="1:3" ht="16.5" x14ac:dyDescent="0.2">
      <c r="A1216" s="4" t="s">
        <v>201</v>
      </c>
      <c r="B1216">
        <v>1216</v>
      </c>
      <c r="C1216">
        <f>MOD(B1216,8)</f>
        <v>0</v>
      </c>
    </row>
    <row r="1217" spans="1:3" ht="16.5" x14ac:dyDescent="0.2">
      <c r="A1217" s="4" t="s">
        <v>200</v>
      </c>
      <c r="B1217">
        <v>1217</v>
      </c>
      <c r="C1217">
        <f>MOD(B1217,8)</f>
        <v>1</v>
      </c>
    </row>
    <row r="1218" spans="1:3" ht="16.5" x14ac:dyDescent="0.2">
      <c r="A1218" s="4" t="s">
        <v>200</v>
      </c>
      <c r="B1218" s="15">
        <v>1218</v>
      </c>
      <c r="C1218">
        <f>MOD(B1218,8)</f>
        <v>2</v>
      </c>
    </row>
    <row r="1219" spans="1:3" ht="16.5" x14ac:dyDescent="0.2">
      <c r="A1219" s="4" t="s">
        <v>200</v>
      </c>
      <c r="B1219">
        <v>1219</v>
      </c>
      <c r="C1219">
        <f>MOD(B1219,8)</f>
        <v>3</v>
      </c>
    </row>
    <row r="1220" spans="1:3" ht="16.5" x14ac:dyDescent="0.2">
      <c r="A1220" s="4" t="s">
        <v>200</v>
      </c>
      <c r="B1220" s="15">
        <v>1220</v>
      </c>
      <c r="C1220">
        <f>MOD(B1220,8)</f>
        <v>4</v>
      </c>
    </row>
    <row r="1221" spans="1:3" ht="16.5" x14ac:dyDescent="0.2">
      <c r="A1221" s="4" t="s">
        <v>200</v>
      </c>
      <c r="B1221">
        <v>1221</v>
      </c>
      <c r="C1221">
        <f>MOD(B1221,8)</f>
        <v>5</v>
      </c>
    </row>
    <row r="1222" spans="1:3" ht="16.5" x14ac:dyDescent="0.2">
      <c r="A1222" s="4" t="s">
        <v>200</v>
      </c>
      <c r="B1222">
        <v>1222</v>
      </c>
      <c r="C1222">
        <f>MOD(B1222,8)</f>
        <v>6</v>
      </c>
    </row>
    <row r="1223" spans="1:3" ht="16.5" x14ac:dyDescent="0.2">
      <c r="A1223" s="4" t="s">
        <v>200</v>
      </c>
      <c r="B1223" s="15">
        <v>1223</v>
      </c>
      <c r="C1223">
        <f>MOD(B1223,8)</f>
        <v>7</v>
      </c>
    </row>
    <row r="1224" spans="1:3" ht="16.5" x14ac:dyDescent="0.2">
      <c r="A1224" s="4" t="s">
        <v>200</v>
      </c>
      <c r="B1224">
        <v>1224</v>
      </c>
      <c r="C1224">
        <f>MOD(B1224,8)</f>
        <v>0</v>
      </c>
    </row>
    <row r="1225" spans="1:3" ht="16.5" x14ac:dyDescent="0.2">
      <c r="A1225" s="4" t="s">
        <v>199</v>
      </c>
      <c r="B1225" s="15">
        <v>1225</v>
      </c>
      <c r="C1225">
        <f>MOD(B1225,8)</f>
        <v>1</v>
      </c>
    </row>
    <row r="1226" spans="1:3" ht="16.5" x14ac:dyDescent="0.2">
      <c r="A1226" s="4" t="s">
        <v>199</v>
      </c>
      <c r="B1226">
        <v>1226</v>
      </c>
      <c r="C1226">
        <f>MOD(B1226,8)</f>
        <v>2</v>
      </c>
    </row>
    <row r="1227" spans="1:3" ht="16.5" x14ac:dyDescent="0.2">
      <c r="A1227" s="4" t="s">
        <v>199</v>
      </c>
      <c r="B1227">
        <v>1227</v>
      </c>
      <c r="C1227">
        <f>MOD(B1227,8)</f>
        <v>3</v>
      </c>
    </row>
    <row r="1228" spans="1:3" ht="16.5" x14ac:dyDescent="0.2">
      <c r="A1228" s="4" t="s">
        <v>199</v>
      </c>
      <c r="B1228" s="15">
        <v>1228</v>
      </c>
      <c r="C1228">
        <f>MOD(B1228,8)</f>
        <v>4</v>
      </c>
    </row>
    <row r="1229" spans="1:3" ht="16.5" x14ac:dyDescent="0.2">
      <c r="A1229" s="4" t="s">
        <v>199</v>
      </c>
      <c r="B1229">
        <v>1229</v>
      </c>
      <c r="C1229">
        <f>MOD(B1229,8)</f>
        <v>5</v>
      </c>
    </row>
    <row r="1230" spans="1:3" ht="16.5" x14ac:dyDescent="0.2">
      <c r="A1230" s="4" t="s">
        <v>199</v>
      </c>
      <c r="B1230" s="15">
        <v>1230</v>
      </c>
      <c r="C1230">
        <f>MOD(B1230,8)</f>
        <v>6</v>
      </c>
    </row>
    <row r="1231" spans="1:3" ht="16.5" x14ac:dyDescent="0.2">
      <c r="A1231" s="4" t="s">
        <v>199</v>
      </c>
      <c r="B1231">
        <v>1231</v>
      </c>
      <c r="C1231">
        <f>MOD(B1231,8)</f>
        <v>7</v>
      </c>
    </row>
    <row r="1232" spans="1:3" ht="16.5" x14ac:dyDescent="0.2">
      <c r="A1232" s="4" t="s">
        <v>199</v>
      </c>
      <c r="B1232">
        <v>1232</v>
      </c>
      <c r="C1232">
        <f>MOD(B1232,8)</f>
        <v>0</v>
      </c>
    </row>
    <row r="1233" spans="1:3" ht="16.5" x14ac:dyDescent="0.2">
      <c r="A1233" s="4" t="s">
        <v>198</v>
      </c>
      <c r="B1233" s="15">
        <v>1233</v>
      </c>
      <c r="C1233">
        <f>MOD(B1233,8)</f>
        <v>1</v>
      </c>
    </row>
    <row r="1234" spans="1:3" ht="16.5" x14ac:dyDescent="0.2">
      <c r="A1234" s="4" t="s">
        <v>198</v>
      </c>
      <c r="B1234">
        <v>1234</v>
      </c>
      <c r="C1234">
        <f>MOD(B1234,8)</f>
        <v>2</v>
      </c>
    </row>
    <row r="1235" spans="1:3" ht="16.5" x14ac:dyDescent="0.2">
      <c r="A1235" s="4" t="s">
        <v>198</v>
      </c>
      <c r="B1235" s="15">
        <v>1235</v>
      </c>
      <c r="C1235">
        <f>MOD(B1235,8)</f>
        <v>3</v>
      </c>
    </row>
    <row r="1236" spans="1:3" ht="16.5" x14ac:dyDescent="0.2">
      <c r="A1236" s="4" t="s">
        <v>198</v>
      </c>
      <c r="B1236">
        <v>1236</v>
      </c>
      <c r="C1236">
        <f>MOD(B1236,8)</f>
        <v>4</v>
      </c>
    </row>
    <row r="1237" spans="1:3" ht="16.5" x14ac:dyDescent="0.2">
      <c r="A1237" s="4" t="s">
        <v>198</v>
      </c>
      <c r="B1237">
        <v>1237</v>
      </c>
      <c r="C1237">
        <f>MOD(B1237,8)</f>
        <v>5</v>
      </c>
    </row>
    <row r="1238" spans="1:3" ht="16.5" x14ac:dyDescent="0.2">
      <c r="A1238" s="4" t="s">
        <v>198</v>
      </c>
      <c r="B1238" s="15">
        <v>1238</v>
      </c>
      <c r="C1238">
        <f>MOD(B1238,8)</f>
        <v>6</v>
      </c>
    </row>
    <row r="1239" spans="1:3" ht="16.5" x14ac:dyDescent="0.2">
      <c r="A1239" s="4" t="s">
        <v>198</v>
      </c>
      <c r="B1239">
        <v>1239</v>
      </c>
      <c r="C1239">
        <f>MOD(B1239,8)</f>
        <v>7</v>
      </c>
    </row>
    <row r="1240" spans="1:3" ht="16.5" x14ac:dyDescent="0.2">
      <c r="A1240" s="4" t="s">
        <v>198</v>
      </c>
      <c r="B1240" s="15">
        <v>1240</v>
      </c>
      <c r="C1240">
        <f>MOD(B1240,8)</f>
        <v>0</v>
      </c>
    </row>
    <row r="1241" spans="1:3" ht="16.5" x14ac:dyDescent="0.2">
      <c r="A1241" s="4" t="s">
        <v>197</v>
      </c>
      <c r="B1241">
        <v>1241</v>
      </c>
      <c r="C1241">
        <f>MOD(B1241,8)</f>
        <v>1</v>
      </c>
    </row>
    <row r="1242" spans="1:3" ht="16.5" x14ac:dyDescent="0.2">
      <c r="A1242" s="4" t="s">
        <v>197</v>
      </c>
      <c r="B1242">
        <v>1242</v>
      </c>
      <c r="C1242">
        <f>MOD(B1242,8)</f>
        <v>2</v>
      </c>
    </row>
    <row r="1243" spans="1:3" ht="16.5" x14ac:dyDescent="0.2">
      <c r="A1243" s="4" t="s">
        <v>197</v>
      </c>
      <c r="B1243" s="15">
        <v>1243</v>
      </c>
      <c r="C1243">
        <f>MOD(B1243,8)</f>
        <v>3</v>
      </c>
    </row>
    <row r="1244" spans="1:3" ht="16.5" x14ac:dyDescent="0.2">
      <c r="A1244" s="4" t="s">
        <v>197</v>
      </c>
      <c r="B1244">
        <v>1244</v>
      </c>
      <c r="C1244">
        <f>MOD(B1244,8)</f>
        <v>4</v>
      </c>
    </row>
    <row r="1245" spans="1:3" ht="16.5" x14ac:dyDescent="0.2">
      <c r="A1245" s="4" t="s">
        <v>197</v>
      </c>
      <c r="B1245" s="15">
        <v>1245</v>
      </c>
      <c r="C1245">
        <f>MOD(B1245,8)</f>
        <v>5</v>
      </c>
    </row>
    <row r="1246" spans="1:3" ht="16.5" x14ac:dyDescent="0.2">
      <c r="A1246" s="4" t="s">
        <v>197</v>
      </c>
      <c r="B1246">
        <v>1246</v>
      </c>
      <c r="C1246">
        <f>MOD(B1246,8)</f>
        <v>6</v>
      </c>
    </row>
    <row r="1247" spans="1:3" ht="16.5" x14ac:dyDescent="0.2">
      <c r="A1247" s="4" t="s">
        <v>197</v>
      </c>
      <c r="B1247">
        <v>1247</v>
      </c>
      <c r="C1247">
        <f>MOD(B1247,8)</f>
        <v>7</v>
      </c>
    </row>
    <row r="1248" spans="1:3" ht="16.5" x14ac:dyDescent="0.2">
      <c r="A1248" s="4" t="s">
        <v>197</v>
      </c>
      <c r="B1248" s="15">
        <v>1248</v>
      </c>
      <c r="C1248">
        <f>MOD(B1248,8)</f>
        <v>0</v>
      </c>
    </row>
    <row r="1249" spans="1:3" ht="16.5" x14ac:dyDescent="0.2">
      <c r="A1249" s="4" t="s">
        <v>196</v>
      </c>
      <c r="B1249">
        <v>1249</v>
      </c>
      <c r="C1249">
        <f>MOD(B1249,8)</f>
        <v>1</v>
      </c>
    </row>
    <row r="1250" spans="1:3" ht="16.5" x14ac:dyDescent="0.2">
      <c r="A1250" s="4" t="s">
        <v>196</v>
      </c>
      <c r="B1250" s="15">
        <v>1250</v>
      </c>
      <c r="C1250">
        <f>MOD(B1250,8)</f>
        <v>2</v>
      </c>
    </row>
    <row r="1251" spans="1:3" ht="16.5" x14ac:dyDescent="0.2">
      <c r="A1251" s="4" t="s">
        <v>196</v>
      </c>
      <c r="B1251">
        <v>1251</v>
      </c>
      <c r="C1251">
        <f>MOD(B1251,8)</f>
        <v>3</v>
      </c>
    </row>
    <row r="1252" spans="1:3" ht="16.5" x14ac:dyDescent="0.2">
      <c r="A1252" s="4" t="s">
        <v>196</v>
      </c>
      <c r="B1252">
        <v>1252</v>
      </c>
      <c r="C1252">
        <f>MOD(B1252,8)</f>
        <v>4</v>
      </c>
    </row>
    <row r="1253" spans="1:3" ht="16.5" x14ac:dyDescent="0.2">
      <c r="A1253" s="4" t="s">
        <v>196</v>
      </c>
      <c r="B1253" s="15">
        <v>1253</v>
      </c>
      <c r="C1253">
        <f>MOD(B1253,8)</f>
        <v>5</v>
      </c>
    </row>
    <row r="1254" spans="1:3" ht="16.5" x14ac:dyDescent="0.2">
      <c r="A1254" s="4" t="s">
        <v>196</v>
      </c>
      <c r="B1254">
        <v>1254</v>
      </c>
      <c r="C1254">
        <f>MOD(B1254,8)</f>
        <v>6</v>
      </c>
    </row>
    <row r="1255" spans="1:3" ht="16.5" x14ac:dyDescent="0.2">
      <c r="A1255" s="4" t="s">
        <v>196</v>
      </c>
      <c r="B1255" s="15">
        <v>1255</v>
      </c>
      <c r="C1255">
        <f>MOD(B1255,8)</f>
        <v>7</v>
      </c>
    </row>
    <row r="1256" spans="1:3" ht="16.5" x14ac:dyDescent="0.2">
      <c r="A1256" s="4" t="s">
        <v>196</v>
      </c>
      <c r="B1256">
        <v>1256</v>
      </c>
      <c r="C1256">
        <f>MOD(B1256,8)</f>
        <v>0</v>
      </c>
    </row>
    <row r="1257" spans="1:3" ht="16.5" x14ac:dyDescent="0.2">
      <c r="A1257" s="4" t="s">
        <v>195</v>
      </c>
      <c r="B1257">
        <v>1257</v>
      </c>
      <c r="C1257">
        <f>MOD(B1257,8)</f>
        <v>1</v>
      </c>
    </row>
    <row r="1258" spans="1:3" ht="16.5" x14ac:dyDescent="0.2">
      <c r="A1258" s="4" t="s">
        <v>195</v>
      </c>
      <c r="B1258" s="15">
        <v>1258</v>
      </c>
      <c r="C1258">
        <f>MOD(B1258,8)</f>
        <v>2</v>
      </c>
    </row>
    <row r="1259" spans="1:3" ht="16.5" x14ac:dyDescent="0.2">
      <c r="A1259" s="4" t="s">
        <v>195</v>
      </c>
      <c r="B1259">
        <v>1259</v>
      </c>
      <c r="C1259">
        <f>MOD(B1259,8)</f>
        <v>3</v>
      </c>
    </row>
    <row r="1260" spans="1:3" ht="16.5" x14ac:dyDescent="0.2">
      <c r="A1260" s="4" t="s">
        <v>195</v>
      </c>
      <c r="B1260" s="15">
        <v>1260</v>
      </c>
      <c r="C1260">
        <f>MOD(B1260,8)</f>
        <v>4</v>
      </c>
    </row>
    <row r="1261" spans="1:3" ht="16.5" x14ac:dyDescent="0.2">
      <c r="A1261" s="4" t="s">
        <v>195</v>
      </c>
      <c r="B1261">
        <v>1261</v>
      </c>
      <c r="C1261">
        <f>MOD(B1261,8)</f>
        <v>5</v>
      </c>
    </row>
    <row r="1262" spans="1:3" ht="16.5" x14ac:dyDescent="0.2">
      <c r="A1262" s="4" t="s">
        <v>195</v>
      </c>
      <c r="B1262">
        <v>1262</v>
      </c>
      <c r="C1262">
        <f>MOD(B1262,8)</f>
        <v>6</v>
      </c>
    </row>
    <row r="1263" spans="1:3" ht="16.5" x14ac:dyDescent="0.2">
      <c r="A1263" s="4" t="s">
        <v>195</v>
      </c>
      <c r="B1263" s="15">
        <v>1263</v>
      </c>
      <c r="C1263">
        <f>MOD(B1263,8)</f>
        <v>7</v>
      </c>
    </row>
    <row r="1264" spans="1:3" ht="16.5" x14ac:dyDescent="0.2">
      <c r="A1264" s="4" t="s">
        <v>195</v>
      </c>
      <c r="B1264">
        <v>1264</v>
      </c>
      <c r="C1264">
        <f>MOD(B1264,8)</f>
        <v>0</v>
      </c>
    </row>
    <row r="1265" spans="1:3" ht="16.5" x14ac:dyDescent="0.2">
      <c r="A1265" s="4" t="s">
        <v>194</v>
      </c>
      <c r="B1265" s="15">
        <v>1265</v>
      </c>
      <c r="C1265">
        <f>MOD(B1265,8)</f>
        <v>1</v>
      </c>
    </row>
    <row r="1266" spans="1:3" ht="16.5" x14ac:dyDescent="0.2">
      <c r="A1266" s="4" t="s">
        <v>194</v>
      </c>
      <c r="B1266">
        <v>1266</v>
      </c>
      <c r="C1266">
        <f>MOD(B1266,8)</f>
        <v>2</v>
      </c>
    </row>
    <row r="1267" spans="1:3" ht="16.5" x14ac:dyDescent="0.2">
      <c r="A1267" s="4" t="s">
        <v>194</v>
      </c>
      <c r="B1267">
        <v>1267</v>
      </c>
      <c r="C1267">
        <f>MOD(B1267,8)</f>
        <v>3</v>
      </c>
    </row>
    <row r="1268" spans="1:3" ht="16.5" x14ac:dyDescent="0.2">
      <c r="A1268" s="4" t="s">
        <v>194</v>
      </c>
      <c r="B1268" s="15">
        <v>1268</v>
      </c>
      <c r="C1268">
        <f>MOD(B1268,8)</f>
        <v>4</v>
      </c>
    </row>
    <row r="1269" spans="1:3" ht="16.5" x14ac:dyDescent="0.2">
      <c r="A1269" s="4" t="s">
        <v>194</v>
      </c>
      <c r="B1269">
        <v>1269</v>
      </c>
      <c r="C1269">
        <f>MOD(B1269,8)</f>
        <v>5</v>
      </c>
    </row>
    <row r="1270" spans="1:3" ht="16.5" x14ac:dyDescent="0.2">
      <c r="A1270" s="4" t="s">
        <v>194</v>
      </c>
      <c r="B1270" s="15">
        <v>1270</v>
      </c>
      <c r="C1270">
        <f>MOD(B1270,8)</f>
        <v>6</v>
      </c>
    </row>
    <row r="1271" spans="1:3" ht="16.5" x14ac:dyDescent="0.2">
      <c r="A1271" s="4" t="s">
        <v>194</v>
      </c>
      <c r="B1271">
        <v>1271</v>
      </c>
      <c r="C1271">
        <f>MOD(B1271,8)</f>
        <v>7</v>
      </c>
    </row>
    <row r="1272" spans="1:3" ht="16.5" x14ac:dyDescent="0.2">
      <c r="A1272" s="4" t="s">
        <v>194</v>
      </c>
      <c r="B1272">
        <v>1272</v>
      </c>
      <c r="C1272">
        <f>MOD(B1272,8)</f>
        <v>0</v>
      </c>
    </row>
    <row r="1273" spans="1:3" ht="16.5" x14ac:dyDescent="0.2">
      <c r="A1273" s="4" t="s">
        <v>193</v>
      </c>
      <c r="B1273" s="15">
        <v>1273</v>
      </c>
      <c r="C1273">
        <f>MOD(B1273,8)</f>
        <v>1</v>
      </c>
    </row>
    <row r="1274" spans="1:3" ht="16.5" x14ac:dyDescent="0.2">
      <c r="A1274" s="4" t="s">
        <v>193</v>
      </c>
      <c r="B1274">
        <v>1274</v>
      </c>
      <c r="C1274">
        <f>MOD(B1274,8)</f>
        <v>2</v>
      </c>
    </row>
    <row r="1275" spans="1:3" ht="16.5" x14ac:dyDescent="0.2">
      <c r="A1275" s="4" t="s">
        <v>193</v>
      </c>
      <c r="B1275" s="15">
        <v>1275</v>
      </c>
      <c r="C1275">
        <f>MOD(B1275,8)</f>
        <v>3</v>
      </c>
    </row>
    <row r="1276" spans="1:3" ht="16.5" x14ac:dyDescent="0.2">
      <c r="A1276" s="4" t="s">
        <v>193</v>
      </c>
      <c r="B1276">
        <v>1276</v>
      </c>
      <c r="C1276">
        <f>MOD(B1276,8)</f>
        <v>4</v>
      </c>
    </row>
    <row r="1277" spans="1:3" ht="16.5" x14ac:dyDescent="0.2">
      <c r="A1277" s="4" t="s">
        <v>193</v>
      </c>
      <c r="B1277">
        <v>1277</v>
      </c>
      <c r="C1277">
        <f>MOD(B1277,8)</f>
        <v>5</v>
      </c>
    </row>
    <row r="1278" spans="1:3" ht="16.5" x14ac:dyDescent="0.2">
      <c r="A1278" s="4" t="s">
        <v>193</v>
      </c>
      <c r="B1278" s="15">
        <v>1278</v>
      </c>
      <c r="C1278">
        <f>MOD(B1278,8)</f>
        <v>6</v>
      </c>
    </row>
    <row r="1279" spans="1:3" ht="16.5" x14ac:dyDescent="0.2">
      <c r="A1279" s="4" t="s">
        <v>193</v>
      </c>
      <c r="B1279">
        <v>1279</v>
      </c>
      <c r="C1279">
        <f>MOD(B1279,8)</f>
        <v>7</v>
      </c>
    </row>
    <row r="1280" spans="1:3" ht="16.5" x14ac:dyDescent="0.2">
      <c r="A1280" s="4" t="s">
        <v>193</v>
      </c>
      <c r="B1280" s="15">
        <v>1280</v>
      </c>
      <c r="C1280">
        <f>MOD(B1280,8)</f>
        <v>0</v>
      </c>
    </row>
    <row r="1281" spans="1:3" ht="16.5" x14ac:dyDescent="0.2">
      <c r="A1281" s="4" t="s">
        <v>192</v>
      </c>
      <c r="B1281">
        <v>1281</v>
      </c>
      <c r="C1281">
        <f>MOD(B1281,8)</f>
        <v>1</v>
      </c>
    </row>
    <row r="1282" spans="1:3" ht="16.5" x14ac:dyDescent="0.2">
      <c r="A1282" s="4" t="s">
        <v>192</v>
      </c>
      <c r="B1282">
        <v>1282</v>
      </c>
      <c r="C1282">
        <f>MOD(B1282,8)</f>
        <v>2</v>
      </c>
    </row>
    <row r="1283" spans="1:3" ht="16.5" x14ac:dyDescent="0.2">
      <c r="A1283" s="4" t="s">
        <v>192</v>
      </c>
      <c r="B1283" s="15">
        <v>1283</v>
      </c>
      <c r="C1283">
        <f>MOD(B1283,8)</f>
        <v>3</v>
      </c>
    </row>
    <row r="1284" spans="1:3" ht="16.5" x14ac:dyDescent="0.2">
      <c r="A1284" s="4" t="s">
        <v>192</v>
      </c>
      <c r="B1284">
        <v>1284</v>
      </c>
      <c r="C1284">
        <f>MOD(B1284,8)</f>
        <v>4</v>
      </c>
    </row>
    <row r="1285" spans="1:3" ht="16.5" x14ac:dyDescent="0.2">
      <c r="A1285" s="4" t="s">
        <v>192</v>
      </c>
      <c r="B1285" s="15">
        <v>1285</v>
      </c>
      <c r="C1285">
        <f>MOD(B1285,8)</f>
        <v>5</v>
      </c>
    </row>
    <row r="1286" spans="1:3" ht="16.5" x14ac:dyDescent="0.2">
      <c r="A1286" s="4" t="s">
        <v>192</v>
      </c>
      <c r="B1286">
        <v>1286</v>
      </c>
      <c r="C1286">
        <f>MOD(B1286,8)</f>
        <v>6</v>
      </c>
    </row>
    <row r="1287" spans="1:3" ht="16.5" x14ac:dyDescent="0.2">
      <c r="A1287" s="4" t="s">
        <v>192</v>
      </c>
      <c r="B1287">
        <v>1287</v>
      </c>
      <c r="C1287">
        <f>MOD(B1287,8)</f>
        <v>7</v>
      </c>
    </row>
    <row r="1288" spans="1:3" ht="16.5" x14ac:dyDescent="0.2">
      <c r="A1288" s="4" t="s">
        <v>192</v>
      </c>
      <c r="B1288" s="15">
        <v>1288</v>
      </c>
      <c r="C1288">
        <f>MOD(B1288,8)</f>
        <v>0</v>
      </c>
    </row>
    <row r="1289" spans="1:3" ht="16.5" x14ac:dyDescent="0.2">
      <c r="A1289" s="4" t="s">
        <v>191</v>
      </c>
      <c r="B1289">
        <v>1289</v>
      </c>
      <c r="C1289">
        <f>MOD(B1289,8)</f>
        <v>1</v>
      </c>
    </row>
    <row r="1290" spans="1:3" ht="16.5" x14ac:dyDescent="0.2">
      <c r="A1290" s="4" t="s">
        <v>191</v>
      </c>
      <c r="B1290" s="15">
        <v>1290</v>
      </c>
      <c r="C1290">
        <f>MOD(B1290,8)</f>
        <v>2</v>
      </c>
    </row>
    <row r="1291" spans="1:3" ht="16.5" x14ac:dyDescent="0.2">
      <c r="A1291" s="4" t="s">
        <v>191</v>
      </c>
      <c r="B1291">
        <v>1291</v>
      </c>
      <c r="C1291">
        <f>MOD(B1291,8)</f>
        <v>3</v>
      </c>
    </row>
    <row r="1292" spans="1:3" ht="16.5" x14ac:dyDescent="0.2">
      <c r="A1292" s="4" t="s">
        <v>191</v>
      </c>
      <c r="B1292">
        <v>1292</v>
      </c>
      <c r="C1292">
        <f>MOD(B1292,8)</f>
        <v>4</v>
      </c>
    </row>
    <row r="1293" spans="1:3" ht="16.5" x14ac:dyDescent="0.2">
      <c r="A1293" s="4" t="s">
        <v>191</v>
      </c>
      <c r="B1293" s="15">
        <v>1293</v>
      </c>
      <c r="C1293">
        <f>MOD(B1293,8)</f>
        <v>5</v>
      </c>
    </row>
    <row r="1294" spans="1:3" ht="16.5" x14ac:dyDescent="0.2">
      <c r="A1294" s="4" t="s">
        <v>191</v>
      </c>
      <c r="B1294">
        <v>1294</v>
      </c>
      <c r="C1294">
        <f>MOD(B1294,8)</f>
        <v>6</v>
      </c>
    </row>
    <row r="1295" spans="1:3" ht="16.5" x14ac:dyDescent="0.2">
      <c r="A1295" s="4" t="s">
        <v>191</v>
      </c>
      <c r="B1295" s="15">
        <v>1295</v>
      </c>
      <c r="C1295">
        <f>MOD(B1295,8)</f>
        <v>7</v>
      </c>
    </row>
    <row r="1296" spans="1:3" ht="16.5" x14ac:dyDescent="0.2">
      <c r="A1296" s="4" t="s">
        <v>191</v>
      </c>
      <c r="B1296">
        <v>1296</v>
      </c>
      <c r="C1296">
        <f>MOD(B1296,8)</f>
        <v>0</v>
      </c>
    </row>
    <row r="1297" spans="1:3" ht="16.5" x14ac:dyDescent="0.2">
      <c r="A1297" s="4" t="s">
        <v>190</v>
      </c>
      <c r="B1297">
        <v>1297</v>
      </c>
      <c r="C1297">
        <f>MOD(B1297,8)</f>
        <v>1</v>
      </c>
    </row>
    <row r="1298" spans="1:3" ht="16.5" x14ac:dyDescent="0.2">
      <c r="A1298" s="4" t="s">
        <v>190</v>
      </c>
      <c r="B1298" s="15">
        <v>1298</v>
      </c>
      <c r="C1298">
        <f>MOD(B1298,8)</f>
        <v>2</v>
      </c>
    </row>
    <row r="1299" spans="1:3" ht="16.5" x14ac:dyDescent="0.2">
      <c r="A1299" s="4" t="s">
        <v>190</v>
      </c>
      <c r="B1299">
        <v>1299</v>
      </c>
      <c r="C1299">
        <f>MOD(B1299,8)</f>
        <v>3</v>
      </c>
    </row>
    <row r="1300" spans="1:3" ht="16.5" x14ac:dyDescent="0.2">
      <c r="A1300" s="4" t="s">
        <v>190</v>
      </c>
      <c r="B1300" s="15">
        <v>1300</v>
      </c>
      <c r="C1300">
        <f>MOD(B1300,8)</f>
        <v>4</v>
      </c>
    </row>
    <row r="1301" spans="1:3" ht="16.5" x14ac:dyDescent="0.2">
      <c r="A1301" s="4" t="s">
        <v>190</v>
      </c>
      <c r="B1301">
        <v>1301</v>
      </c>
      <c r="C1301">
        <f>MOD(B1301,8)</f>
        <v>5</v>
      </c>
    </row>
    <row r="1302" spans="1:3" ht="16.5" x14ac:dyDescent="0.2">
      <c r="A1302" s="4" t="s">
        <v>190</v>
      </c>
      <c r="B1302">
        <v>1302</v>
      </c>
      <c r="C1302">
        <f>MOD(B1302,8)</f>
        <v>6</v>
      </c>
    </row>
    <row r="1303" spans="1:3" ht="16.5" x14ac:dyDescent="0.2">
      <c r="A1303" s="4" t="s">
        <v>190</v>
      </c>
      <c r="B1303" s="15">
        <v>1303</v>
      </c>
      <c r="C1303">
        <f>MOD(B1303,8)</f>
        <v>7</v>
      </c>
    </row>
    <row r="1304" spans="1:3" ht="16.5" x14ac:dyDescent="0.2">
      <c r="A1304" s="4" t="s">
        <v>190</v>
      </c>
      <c r="B1304">
        <v>1304</v>
      </c>
      <c r="C1304">
        <f>MOD(B1304,8)</f>
        <v>0</v>
      </c>
    </row>
    <row r="1305" spans="1:3" ht="16.5" x14ac:dyDescent="0.2">
      <c r="A1305" s="4" t="s">
        <v>189</v>
      </c>
      <c r="B1305" s="15">
        <v>1305</v>
      </c>
      <c r="C1305">
        <f>MOD(B1305,8)</f>
        <v>1</v>
      </c>
    </row>
    <row r="1306" spans="1:3" ht="16.5" x14ac:dyDescent="0.2">
      <c r="A1306" s="4" t="s">
        <v>189</v>
      </c>
      <c r="B1306">
        <v>1306</v>
      </c>
      <c r="C1306">
        <f>MOD(B1306,8)</f>
        <v>2</v>
      </c>
    </row>
    <row r="1307" spans="1:3" ht="16.5" x14ac:dyDescent="0.2">
      <c r="A1307" s="4" t="s">
        <v>189</v>
      </c>
      <c r="B1307">
        <v>1307</v>
      </c>
      <c r="C1307">
        <f>MOD(B1307,8)</f>
        <v>3</v>
      </c>
    </row>
    <row r="1308" spans="1:3" ht="16.5" x14ac:dyDescent="0.2">
      <c r="A1308" s="4" t="s">
        <v>189</v>
      </c>
      <c r="B1308" s="15">
        <v>1308</v>
      </c>
      <c r="C1308">
        <f>MOD(B1308,8)</f>
        <v>4</v>
      </c>
    </row>
    <row r="1309" spans="1:3" ht="16.5" x14ac:dyDescent="0.2">
      <c r="A1309" s="4" t="s">
        <v>189</v>
      </c>
      <c r="B1309">
        <v>1309</v>
      </c>
      <c r="C1309">
        <f>MOD(B1309,8)</f>
        <v>5</v>
      </c>
    </row>
    <row r="1310" spans="1:3" ht="16.5" x14ac:dyDescent="0.2">
      <c r="A1310" s="4" t="s">
        <v>189</v>
      </c>
      <c r="B1310" s="15">
        <v>1310</v>
      </c>
      <c r="C1310">
        <f>MOD(B1310,8)</f>
        <v>6</v>
      </c>
    </row>
    <row r="1311" spans="1:3" ht="16.5" x14ac:dyDescent="0.2">
      <c r="A1311" s="4" t="s">
        <v>189</v>
      </c>
      <c r="B1311">
        <v>1311</v>
      </c>
      <c r="C1311">
        <f>MOD(B1311,8)</f>
        <v>7</v>
      </c>
    </row>
    <row r="1312" spans="1:3" ht="16.5" x14ac:dyDescent="0.2">
      <c r="A1312" s="4" t="s">
        <v>189</v>
      </c>
      <c r="B1312">
        <v>1312</v>
      </c>
      <c r="C1312">
        <f>MOD(B1312,8)</f>
        <v>0</v>
      </c>
    </row>
    <row r="1313" spans="1:3" ht="16.5" x14ac:dyDescent="0.2">
      <c r="A1313" s="4" t="s">
        <v>188</v>
      </c>
      <c r="B1313" s="15">
        <v>1313</v>
      </c>
      <c r="C1313">
        <f>MOD(B1313,8)</f>
        <v>1</v>
      </c>
    </row>
    <row r="1314" spans="1:3" ht="16.5" x14ac:dyDescent="0.2">
      <c r="A1314" s="4" t="s">
        <v>188</v>
      </c>
      <c r="B1314">
        <v>1314</v>
      </c>
      <c r="C1314">
        <f>MOD(B1314,8)</f>
        <v>2</v>
      </c>
    </row>
    <row r="1315" spans="1:3" ht="16.5" x14ac:dyDescent="0.2">
      <c r="A1315" s="4" t="s">
        <v>188</v>
      </c>
      <c r="B1315" s="15">
        <v>1315</v>
      </c>
      <c r="C1315">
        <f>MOD(B1315,8)</f>
        <v>3</v>
      </c>
    </row>
    <row r="1316" spans="1:3" ht="16.5" x14ac:dyDescent="0.2">
      <c r="A1316" s="4" t="s">
        <v>188</v>
      </c>
      <c r="B1316">
        <v>1316</v>
      </c>
      <c r="C1316">
        <f>MOD(B1316,8)</f>
        <v>4</v>
      </c>
    </row>
    <row r="1317" spans="1:3" ht="16.5" x14ac:dyDescent="0.2">
      <c r="A1317" s="4" t="s">
        <v>188</v>
      </c>
      <c r="B1317">
        <v>1317</v>
      </c>
      <c r="C1317">
        <f>MOD(B1317,8)</f>
        <v>5</v>
      </c>
    </row>
    <row r="1318" spans="1:3" ht="16.5" x14ac:dyDescent="0.2">
      <c r="A1318" s="4" t="s">
        <v>188</v>
      </c>
      <c r="B1318" s="15">
        <v>1318</v>
      </c>
      <c r="C1318">
        <f>MOD(B1318,8)</f>
        <v>6</v>
      </c>
    </row>
    <row r="1319" spans="1:3" ht="16.5" x14ac:dyDescent="0.2">
      <c r="A1319" s="4" t="s">
        <v>188</v>
      </c>
      <c r="B1319">
        <v>1319</v>
      </c>
      <c r="C1319">
        <f>MOD(B1319,8)</f>
        <v>7</v>
      </c>
    </row>
    <row r="1320" spans="1:3" ht="16.5" x14ac:dyDescent="0.2">
      <c r="A1320" s="4" t="s">
        <v>188</v>
      </c>
      <c r="B1320" s="15">
        <v>1320</v>
      </c>
      <c r="C1320">
        <f>MOD(B1320,8)</f>
        <v>0</v>
      </c>
    </row>
    <row r="1321" spans="1:3" ht="16.5" x14ac:dyDescent="0.2">
      <c r="A1321" s="4" t="s">
        <v>187</v>
      </c>
      <c r="B1321">
        <v>1321</v>
      </c>
      <c r="C1321">
        <f>MOD(B1321,8)</f>
        <v>1</v>
      </c>
    </row>
    <row r="1322" spans="1:3" ht="16.5" x14ac:dyDescent="0.2">
      <c r="A1322" s="4" t="s">
        <v>187</v>
      </c>
      <c r="B1322">
        <v>1322</v>
      </c>
      <c r="C1322">
        <f>MOD(B1322,8)</f>
        <v>2</v>
      </c>
    </row>
    <row r="1323" spans="1:3" ht="16.5" x14ac:dyDescent="0.2">
      <c r="A1323" s="4" t="s">
        <v>187</v>
      </c>
      <c r="B1323" s="15">
        <v>1323</v>
      </c>
      <c r="C1323">
        <f>MOD(B1323,8)</f>
        <v>3</v>
      </c>
    </row>
    <row r="1324" spans="1:3" ht="16.5" x14ac:dyDescent="0.2">
      <c r="A1324" s="4" t="s">
        <v>187</v>
      </c>
      <c r="B1324">
        <v>1324</v>
      </c>
      <c r="C1324">
        <f>MOD(B1324,8)</f>
        <v>4</v>
      </c>
    </row>
    <row r="1325" spans="1:3" ht="16.5" x14ac:dyDescent="0.2">
      <c r="A1325" s="4" t="s">
        <v>187</v>
      </c>
      <c r="B1325" s="15">
        <v>1325</v>
      </c>
      <c r="C1325">
        <f>MOD(B1325,8)</f>
        <v>5</v>
      </c>
    </row>
    <row r="1326" spans="1:3" ht="16.5" x14ac:dyDescent="0.2">
      <c r="A1326" s="4" t="s">
        <v>187</v>
      </c>
      <c r="B1326">
        <v>1326</v>
      </c>
      <c r="C1326">
        <f>MOD(B1326,8)</f>
        <v>6</v>
      </c>
    </row>
    <row r="1327" spans="1:3" ht="16.5" x14ac:dyDescent="0.2">
      <c r="A1327" s="4" t="s">
        <v>187</v>
      </c>
      <c r="B1327">
        <v>1327</v>
      </c>
      <c r="C1327">
        <f>MOD(B1327,8)</f>
        <v>7</v>
      </c>
    </row>
    <row r="1328" spans="1:3" ht="16.5" x14ac:dyDescent="0.2">
      <c r="A1328" s="4" t="s">
        <v>187</v>
      </c>
      <c r="B1328" s="15">
        <v>1328</v>
      </c>
      <c r="C1328">
        <f>MOD(B1328,8)</f>
        <v>0</v>
      </c>
    </row>
    <row r="1329" spans="1:3" ht="16.5" x14ac:dyDescent="0.2">
      <c r="A1329" s="4" t="s">
        <v>186</v>
      </c>
      <c r="B1329">
        <v>1329</v>
      </c>
      <c r="C1329">
        <f>MOD(B1329,8)</f>
        <v>1</v>
      </c>
    </row>
    <row r="1330" spans="1:3" ht="16.5" x14ac:dyDescent="0.2">
      <c r="A1330" s="4" t="s">
        <v>186</v>
      </c>
      <c r="B1330" s="15">
        <v>1330</v>
      </c>
      <c r="C1330">
        <f>MOD(B1330,8)</f>
        <v>2</v>
      </c>
    </row>
    <row r="1331" spans="1:3" ht="16.5" x14ac:dyDescent="0.2">
      <c r="A1331" s="4" t="s">
        <v>186</v>
      </c>
      <c r="B1331">
        <v>1331</v>
      </c>
      <c r="C1331">
        <f>MOD(B1331,8)</f>
        <v>3</v>
      </c>
    </row>
    <row r="1332" spans="1:3" ht="16.5" x14ac:dyDescent="0.2">
      <c r="A1332" s="4" t="s">
        <v>186</v>
      </c>
      <c r="B1332">
        <v>1332</v>
      </c>
      <c r="C1332">
        <f>MOD(B1332,8)</f>
        <v>4</v>
      </c>
    </row>
    <row r="1333" spans="1:3" ht="16.5" x14ac:dyDescent="0.2">
      <c r="A1333" s="4" t="s">
        <v>186</v>
      </c>
      <c r="B1333" s="15">
        <v>1333</v>
      </c>
      <c r="C1333">
        <f>MOD(B1333,8)</f>
        <v>5</v>
      </c>
    </row>
    <row r="1334" spans="1:3" ht="16.5" x14ac:dyDescent="0.2">
      <c r="A1334" s="4" t="s">
        <v>186</v>
      </c>
      <c r="B1334">
        <v>1334</v>
      </c>
      <c r="C1334">
        <f>MOD(B1334,8)</f>
        <v>6</v>
      </c>
    </row>
    <row r="1335" spans="1:3" ht="16.5" x14ac:dyDescent="0.2">
      <c r="A1335" s="4" t="s">
        <v>186</v>
      </c>
      <c r="B1335" s="15">
        <v>1335</v>
      </c>
      <c r="C1335">
        <f>MOD(B1335,8)</f>
        <v>7</v>
      </c>
    </row>
    <row r="1336" spans="1:3" ht="16.5" x14ac:dyDescent="0.2">
      <c r="A1336" s="4" t="s">
        <v>186</v>
      </c>
      <c r="B1336">
        <v>1336</v>
      </c>
      <c r="C1336">
        <f>MOD(B1336,8)</f>
        <v>0</v>
      </c>
    </row>
    <row r="1337" spans="1:3" ht="16.5" x14ac:dyDescent="0.2">
      <c r="A1337" s="4" t="s">
        <v>185</v>
      </c>
      <c r="B1337">
        <v>1337</v>
      </c>
      <c r="C1337">
        <f>MOD(B1337,8)</f>
        <v>1</v>
      </c>
    </row>
    <row r="1338" spans="1:3" ht="16.5" x14ac:dyDescent="0.2">
      <c r="A1338" s="4" t="s">
        <v>185</v>
      </c>
      <c r="B1338" s="15">
        <v>1338</v>
      </c>
      <c r="C1338">
        <f>MOD(B1338,8)</f>
        <v>2</v>
      </c>
    </row>
    <row r="1339" spans="1:3" ht="16.5" x14ac:dyDescent="0.2">
      <c r="A1339" s="4" t="s">
        <v>185</v>
      </c>
      <c r="B1339">
        <v>1339</v>
      </c>
      <c r="C1339">
        <f>MOD(B1339,8)</f>
        <v>3</v>
      </c>
    </row>
    <row r="1340" spans="1:3" ht="16.5" x14ac:dyDescent="0.2">
      <c r="A1340" s="4" t="s">
        <v>185</v>
      </c>
      <c r="B1340" s="15">
        <v>1340</v>
      </c>
      <c r="C1340">
        <f>MOD(B1340,8)</f>
        <v>4</v>
      </c>
    </row>
    <row r="1341" spans="1:3" ht="16.5" x14ac:dyDescent="0.2">
      <c r="A1341" s="4" t="s">
        <v>185</v>
      </c>
      <c r="B1341">
        <v>1341</v>
      </c>
      <c r="C1341">
        <f>MOD(B1341,8)</f>
        <v>5</v>
      </c>
    </row>
    <row r="1342" spans="1:3" ht="16.5" x14ac:dyDescent="0.2">
      <c r="A1342" s="4" t="s">
        <v>185</v>
      </c>
      <c r="B1342">
        <v>1342</v>
      </c>
      <c r="C1342">
        <f>MOD(B1342,8)</f>
        <v>6</v>
      </c>
    </row>
    <row r="1343" spans="1:3" ht="16.5" x14ac:dyDescent="0.2">
      <c r="A1343" s="4" t="s">
        <v>185</v>
      </c>
      <c r="B1343" s="15">
        <v>1343</v>
      </c>
      <c r="C1343">
        <f>MOD(B1343,8)</f>
        <v>7</v>
      </c>
    </row>
    <row r="1344" spans="1:3" ht="16.5" x14ac:dyDescent="0.2">
      <c r="A1344" s="4" t="s">
        <v>185</v>
      </c>
      <c r="B1344">
        <v>1344</v>
      </c>
      <c r="C1344">
        <f>MOD(B1344,8)</f>
        <v>0</v>
      </c>
    </row>
    <row r="1345" spans="1:3" ht="16.5" x14ac:dyDescent="0.2">
      <c r="A1345" s="4" t="s">
        <v>184</v>
      </c>
      <c r="B1345" s="15">
        <v>1345</v>
      </c>
      <c r="C1345">
        <f>MOD(B1345,8)</f>
        <v>1</v>
      </c>
    </row>
    <row r="1346" spans="1:3" ht="16.5" x14ac:dyDescent="0.2">
      <c r="A1346" s="4" t="s">
        <v>184</v>
      </c>
      <c r="B1346">
        <v>1346</v>
      </c>
      <c r="C1346">
        <f>MOD(B1346,8)</f>
        <v>2</v>
      </c>
    </row>
    <row r="1347" spans="1:3" ht="16.5" x14ac:dyDescent="0.2">
      <c r="A1347" s="4" t="s">
        <v>184</v>
      </c>
      <c r="B1347">
        <v>1347</v>
      </c>
      <c r="C1347">
        <f>MOD(B1347,8)</f>
        <v>3</v>
      </c>
    </row>
    <row r="1348" spans="1:3" ht="16.5" x14ac:dyDescent="0.2">
      <c r="A1348" s="4" t="s">
        <v>184</v>
      </c>
      <c r="B1348" s="15">
        <v>1348</v>
      </c>
      <c r="C1348">
        <f>MOD(B1348,8)</f>
        <v>4</v>
      </c>
    </row>
    <row r="1349" spans="1:3" ht="16.5" x14ac:dyDescent="0.2">
      <c r="A1349" s="4" t="s">
        <v>184</v>
      </c>
      <c r="B1349">
        <v>1349</v>
      </c>
      <c r="C1349">
        <f>MOD(B1349,8)</f>
        <v>5</v>
      </c>
    </row>
    <row r="1350" spans="1:3" ht="16.5" x14ac:dyDescent="0.2">
      <c r="A1350" s="4" t="s">
        <v>184</v>
      </c>
      <c r="B1350" s="15">
        <v>1350</v>
      </c>
      <c r="C1350">
        <f>MOD(B1350,8)</f>
        <v>6</v>
      </c>
    </row>
    <row r="1351" spans="1:3" ht="16.5" x14ac:dyDescent="0.2">
      <c r="A1351" s="4" t="s">
        <v>184</v>
      </c>
      <c r="B1351">
        <v>1351</v>
      </c>
      <c r="C1351">
        <f>MOD(B1351,8)</f>
        <v>7</v>
      </c>
    </row>
    <row r="1352" spans="1:3" ht="16.5" x14ac:dyDescent="0.2">
      <c r="A1352" s="4" t="s">
        <v>184</v>
      </c>
      <c r="B1352">
        <v>1352</v>
      </c>
      <c r="C1352">
        <f>MOD(B1352,8)</f>
        <v>0</v>
      </c>
    </row>
    <row r="1353" spans="1:3" ht="16.5" x14ac:dyDescent="0.2">
      <c r="A1353" s="4" t="s">
        <v>183</v>
      </c>
      <c r="B1353" s="15">
        <v>1353</v>
      </c>
      <c r="C1353">
        <f>MOD(B1353,8)</f>
        <v>1</v>
      </c>
    </row>
    <row r="1354" spans="1:3" ht="16.5" x14ac:dyDescent="0.2">
      <c r="A1354" s="4" t="s">
        <v>183</v>
      </c>
      <c r="B1354">
        <v>1354</v>
      </c>
      <c r="C1354">
        <f>MOD(B1354,8)</f>
        <v>2</v>
      </c>
    </row>
    <row r="1355" spans="1:3" ht="16.5" x14ac:dyDescent="0.2">
      <c r="A1355" s="4" t="s">
        <v>183</v>
      </c>
      <c r="B1355" s="15">
        <v>1355</v>
      </c>
      <c r="C1355">
        <f>MOD(B1355,8)</f>
        <v>3</v>
      </c>
    </row>
    <row r="1356" spans="1:3" ht="16.5" x14ac:dyDescent="0.2">
      <c r="A1356" s="4" t="s">
        <v>183</v>
      </c>
      <c r="B1356">
        <v>1356</v>
      </c>
      <c r="C1356">
        <f>MOD(B1356,8)</f>
        <v>4</v>
      </c>
    </row>
    <row r="1357" spans="1:3" ht="16.5" x14ac:dyDescent="0.2">
      <c r="A1357" s="4" t="s">
        <v>183</v>
      </c>
      <c r="B1357">
        <v>1357</v>
      </c>
      <c r="C1357">
        <f>MOD(B1357,8)</f>
        <v>5</v>
      </c>
    </row>
    <row r="1358" spans="1:3" ht="16.5" x14ac:dyDescent="0.2">
      <c r="A1358" s="4" t="s">
        <v>183</v>
      </c>
      <c r="B1358" s="15">
        <v>1358</v>
      </c>
      <c r="C1358">
        <f>MOD(B1358,8)</f>
        <v>6</v>
      </c>
    </row>
    <row r="1359" spans="1:3" ht="16.5" x14ac:dyDescent="0.2">
      <c r="A1359" s="4" t="s">
        <v>183</v>
      </c>
      <c r="B1359">
        <v>1359</v>
      </c>
      <c r="C1359">
        <f>MOD(B1359,8)</f>
        <v>7</v>
      </c>
    </row>
    <row r="1360" spans="1:3" ht="16.5" x14ac:dyDescent="0.2">
      <c r="A1360" s="4" t="s">
        <v>183</v>
      </c>
      <c r="B1360" s="15">
        <v>1360</v>
      </c>
      <c r="C1360">
        <f>MOD(B1360,8)</f>
        <v>0</v>
      </c>
    </row>
    <row r="1361" spans="1:3" ht="16.5" x14ac:dyDescent="0.2">
      <c r="A1361" s="4" t="s">
        <v>182</v>
      </c>
      <c r="B1361">
        <v>1361</v>
      </c>
      <c r="C1361">
        <f>MOD(B1361,8)</f>
        <v>1</v>
      </c>
    </row>
    <row r="1362" spans="1:3" ht="16.5" x14ac:dyDescent="0.2">
      <c r="A1362" s="4" t="s">
        <v>182</v>
      </c>
      <c r="B1362">
        <v>1362</v>
      </c>
      <c r="C1362">
        <f>MOD(B1362,8)</f>
        <v>2</v>
      </c>
    </row>
    <row r="1363" spans="1:3" ht="16.5" x14ac:dyDescent="0.2">
      <c r="A1363" s="4" t="s">
        <v>182</v>
      </c>
      <c r="B1363" s="15">
        <v>1363</v>
      </c>
      <c r="C1363">
        <f>MOD(B1363,8)</f>
        <v>3</v>
      </c>
    </row>
    <row r="1364" spans="1:3" ht="16.5" x14ac:dyDescent="0.2">
      <c r="A1364" s="4" t="s">
        <v>182</v>
      </c>
      <c r="B1364">
        <v>1364</v>
      </c>
      <c r="C1364">
        <f>MOD(B1364,8)</f>
        <v>4</v>
      </c>
    </row>
    <row r="1365" spans="1:3" ht="16.5" x14ac:dyDescent="0.2">
      <c r="A1365" s="4" t="s">
        <v>182</v>
      </c>
      <c r="B1365" s="15">
        <v>1365</v>
      </c>
      <c r="C1365">
        <f>MOD(B1365,8)</f>
        <v>5</v>
      </c>
    </row>
    <row r="1366" spans="1:3" ht="16.5" x14ac:dyDescent="0.2">
      <c r="A1366" s="4" t="s">
        <v>182</v>
      </c>
      <c r="B1366">
        <v>1366</v>
      </c>
      <c r="C1366">
        <f>MOD(B1366,8)</f>
        <v>6</v>
      </c>
    </row>
    <row r="1367" spans="1:3" ht="16.5" x14ac:dyDescent="0.2">
      <c r="A1367" s="4" t="s">
        <v>182</v>
      </c>
      <c r="B1367">
        <v>1367</v>
      </c>
      <c r="C1367">
        <f>MOD(B1367,8)</f>
        <v>7</v>
      </c>
    </row>
    <row r="1368" spans="1:3" ht="16.5" x14ac:dyDescent="0.2">
      <c r="A1368" s="4" t="s">
        <v>182</v>
      </c>
      <c r="B1368" s="15">
        <v>1368</v>
      </c>
      <c r="C1368">
        <f>MOD(B1368,8)</f>
        <v>0</v>
      </c>
    </row>
    <row r="1369" spans="1:3" ht="16.5" x14ac:dyDescent="0.2">
      <c r="A1369" s="4" t="s">
        <v>181</v>
      </c>
      <c r="B1369">
        <v>1369</v>
      </c>
      <c r="C1369">
        <f>MOD(B1369,8)</f>
        <v>1</v>
      </c>
    </row>
    <row r="1370" spans="1:3" ht="16.5" x14ac:dyDescent="0.2">
      <c r="A1370" s="4" t="s">
        <v>181</v>
      </c>
      <c r="B1370" s="15">
        <v>1370</v>
      </c>
      <c r="C1370">
        <f>MOD(B1370,8)</f>
        <v>2</v>
      </c>
    </row>
    <row r="1371" spans="1:3" ht="16.5" x14ac:dyDescent="0.2">
      <c r="A1371" s="4" t="s">
        <v>181</v>
      </c>
      <c r="B1371">
        <v>1371</v>
      </c>
      <c r="C1371">
        <f>MOD(B1371,8)</f>
        <v>3</v>
      </c>
    </row>
    <row r="1372" spans="1:3" ht="16.5" x14ac:dyDescent="0.2">
      <c r="A1372" s="4" t="s">
        <v>181</v>
      </c>
      <c r="B1372">
        <v>1372</v>
      </c>
      <c r="C1372">
        <f>MOD(B1372,8)</f>
        <v>4</v>
      </c>
    </row>
    <row r="1373" spans="1:3" ht="16.5" x14ac:dyDescent="0.2">
      <c r="A1373" s="4" t="s">
        <v>181</v>
      </c>
      <c r="B1373" s="15">
        <v>1373</v>
      </c>
      <c r="C1373">
        <f>MOD(B1373,8)</f>
        <v>5</v>
      </c>
    </row>
    <row r="1374" spans="1:3" ht="16.5" x14ac:dyDescent="0.2">
      <c r="A1374" s="4" t="s">
        <v>181</v>
      </c>
      <c r="B1374">
        <v>1374</v>
      </c>
      <c r="C1374">
        <f>MOD(B1374,8)</f>
        <v>6</v>
      </c>
    </row>
    <row r="1375" spans="1:3" ht="16.5" x14ac:dyDescent="0.2">
      <c r="A1375" s="4" t="s">
        <v>181</v>
      </c>
      <c r="B1375" s="15">
        <v>1375</v>
      </c>
      <c r="C1375">
        <f>MOD(B1375,8)</f>
        <v>7</v>
      </c>
    </row>
    <row r="1376" spans="1:3" ht="16.5" x14ac:dyDescent="0.2">
      <c r="A1376" s="4" t="s">
        <v>181</v>
      </c>
      <c r="B1376">
        <v>1376</v>
      </c>
      <c r="C1376">
        <f>MOD(B1376,8)</f>
        <v>0</v>
      </c>
    </row>
    <row r="1377" spans="1:3" ht="16.5" x14ac:dyDescent="0.2">
      <c r="A1377" s="4" t="s">
        <v>180</v>
      </c>
      <c r="B1377">
        <v>1377</v>
      </c>
      <c r="C1377">
        <f>MOD(B1377,8)</f>
        <v>1</v>
      </c>
    </row>
    <row r="1378" spans="1:3" ht="16.5" x14ac:dyDescent="0.2">
      <c r="A1378" s="4" t="s">
        <v>180</v>
      </c>
      <c r="B1378" s="15">
        <v>1378</v>
      </c>
      <c r="C1378">
        <f>MOD(B1378,8)</f>
        <v>2</v>
      </c>
    </row>
    <row r="1379" spans="1:3" ht="16.5" x14ac:dyDescent="0.2">
      <c r="A1379" s="4" t="s">
        <v>180</v>
      </c>
      <c r="B1379">
        <v>1379</v>
      </c>
      <c r="C1379">
        <f>MOD(B1379,8)</f>
        <v>3</v>
      </c>
    </row>
    <row r="1380" spans="1:3" ht="16.5" x14ac:dyDescent="0.2">
      <c r="A1380" s="4" t="s">
        <v>180</v>
      </c>
      <c r="B1380" s="15">
        <v>1380</v>
      </c>
      <c r="C1380">
        <f>MOD(B1380,8)</f>
        <v>4</v>
      </c>
    </row>
    <row r="1381" spans="1:3" ht="16.5" x14ac:dyDescent="0.2">
      <c r="A1381" s="4" t="s">
        <v>180</v>
      </c>
      <c r="B1381">
        <v>1381</v>
      </c>
      <c r="C1381">
        <f>MOD(B1381,8)</f>
        <v>5</v>
      </c>
    </row>
    <row r="1382" spans="1:3" ht="16.5" x14ac:dyDescent="0.2">
      <c r="A1382" s="4" t="s">
        <v>180</v>
      </c>
      <c r="B1382">
        <v>1382</v>
      </c>
      <c r="C1382">
        <f>MOD(B1382,8)</f>
        <v>6</v>
      </c>
    </row>
    <row r="1383" spans="1:3" ht="16.5" x14ac:dyDescent="0.2">
      <c r="A1383" s="4" t="s">
        <v>180</v>
      </c>
      <c r="B1383" s="15">
        <v>1383</v>
      </c>
      <c r="C1383">
        <f>MOD(B1383,8)</f>
        <v>7</v>
      </c>
    </row>
    <row r="1384" spans="1:3" ht="16.5" x14ac:dyDescent="0.2">
      <c r="A1384" s="4" t="s">
        <v>180</v>
      </c>
      <c r="B1384">
        <v>1384</v>
      </c>
      <c r="C1384">
        <f>MOD(B1384,8)</f>
        <v>0</v>
      </c>
    </row>
    <row r="1385" spans="1:3" ht="16.5" x14ac:dyDescent="0.2">
      <c r="A1385" s="4" t="s">
        <v>179</v>
      </c>
      <c r="B1385" s="15">
        <v>1385</v>
      </c>
      <c r="C1385">
        <f>MOD(B1385,8)</f>
        <v>1</v>
      </c>
    </row>
    <row r="1386" spans="1:3" ht="16.5" x14ac:dyDescent="0.2">
      <c r="A1386" s="4" t="s">
        <v>179</v>
      </c>
      <c r="B1386">
        <v>1386</v>
      </c>
      <c r="C1386">
        <f>MOD(B1386,8)</f>
        <v>2</v>
      </c>
    </row>
    <row r="1387" spans="1:3" ht="16.5" x14ac:dyDescent="0.2">
      <c r="A1387" s="4" t="s">
        <v>179</v>
      </c>
      <c r="B1387">
        <v>1387</v>
      </c>
      <c r="C1387">
        <f>MOD(B1387,8)</f>
        <v>3</v>
      </c>
    </row>
    <row r="1388" spans="1:3" ht="16.5" x14ac:dyDescent="0.2">
      <c r="A1388" s="4" t="s">
        <v>179</v>
      </c>
      <c r="B1388" s="15">
        <v>1388</v>
      </c>
      <c r="C1388">
        <f>MOD(B1388,8)</f>
        <v>4</v>
      </c>
    </row>
    <row r="1389" spans="1:3" ht="16.5" x14ac:dyDescent="0.2">
      <c r="A1389" s="4" t="s">
        <v>179</v>
      </c>
      <c r="B1389">
        <v>1389</v>
      </c>
      <c r="C1389">
        <f>MOD(B1389,8)</f>
        <v>5</v>
      </c>
    </row>
    <row r="1390" spans="1:3" ht="16.5" x14ac:dyDescent="0.2">
      <c r="A1390" s="4" t="s">
        <v>179</v>
      </c>
      <c r="B1390" s="15">
        <v>1390</v>
      </c>
      <c r="C1390">
        <f>MOD(B1390,8)</f>
        <v>6</v>
      </c>
    </row>
    <row r="1391" spans="1:3" ht="16.5" x14ac:dyDescent="0.2">
      <c r="A1391" s="4" t="s">
        <v>179</v>
      </c>
      <c r="B1391">
        <v>1391</v>
      </c>
      <c r="C1391">
        <f>MOD(B1391,8)</f>
        <v>7</v>
      </c>
    </row>
    <row r="1392" spans="1:3" ht="16.5" x14ac:dyDescent="0.2">
      <c r="A1392" s="4" t="s">
        <v>179</v>
      </c>
      <c r="B1392">
        <v>1392</v>
      </c>
      <c r="C1392">
        <f>MOD(B1392,8)</f>
        <v>0</v>
      </c>
    </row>
    <row r="1393" spans="1:3" ht="16.5" x14ac:dyDescent="0.2">
      <c r="A1393" s="4" t="s">
        <v>178</v>
      </c>
      <c r="B1393" s="15">
        <v>1393</v>
      </c>
      <c r="C1393">
        <f>MOD(B1393,8)</f>
        <v>1</v>
      </c>
    </row>
    <row r="1394" spans="1:3" ht="16.5" x14ac:dyDescent="0.2">
      <c r="A1394" s="4" t="s">
        <v>178</v>
      </c>
      <c r="B1394">
        <v>1394</v>
      </c>
      <c r="C1394">
        <f>MOD(B1394,8)</f>
        <v>2</v>
      </c>
    </row>
    <row r="1395" spans="1:3" ht="16.5" x14ac:dyDescent="0.2">
      <c r="A1395" s="4" t="s">
        <v>178</v>
      </c>
      <c r="B1395" s="15">
        <v>1395</v>
      </c>
      <c r="C1395">
        <f>MOD(B1395,8)</f>
        <v>3</v>
      </c>
    </row>
    <row r="1396" spans="1:3" ht="16.5" x14ac:dyDescent="0.2">
      <c r="A1396" s="4" t="s">
        <v>178</v>
      </c>
      <c r="B1396">
        <v>1396</v>
      </c>
      <c r="C1396">
        <f>MOD(B1396,8)</f>
        <v>4</v>
      </c>
    </row>
    <row r="1397" spans="1:3" ht="16.5" x14ac:dyDescent="0.2">
      <c r="A1397" s="4" t="s">
        <v>178</v>
      </c>
      <c r="B1397">
        <v>1397</v>
      </c>
      <c r="C1397">
        <f>MOD(B1397,8)</f>
        <v>5</v>
      </c>
    </row>
    <row r="1398" spans="1:3" ht="16.5" x14ac:dyDescent="0.2">
      <c r="A1398" s="4" t="s">
        <v>178</v>
      </c>
      <c r="B1398" s="15">
        <v>1398</v>
      </c>
      <c r="C1398">
        <f>MOD(B1398,8)</f>
        <v>6</v>
      </c>
    </row>
    <row r="1399" spans="1:3" ht="16.5" x14ac:dyDescent="0.2">
      <c r="A1399" s="4" t="s">
        <v>178</v>
      </c>
      <c r="B1399">
        <v>1399</v>
      </c>
      <c r="C1399">
        <f>MOD(B1399,8)</f>
        <v>7</v>
      </c>
    </row>
    <row r="1400" spans="1:3" ht="16.5" x14ac:dyDescent="0.2">
      <c r="A1400" s="4" t="s">
        <v>178</v>
      </c>
      <c r="B1400" s="15">
        <v>1400</v>
      </c>
      <c r="C1400">
        <f>MOD(B1400,8)</f>
        <v>0</v>
      </c>
    </row>
    <row r="1401" spans="1:3" ht="16.5" x14ac:dyDescent="0.2">
      <c r="A1401" s="4" t="s">
        <v>177</v>
      </c>
      <c r="B1401">
        <v>1401</v>
      </c>
      <c r="C1401">
        <f>MOD(B1401,8)</f>
        <v>1</v>
      </c>
    </row>
    <row r="1402" spans="1:3" ht="16.5" x14ac:dyDescent="0.2">
      <c r="A1402" s="4" t="s">
        <v>177</v>
      </c>
      <c r="B1402">
        <v>1402</v>
      </c>
      <c r="C1402">
        <f>MOD(B1402,8)</f>
        <v>2</v>
      </c>
    </row>
    <row r="1403" spans="1:3" ht="16.5" x14ac:dyDescent="0.2">
      <c r="A1403" s="4" t="s">
        <v>177</v>
      </c>
      <c r="B1403" s="15">
        <v>1403</v>
      </c>
      <c r="C1403">
        <f>MOD(B1403,8)</f>
        <v>3</v>
      </c>
    </row>
    <row r="1404" spans="1:3" ht="16.5" x14ac:dyDescent="0.2">
      <c r="A1404" s="4" t="s">
        <v>177</v>
      </c>
      <c r="B1404">
        <v>1404</v>
      </c>
      <c r="C1404">
        <f>MOD(B1404,8)</f>
        <v>4</v>
      </c>
    </row>
    <row r="1405" spans="1:3" ht="16.5" x14ac:dyDescent="0.2">
      <c r="A1405" s="4" t="s">
        <v>177</v>
      </c>
      <c r="B1405" s="15">
        <v>1405</v>
      </c>
      <c r="C1405">
        <f>MOD(B1405,8)</f>
        <v>5</v>
      </c>
    </row>
    <row r="1406" spans="1:3" ht="16.5" x14ac:dyDescent="0.2">
      <c r="A1406" s="4" t="s">
        <v>177</v>
      </c>
      <c r="B1406">
        <v>1406</v>
      </c>
      <c r="C1406">
        <f>MOD(B1406,8)</f>
        <v>6</v>
      </c>
    </row>
    <row r="1407" spans="1:3" ht="16.5" x14ac:dyDescent="0.2">
      <c r="A1407" s="4" t="s">
        <v>177</v>
      </c>
      <c r="B1407">
        <v>1407</v>
      </c>
      <c r="C1407">
        <f>MOD(B1407,8)</f>
        <v>7</v>
      </c>
    </row>
    <row r="1408" spans="1:3" ht="16.5" x14ac:dyDescent="0.2">
      <c r="A1408" s="4" t="s">
        <v>177</v>
      </c>
      <c r="B1408" s="15">
        <v>1408</v>
      </c>
      <c r="C1408">
        <f>MOD(B1408,8)</f>
        <v>0</v>
      </c>
    </row>
    <row r="1409" spans="1:3" ht="16.5" x14ac:dyDescent="0.2">
      <c r="A1409" s="4" t="s">
        <v>176</v>
      </c>
      <c r="B1409">
        <v>1409</v>
      </c>
      <c r="C1409">
        <f>MOD(B1409,8)</f>
        <v>1</v>
      </c>
    </row>
    <row r="1410" spans="1:3" ht="16.5" x14ac:dyDescent="0.2">
      <c r="A1410" s="4" t="s">
        <v>176</v>
      </c>
      <c r="B1410" s="15">
        <v>1410</v>
      </c>
      <c r="C1410">
        <f>MOD(B1410,8)</f>
        <v>2</v>
      </c>
    </row>
    <row r="1411" spans="1:3" ht="16.5" x14ac:dyDescent="0.2">
      <c r="A1411" s="4" t="s">
        <v>176</v>
      </c>
      <c r="B1411">
        <v>1411</v>
      </c>
      <c r="C1411">
        <f>MOD(B1411,8)</f>
        <v>3</v>
      </c>
    </row>
    <row r="1412" spans="1:3" ht="16.5" x14ac:dyDescent="0.2">
      <c r="A1412" s="4" t="s">
        <v>176</v>
      </c>
      <c r="B1412">
        <v>1412</v>
      </c>
      <c r="C1412">
        <f>MOD(B1412,8)</f>
        <v>4</v>
      </c>
    </row>
    <row r="1413" spans="1:3" ht="16.5" x14ac:dyDescent="0.2">
      <c r="A1413" s="4" t="s">
        <v>176</v>
      </c>
      <c r="B1413" s="15">
        <v>1413</v>
      </c>
      <c r="C1413">
        <f>MOD(B1413,8)</f>
        <v>5</v>
      </c>
    </row>
    <row r="1414" spans="1:3" ht="16.5" x14ac:dyDescent="0.2">
      <c r="A1414" s="4" t="s">
        <v>176</v>
      </c>
      <c r="B1414">
        <v>1414</v>
      </c>
      <c r="C1414">
        <f>MOD(B1414,8)</f>
        <v>6</v>
      </c>
    </row>
    <row r="1415" spans="1:3" ht="16.5" x14ac:dyDescent="0.2">
      <c r="A1415" s="4" t="s">
        <v>176</v>
      </c>
      <c r="B1415" s="15">
        <v>1415</v>
      </c>
      <c r="C1415">
        <f>MOD(B1415,8)</f>
        <v>7</v>
      </c>
    </row>
    <row r="1416" spans="1:3" ht="16.5" x14ac:dyDescent="0.2">
      <c r="A1416" s="4" t="s">
        <v>176</v>
      </c>
      <c r="B1416">
        <v>1416</v>
      </c>
      <c r="C1416">
        <f>MOD(B1416,8)</f>
        <v>0</v>
      </c>
    </row>
    <row r="1417" spans="1:3" ht="16.5" x14ac:dyDescent="0.2">
      <c r="A1417" s="4" t="s">
        <v>175</v>
      </c>
      <c r="B1417">
        <v>1417</v>
      </c>
      <c r="C1417">
        <f>MOD(B1417,8)</f>
        <v>1</v>
      </c>
    </row>
    <row r="1418" spans="1:3" ht="16.5" x14ac:dyDescent="0.2">
      <c r="A1418" s="4" t="s">
        <v>175</v>
      </c>
      <c r="B1418" s="15">
        <v>1418</v>
      </c>
      <c r="C1418">
        <f>MOD(B1418,8)</f>
        <v>2</v>
      </c>
    </row>
    <row r="1419" spans="1:3" ht="16.5" x14ac:dyDescent="0.2">
      <c r="A1419" s="4" t="s">
        <v>175</v>
      </c>
      <c r="B1419">
        <v>1419</v>
      </c>
      <c r="C1419">
        <f>MOD(B1419,8)</f>
        <v>3</v>
      </c>
    </row>
    <row r="1420" spans="1:3" ht="16.5" x14ac:dyDescent="0.2">
      <c r="A1420" s="4" t="s">
        <v>175</v>
      </c>
      <c r="B1420" s="15">
        <v>1420</v>
      </c>
      <c r="C1420">
        <f>MOD(B1420,8)</f>
        <v>4</v>
      </c>
    </row>
    <row r="1421" spans="1:3" ht="16.5" x14ac:dyDescent="0.2">
      <c r="A1421" s="4" t="s">
        <v>175</v>
      </c>
      <c r="B1421">
        <v>1421</v>
      </c>
      <c r="C1421">
        <f>MOD(B1421,8)</f>
        <v>5</v>
      </c>
    </row>
    <row r="1422" spans="1:3" ht="16.5" x14ac:dyDescent="0.2">
      <c r="A1422" s="4" t="s">
        <v>175</v>
      </c>
      <c r="B1422">
        <v>1422</v>
      </c>
      <c r="C1422">
        <f>MOD(B1422,8)</f>
        <v>6</v>
      </c>
    </row>
    <row r="1423" spans="1:3" ht="16.5" x14ac:dyDescent="0.2">
      <c r="A1423" s="4" t="s">
        <v>175</v>
      </c>
      <c r="B1423" s="15">
        <v>1423</v>
      </c>
      <c r="C1423">
        <f>MOD(B1423,8)</f>
        <v>7</v>
      </c>
    </row>
    <row r="1424" spans="1:3" ht="16.5" x14ac:dyDescent="0.2">
      <c r="A1424" s="4" t="s">
        <v>175</v>
      </c>
      <c r="B1424">
        <v>1424</v>
      </c>
      <c r="C1424">
        <f>MOD(B1424,8)</f>
        <v>0</v>
      </c>
    </row>
    <row r="1425" spans="1:3" ht="16.5" x14ac:dyDescent="0.2">
      <c r="A1425" s="4" t="s">
        <v>174</v>
      </c>
      <c r="B1425" s="15">
        <v>1425</v>
      </c>
      <c r="C1425">
        <f>MOD(B1425,8)</f>
        <v>1</v>
      </c>
    </row>
    <row r="1426" spans="1:3" ht="16.5" x14ac:dyDescent="0.2">
      <c r="A1426" s="4" t="s">
        <v>174</v>
      </c>
      <c r="B1426">
        <v>1426</v>
      </c>
      <c r="C1426">
        <f>MOD(B1426,8)</f>
        <v>2</v>
      </c>
    </row>
    <row r="1427" spans="1:3" ht="16.5" x14ac:dyDescent="0.2">
      <c r="A1427" s="4" t="s">
        <v>174</v>
      </c>
      <c r="B1427">
        <v>1427</v>
      </c>
      <c r="C1427">
        <f>MOD(B1427,8)</f>
        <v>3</v>
      </c>
    </row>
    <row r="1428" spans="1:3" ht="16.5" x14ac:dyDescent="0.2">
      <c r="A1428" s="4" t="s">
        <v>174</v>
      </c>
      <c r="B1428" s="15">
        <v>1428</v>
      </c>
      <c r="C1428">
        <f>MOD(B1428,8)</f>
        <v>4</v>
      </c>
    </row>
    <row r="1429" spans="1:3" ht="16.5" x14ac:dyDescent="0.2">
      <c r="A1429" s="4" t="s">
        <v>174</v>
      </c>
      <c r="B1429">
        <v>1429</v>
      </c>
      <c r="C1429">
        <f>MOD(B1429,8)</f>
        <v>5</v>
      </c>
    </row>
    <row r="1430" spans="1:3" ht="16.5" x14ac:dyDescent="0.2">
      <c r="A1430" s="4" t="s">
        <v>174</v>
      </c>
      <c r="B1430" s="15">
        <v>1430</v>
      </c>
      <c r="C1430">
        <f>MOD(B1430,8)</f>
        <v>6</v>
      </c>
    </row>
    <row r="1431" spans="1:3" ht="16.5" x14ac:dyDescent="0.2">
      <c r="A1431" s="4" t="s">
        <v>174</v>
      </c>
      <c r="B1431">
        <v>1431</v>
      </c>
      <c r="C1431">
        <f>MOD(B1431,8)</f>
        <v>7</v>
      </c>
    </row>
    <row r="1432" spans="1:3" ht="16.5" x14ac:dyDescent="0.2">
      <c r="A1432" s="4" t="s">
        <v>174</v>
      </c>
      <c r="B1432">
        <v>1432</v>
      </c>
      <c r="C1432">
        <f>MOD(B1432,8)</f>
        <v>0</v>
      </c>
    </row>
    <row r="1433" spans="1:3" ht="16.5" x14ac:dyDescent="0.2">
      <c r="A1433" s="4" t="s">
        <v>173</v>
      </c>
      <c r="B1433" s="15">
        <v>1433</v>
      </c>
      <c r="C1433">
        <f>MOD(B1433,8)</f>
        <v>1</v>
      </c>
    </row>
    <row r="1434" spans="1:3" ht="16.5" x14ac:dyDescent="0.2">
      <c r="A1434" s="4" t="s">
        <v>173</v>
      </c>
      <c r="B1434">
        <v>1434</v>
      </c>
      <c r="C1434">
        <f>MOD(B1434,8)</f>
        <v>2</v>
      </c>
    </row>
    <row r="1435" spans="1:3" ht="16.5" x14ac:dyDescent="0.2">
      <c r="A1435" s="4" t="s">
        <v>173</v>
      </c>
      <c r="B1435" s="15">
        <v>1435</v>
      </c>
      <c r="C1435">
        <f>MOD(B1435,8)</f>
        <v>3</v>
      </c>
    </row>
    <row r="1436" spans="1:3" ht="16.5" x14ac:dyDescent="0.2">
      <c r="A1436" s="4" t="s">
        <v>173</v>
      </c>
      <c r="B1436">
        <v>1436</v>
      </c>
      <c r="C1436">
        <f>MOD(B1436,8)</f>
        <v>4</v>
      </c>
    </row>
    <row r="1437" spans="1:3" ht="16.5" x14ac:dyDescent="0.2">
      <c r="A1437" s="4" t="s">
        <v>173</v>
      </c>
      <c r="B1437">
        <v>1437</v>
      </c>
      <c r="C1437">
        <f>MOD(B1437,8)</f>
        <v>5</v>
      </c>
    </row>
    <row r="1438" spans="1:3" ht="16.5" x14ac:dyDescent="0.2">
      <c r="A1438" s="4" t="s">
        <v>173</v>
      </c>
      <c r="B1438" s="15">
        <v>1438</v>
      </c>
      <c r="C1438">
        <f>MOD(B1438,8)</f>
        <v>6</v>
      </c>
    </row>
    <row r="1439" spans="1:3" ht="16.5" x14ac:dyDescent="0.2">
      <c r="A1439" s="4" t="s">
        <v>173</v>
      </c>
      <c r="B1439">
        <v>1439</v>
      </c>
      <c r="C1439">
        <f>MOD(B1439,8)</f>
        <v>7</v>
      </c>
    </row>
    <row r="1440" spans="1:3" ht="16.5" x14ac:dyDescent="0.2">
      <c r="A1440" s="4" t="s">
        <v>173</v>
      </c>
      <c r="B1440" s="15">
        <v>1440</v>
      </c>
      <c r="C1440">
        <f>MOD(B1440,8)</f>
        <v>0</v>
      </c>
    </row>
    <row r="1441" spans="1:3" ht="16.5" x14ac:dyDescent="0.2">
      <c r="A1441" s="4" t="s">
        <v>172</v>
      </c>
      <c r="B1441">
        <v>1441</v>
      </c>
      <c r="C1441">
        <f>MOD(B1441,8)</f>
        <v>1</v>
      </c>
    </row>
    <row r="1442" spans="1:3" ht="16.5" x14ac:dyDescent="0.2">
      <c r="A1442" s="4" t="s">
        <v>172</v>
      </c>
      <c r="B1442">
        <v>1442</v>
      </c>
      <c r="C1442">
        <f>MOD(B1442,8)</f>
        <v>2</v>
      </c>
    </row>
    <row r="1443" spans="1:3" ht="16.5" x14ac:dyDescent="0.2">
      <c r="A1443" s="4" t="s">
        <v>172</v>
      </c>
      <c r="B1443" s="15">
        <v>1443</v>
      </c>
      <c r="C1443">
        <f>MOD(B1443,8)</f>
        <v>3</v>
      </c>
    </row>
    <row r="1444" spans="1:3" ht="16.5" x14ac:dyDescent="0.2">
      <c r="A1444" s="4" t="s">
        <v>172</v>
      </c>
      <c r="B1444">
        <v>1444</v>
      </c>
      <c r="C1444">
        <f>MOD(B1444,8)</f>
        <v>4</v>
      </c>
    </row>
    <row r="1445" spans="1:3" ht="16.5" x14ac:dyDescent="0.2">
      <c r="A1445" s="4" t="s">
        <v>172</v>
      </c>
      <c r="B1445" s="15">
        <v>1445</v>
      </c>
      <c r="C1445">
        <f>MOD(B1445,8)</f>
        <v>5</v>
      </c>
    </row>
    <row r="1446" spans="1:3" ht="16.5" x14ac:dyDescent="0.2">
      <c r="A1446" s="4" t="s">
        <v>172</v>
      </c>
      <c r="B1446">
        <v>1446</v>
      </c>
      <c r="C1446">
        <f>MOD(B1446,8)</f>
        <v>6</v>
      </c>
    </row>
    <row r="1447" spans="1:3" ht="16.5" x14ac:dyDescent="0.2">
      <c r="A1447" s="4" t="s">
        <v>172</v>
      </c>
      <c r="B1447">
        <v>1447</v>
      </c>
      <c r="C1447">
        <f>MOD(B1447,8)</f>
        <v>7</v>
      </c>
    </row>
    <row r="1448" spans="1:3" ht="16.5" x14ac:dyDescent="0.2">
      <c r="A1448" s="4" t="s">
        <v>172</v>
      </c>
      <c r="B1448" s="15">
        <v>1448</v>
      </c>
      <c r="C1448">
        <f>MOD(B1448,8)</f>
        <v>0</v>
      </c>
    </row>
    <row r="1449" spans="1:3" ht="16.5" x14ac:dyDescent="0.2">
      <c r="A1449" s="4" t="s">
        <v>171</v>
      </c>
      <c r="B1449">
        <v>1449</v>
      </c>
      <c r="C1449">
        <f>MOD(B1449,8)</f>
        <v>1</v>
      </c>
    </row>
    <row r="1450" spans="1:3" ht="16.5" x14ac:dyDescent="0.2">
      <c r="A1450" s="4" t="s">
        <v>171</v>
      </c>
      <c r="B1450" s="15">
        <v>1450</v>
      </c>
      <c r="C1450">
        <f>MOD(B1450,8)</f>
        <v>2</v>
      </c>
    </row>
    <row r="1451" spans="1:3" ht="16.5" x14ac:dyDescent="0.2">
      <c r="A1451" s="4" t="s">
        <v>171</v>
      </c>
      <c r="B1451">
        <v>1451</v>
      </c>
      <c r="C1451">
        <f>MOD(B1451,8)</f>
        <v>3</v>
      </c>
    </row>
    <row r="1452" spans="1:3" ht="16.5" x14ac:dyDescent="0.2">
      <c r="A1452" s="4" t="s">
        <v>171</v>
      </c>
      <c r="B1452">
        <v>1452</v>
      </c>
      <c r="C1452">
        <f>MOD(B1452,8)</f>
        <v>4</v>
      </c>
    </row>
    <row r="1453" spans="1:3" ht="16.5" x14ac:dyDescent="0.2">
      <c r="A1453" s="4" t="s">
        <v>171</v>
      </c>
      <c r="B1453" s="15">
        <v>1453</v>
      </c>
      <c r="C1453">
        <f>MOD(B1453,8)</f>
        <v>5</v>
      </c>
    </row>
    <row r="1454" spans="1:3" ht="16.5" x14ac:dyDescent="0.2">
      <c r="A1454" s="4" t="s">
        <v>171</v>
      </c>
      <c r="B1454">
        <v>1454</v>
      </c>
      <c r="C1454">
        <f>MOD(B1454,8)</f>
        <v>6</v>
      </c>
    </row>
    <row r="1455" spans="1:3" ht="16.5" x14ac:dyDescent="0.2">
      <c r="A1455" s="4" t="s">
        <v>171</v>
      </c>
      <c r="B1455" s="15">
        <v>1455</v>
      </c>
      <c r="C1455">
        <f>MOD(B1455,8)</f>
        <v>7</v>
      </c>
    </row>
    <row r="1456" spans="1:3" ht="16.5" x14ac:dyDescent="0.2">
      <c r="A1456" s="4" t="s">
        <v>171</v>
      </c>
      <c r="B1456">
        <v>1456</v>
      </c>
      <c r="C1456">
        <f>MOD(B1456,8)</f>
        <v>0</v>
      </c>
    </row>
    <row r="1457" spans="1:3" ht="16.5" x14ac:dyDescent="0.2">
      <c r="A1457" s="4" t="s">
        <v>170</v>
      </c>
      <c r="B1457">
        <v>1457</v>
      </c>
      <c r="C1457">
        <f>MOD(B1457,8)</f>
        <v>1</v>
      </c>
    </row>
    <row r="1458" spans="1:3" ht="16.5" x14ac:dyDescent="0.2">
      <c r="A1458" s="4" t="s">
        <v>170</v>
      </c>
      <c r="B1458" s="15">
        <v>1458</v>
      </c>
      <c r="C1458">
        <f>MOD(B1458,8)</f>
        <v>2</v>
      </c>
    </row>
    <row r="1459" spans="1:3" ht="16.5" x14ac:dyDescent="0.2">
      <c r="A1459" s="4" t="s">
        <v>170</v>
      </c>
      <c r="B1459">
        <v>1459</v>
      </c>
      <c r="C1459">
        <f>MOD(B1459,8)</f>
        <v>3</v>
      </c>
    </row>
    <row r="1460" spans="1:3" ht="16.5" x14ac:dyDescent="0.2">
      <c r="A1460" s="4" t="s">
        <v>170</v>
      </c>
      <c r="B1460" s="15">
        <v>1460</v>
      </c>
      <c r="C1460">
        <f>MOD(B1460,8)</f>
        <v>4</v>
      </c>
    </row>
    <row r="1461" spans="1:3" ht="16.5" x14ac:dyDescent="0.2">
      <c r="A1461" s="4" t="s">
        <v>170</v>
      </c>
      <c r="B1461">
        <v>1461</v>
      </c>
      <c r="C1461">
        <f>MOD(B1461,8)</f>
        <v>5</v>
      </c>
    </row>
    <row r="1462" spans="1:3" ht="16.5" x14ac:dyDescent="0.2">
      <c r="A1462" s="4" t="s">
        <v>170</v>
      </c>
      <c r="B1462">
        <v>1462</v>
      </c>
      <c r="C1462">
        <f>MOD(B1462,8)</f>
        <v>6</v>
      </c>
    </row>
    <row r="1463" spans="1:3" ht="16.5" x14ac:dyDescent="0.2">
      <c r="A1463" s="4" t="s">
        <v>170</v>
      </c>
      <c r="B1463" s="15">
        <v>1463</v>
      </c>
      <c r="C1463">
        <f>MOD(B1463,8)</f>
        <v>7</v>
      </c>
    </row>
    <row r="1464" spans="1:3" ht="16.5" x14ac:dyDescent="0.2">
      <c r="A1464" s="4" t="s">
        <v>170</v>
      </c>
      <c r="B1464">
        <v>1464</v>
      </c>
      <c r="C1464">
        <f>MOD(B1464,8)</f>
        <v>0</v>
      </c>
    </row>
    <row r="1465" spans="1:3" ht="16.5" x14ac:dyDescent="0.2">
      <c r="A1465" s="4" t="s">
        <v>169</v>
      </c>
      <c r="B1465" s="15">
        <v>1465</v>
      </c>
      <c r="C1465">
        <f>MOD(B1465,8)</f>
        <v>1</v>
      </c>
    </row>
    <row r="1466" spans="1:3" ht="16.5" x14ac:dyDescent="0.2">
      <c r="A1466" s="4" t="s">
        <v>169</v>
      </c>
      <c r="B1466">
        <v>1466</v>
      </c>
      <c r="C1466">
        <f>MOD(B1466,8)</f>
        <v>2</v>
      </c>
    </row>
    <row r="1467" spans="1:3" ht="16.5" x14ac:dyDescent="0.2">
      <c r="A1467" s="4" t="s">
        <v>169</v>
      </c>
      <c r="B1467">
        <v>1467</v>
      </c>
      <c r="C1467">
        <f>MOD(B1467,8)</f>
        <v>3</v>
      </c>
    </row>
    <row r="1468" spans="1:3" ht="16.5" x14ac:dyDescent="0.2">
      <c r="A1468" s="4" t="s">
        <v>169</v>
      </c>
      <c r="B1468" s="15">
        <v>1468</v>
      </c>
      <c r="C1468">
        <f>MOD(B1468,8)</f>
        <v>4</v>
      </c>
    </row>
    <row r="1469" spans="1:3" ht="16.5" x14ac:dyDescent="0.2">
      <c r="A1469" s="4" t="s">
        <v>169</v>
      </c>
      <c r="B1469">
        <v>1469</v>
      </c>
      <c r="C1469">
        <f>MOD(B1469,8)</f>
        <v>5</v>
      </c>
    </row>
    <row r="1470" spans="1:3" ht="16.5" x14ac:dyDescent="0.2">
      <c r="A1470" s="4" t="s">
        <v>169</v>
      </c>
      <c r="B1470" s="15">
        <v>1470</v>
      </c>
      <c r="C1470">
        <f>MOD(B1470,8)</f>
        <v>6</v>
      </c>
    </row>
    <row r="1471" spans="1:3" ht="16.5" x14ac:dyDescent="0.2">
      <c r="A1471" s="4" t="s">
        <v>169</v>
      </c>
      <c r="B1471">
        <v>1471</v>
      </c>
      <c r="C1471">
        <f>MOD(B1471,8)</f>
        <v>7</v>
      </c>
    </row>
    <row r="1472" spans="1:3" ht="16.5" x14ac:dyDescent="0.2">
      <c r="A1472" s="4" t="s">
        <v>169</v>
      </c>
      <c r="B1472">
        <v>1472</v>
      </c>
      <c r="C1472">
        <f>MOD(B1472,8)</f>
        <v>0</v>
      </c>
    </row>
    <row r="1473" spans="1:3" ht="16.5" x14ac:dyDescent="0.2">
      <c r="A1473" s="4" t="s">
        <v>168</v>
      </c>
      <c r="B1473" s="15">
        <v>1473</v>
      </c>
      <c r="C1473">
        <f>MOD(B1473,8)</f>
        <v>1</v>
      </c>
    </row>
    <row r="1474" spans="1:3" ht="16.5" x14ac:dyDescent="0.2">
      <c r="A1474" s="4" t="s">
        <v>168</v>
      </c>
      <c r="B1474">
        <v>1474</v>
      </c>
      <c r="C1474">
        <f>MOD(B1474,8)</f>
        <v>2</v>
      </c>
    </row>
    <row r="1475" spans="1:3" ht="16.5" x14ac:dyDescent="0.2">
      <c r="A1475" s="4" t="s">
        <v>168</v>
      </c>
      <c r="B1475" s="15">
        <v>1475</v>
      </c>
      <c r="C1475">
        <f>MOD(B1475,8)</f>
        <v>3</v>
      </c>
    </row>
    <row r="1476" spans="1:3" ht="16.5" x14ac:dyDescent="0.2">
      <c r="A1476" s="4" t="s">
        <v>168</v>
      </c>
      <c r="B1476">
        <v>1476</v>
      </c>
      <c r="C1476">
        <f>MOD(B1476,8)</f>
        <v>4</v>
      </c>
    </row>
    <row r="1477" spans="1:3" ht="16.5" x14ac:dyDescent="0.2">
      <c r="A1477" s="4" t="s">
        <v>168</v>
      </c>
      <c r="B1477">
        <v>1477</v>
      </c>
      <c r="C1477">
        <f>MOD(B1477,8)</f>
        <v>5</v>
      </c>
    </row>
    <row r="1478" spans="1:3" ht="16.5" x14ac:dyDescent="0.2">
      <c r="A1478" s="4" t="s">
        <v>168</v>
      </c>
      <c r="B1478" s="15">
        <v>1478</v>
      </c>
      <c r="C1478">
        <f>MOD(B1478,8)</f>
        <v>6</v>
      </c>
    </row>
    <row r="1479" spans="1:3" ht="16.5" x14ac:dyDescent="0.2">
      <c r="A1479" s="4" t="s">
        <v>168</v>
      </c>
      <c r="B1479">
        <v>1479</v>
      </c>
      <c r="C1479">
        <f>MOD(B1479,8)</f>
        <v>7</v>
      </c>
    </row>
    <row r="1480" spans="1:3" ht="16.5" x14ac:dyDescent="0.2">
      <c r="A1480" s="4" t="s">
        <v>168</v>
      </c>
      <c r="B1480" s="15">
        <v>1480</v>
      </c>
      <c r="C1480">
        <f>MOD(B1480,8)</f>
        <v>0</v>
      </c>
    </row>
    <row r="1481" spans="1:3" ht="16.5" x14ac:dyDescent="0.2">
      <c r="A1481" s="4" t="s">
        <v>167</v>
      </c>
      <c r="B1481">
        <v>1481</v>
      </c>
      <c r="C1481">
        <f>MOD(B1481,8)</f>
        <v>1</v>
      </c>
    </row>
    <row r="1482" spans="1:3" ht="16.5" x14ac:dyDescent="0.2">
      <c r="A1482" s="4" t="s">
        <v>167</v>
      </c>
      <c r="B1482">
        <v>1482</v>
      </c>
      <c r="C1482">
        <f>MOD(B1482,8)</f>
        <v>2</v>
      </c>
    </row>
    <row r="1483" spans="1:3" ht="16.5" x14ac:dyDescent="0.2">
      <c r="A1483" s="4" t="s">
        <v>167</v>
      </c>
      <c r="B1483" s="15">
        <v>1483</v>
      </c>
      <c r="C1483">
        <f>MOD(B1483,8)</f>
        <v>3</v>
      </c>
    </row>
    <row r="1484" spans="1:3" ht="16.5" x14ac:dyDescent="0.2">
      <c r="A1484" s="4" t="s">
        <v>167</v>
      </c>
      <c r="B1484">
        <v>1484</v>
      </c>
      <c r="C1484">
        <f>MOD(B1484,8)</f>
        <v>4</v>
      </c>
    </row>
    <row r="1485" spans="1:3" ht="16.5" x14ac:dyDescent="0.2">
      <c r="A1485" s="4" t="s">
        <v>167</v>
      </c>
      <c r="B1485" s="15">
        <v>1485</v>
      </c>
      <c r="C1485">
        <f>MOD(B1485,8)</f>
        <v>5</v>
      </c>
    </row>
    <row r="1486" spans="1:3" ht="16.5" x14ac:dyDescent="0.2">
      <c r="A1486" s="4" t="s">
        <v>167</v>
      </c>
      <c r="B1486">
        <v>1486</v>
      </c>
      <c r="C1486">
        <f>MOD(B1486,8)</f>
        <v>6</v>
      </c>
    </row>
    <row r="1487" spans="1:3" ht="16.5" x14ac:dyDescent="0.2">
      <c r="A1487" s="4" t="s">
        <v>167</v>
      </c>
      <c r="B1487">
        <v>1487</v>
      </c>
      <c r="C1487">
        <f>MOD(B1487,8)</f>
        <v>7</v>
      </c>
    </row>
    <row r="1488" spans="1:3" ht="16.5" x14ac:dyDescent="0.2">
      <c r="A1488" s="4" t="s">
        <v>167</v>
      </c>
      <c r="B1488" s="15">
        <v>1488</v>
      </c>
      <c r="C1488">
        <f>MOD(B1488,8)</f>
        <v>0</v>
      </c>
    </row>
    <row r="1489" spans="1:3" ht="16.5" x14ac:dyDescent="0.2">
      <c r="A1489" s="4" t="s">
        <v>166</v>
      </c>
      <c r="B1489">
        <v>1489</v>
      </c>
      <c r="C1489">
        <f>MOD(B1489,8)</f>
        <v>1</v>
      </c>
    </row>
    <row r="1490" spans="1:3" ht="16.5" x14ac:dyDescent="0.2">
      <c r="A1490" s="4" t="s">
        <v>166</v>
      </c>
      <c r="B1490" s="15">
        <v>1490</v>
      </c>
      <c r="C1490">
        <f>MOD(B1490,8)</f>
        <v>2</v>
      </c>
    </row>
    <row r="1491" spans="1:3" ht="16.5" x14ac:dyDescent="0.2">
      <c r="A1491" s="4" t="s">
        <v>166</v>
      </c>
      <c r="B1491">
        <v>1491</v>
      </c>
      <c r="C1491">
        <f>MOD(B1491,8)</f>
        <v>3</v>
      </c>
    </row>
    <row r="1492" spans="1:3" ht="16.5" x14ac:dyDescent="0.2">
      <c r="A1492" s="4" t="s">
        <v>166</v>
      </c>
      <c r="B1492">
        <v>1492</v>
      </c>
      <c r="C1492">
        <f>MOD(B1492,8)</f>
        <v>4</v>
      </c>
    </row>
    <row r="1493" spans="1:3" ht="16.5" x14ac:dyDescent="0.2">
      <c r="A1493" s="4" t="s">
        <v>166</v>
      </c>
      <c r="B1493" s="15">
        <v>1493</v>
      </c>
      <c r="C1493">
        <f>MOD(B1493,8)</f>
        <v>5</v>
      </c>
    </row>
    <row r="1494" spans="1:3" ht="16.5" x14ac:dyDescent="0.2">
      <c r="A1494" s="4" t="s">
        <v>166</v>
      </c>
      <c r="B1494">
        <v>1494</v>
      </c>
      <c r="C1494">
        <f>MOD(B1494,8)</f>
        <v>6</v>
      </c>
    </row>
    <row r="1495" spans="1:3" ht="16.5" x14ac:dyDescent="0.2">
      <c r="A1495" s="4" t="s">
        <v>166</v>
      </c>
      <c r="B1495" s="15">
        <v>1495</v>
      </c>
      <c r="C1495">
        <f>MOD(B1495,8)</f>
        <v>7</v>
      </c>
    </row>
    <row r="1496" spans="1:3" ht="16.5" x14ac:dyDescent="0.2">
      <c r="A1496" s="4" t="s">
        <v>166</v>
      </c>
      <c r="B1496">
        <v>1496</v>
      </c>
      <c r="C1496">
        <f>MOD(B1496,8)</f>
        <v>0</v>
      </c>
    </row>
    <row r="1497" spans="1:3" ht="16.5" x14ac:dyDescent="0.2">
      <c r="A1497" s="4" t="s">
        <v>165</v>
      </c>
      <c r="B1497">
        <v>1497</v>
      </c>
      <c r="C1497">
        <f>MOD(B1497,8)</f>
        <v>1</v>
      </c>
    </row>
    <row r="1498" spans="1:3" ht="16.5" x14ac:dyDescent="0.2">
      <c r="A1498" s="4" t="s">
        <v>165</v>
      </c>
      <c r="B1498" s="15">
        <v>1498</v>
      </c>
      <c r="C1498">
        <f>MOD(B1498,8)</f>
        <v>2</v>
      </c>
    </row>
    <row r="1499" spans="1:3" ht="16.5" x14ac:dyDescent="0.2">
      <c r="A1499" s="4" t="s">
        <v>165</v>
      </c>
      <c r="B1499">
        <v>1499</v>
      </c>
      <c r="C1499">
        <f>MOD(B1499,8)</f>
        <v>3</v>
      </c>
    </row>
    <row r="1500" spans="1:3" ht="16.5" x14ac:dyDescent="0.2">
      <c r="A1500" s="4" t="s">
        <v>165</v>
      </c>
      <c r="B1500" s="15">
        <v>1500</v>
      </c>
      <c r="C1500">
        <f>MOD(B1500,8)</f>
        <v>4</v>
      </c>
    </row>
    <row r="1501" spans="1:3" ht="16.5" x14ac:dyDescent="0.2">
      <c r="A1501" s="4" t="s">
        <v>165</v>
      </c>
      <c r="B1501">
        <v>1501</v>
      </c>
      <c r="C1501">
        <f>MOD(B1501,8)</f>
        <v>5</v>
      </c>
    </row>
    <row r="1502" spans="1:3" ht="16.5" x14ac:dyDescent="0.2">
      <c r="A1502" s="4" t="s">
        <v>165</v>
      </c>
      <c r="B1502">
        <v>1502</v>
      </c>
      <c r="C1502">
        <f>MOD(B1502,8)</f>
        <v>6</v>
      </c>
    </row>
    <row r="1503" spans="1:3" ht="16.5" x14ac:dyDescent="0.2">
      <c r="A1503" s="4" t="s">
        <v>165</v>
      </c>
      <c r="B1503" s="15">
        <v>1503</v>
      </c>
      <c r="C1503">
        <f>MOD(B1503,8)</f>
        <v>7</v>
      </c>
    </row>
    <row r="1504" spans="1:3" ht="16.5" x14ac:dyDescent="0.2">
      <c r="A1504" s="4" t="s">
        <v>165</v>
      </c>
      <c r="B1504">
        <v>1504</v>
      </c>
      <c r="C1504">
        <f>MOD(B1504,8)</f>
        <v>0</v>
      </c>
    </row>
    <row r="1505" spans="1:3" ht="16.5" x14ac:dyDescent="0.2">
      <c r="A1505" s="4" t="s">
        <v>164</v>
      </c>
      <c r="B1505" s="15">
        <v>1505</v>
      </c>
      <c r="C1505">
        <f>MOD(B1505,8)</f>
        <v>1</v>
      </c>
    </row>
    <row r="1506" spans="1:3" ht="16.5" x14ac:dyDescent="0.2">
      <c r="A1506" s="4" t="s">
        <v>164</v>
      </c>
      <c r="B1506">
        <v>1506</v>
      </c>
      <c r="C1506">
        <f>MOD(B1506,8)</f>
        <v>2</v>
      </c>
    </row>
    <row r="1507" spans="1:3" ht="16.5" x14ac:dyDescent="0.2">
      <c r="A1507" s="4" t="s">
        <v>164</v>
      </c>
      <c r="B1507">
        <v>1507</v>
      </c>
      <c r="C1507">
        <f>MOD(B1507,8)</f>
        <v>3</v>
      </c>
    </row>
    <row r="1508" spans="1:3" ht="16.5" x14ac:dyDescent="0.2">
      <c r="A1508" s="4" t="s">
        <v>164</v>
      </c>
      <c r="B1508" s="15">
        <v>1508</v>
      </c>
      <c r="C1508">
        <f>MOD(B1508,8)</f>
        <v>4</v>
      </c>
    </row>
    <row r="1509" spans="1:3" ht="16.5" x14ac:dyDescent="0.2">
      <c r="A1509" s="4" t="s">
        <v>164</v>
      </c>
      <c r="B1509">
        <v>1509</v>
      </c>
      <c r="C1509">
        <f>MOD(B1509,8)</f>
        <v>5</v>
      </c>
    </row>
    <row r="1510" spans="1:3" ht="16.5" x14ac:dyDescent="0.2">
      <c r="A1510" s="4" t="s">
        <v>164</v>
      </c>
      <c r="B1510" s="15">
        <v>1510</v>
      </c>
      <c r="C1510">
        <f>MOD(B1510,8)</f>
        <v>6</v>
      </c>
    </row>
    <row r="1511" spans="1:3" ht="16.5" x14ac:dyDescent="0.2">
      <c r="A1511" s="4" t="s">
        <v>164</v>
      </c>
      <c r="B1511">
        <v>1511</v>
      </c>
      <c r="C1511">
        <f>MOD(B1511,8)</f>
        <v>7</v>
      </c>
    </row>
    <row r="1512" spans="1:3" ht="16.5" x14ac:dyDescent="0.2">
      <c r="A1512" s="4" t="s">
        <v>164</v>
      </c>
      <c r="B1512">
        <v>1512</v>
      </c>
      <c r="C1512">
        <f>MOD(B1512,8)</f>
        <v>0</v>
      </c>
    </row>
    <row r="1513" spans="1:3" ht="16.5" x14ac:dyDescent="0.2">
      <c r="A1513" s="4" t="s">
        <v>163</v>
      </c>
      <c r="B1513" s="15">
        <v>1513</v>
      </c>
      <c r="C1513">
        <f>MOD(B1513,8)</f>
        <v>1</v>
      </c>
    </row>
    <row r="1514" spans="1:3" ht="16.5" x14ac:dyDescent="0.2">
      <c r="A1514" s="4" t="s">
        <v>163</v>
      </c>
      <c r="B1514">
        <v>1514</v>
      </c>
      <c r="C1514">
        <f>MOD(B1514,8)</f>
        <v>2</v>
      </c>
    </row>
    <row r="1515" spans="1:3" ht="16.5" x14ac:dyDescent="0.2">
      <c r="A1515" s="4" t="s">
        <v>163</v>
      </c>
      <c r="B1515" s="15">
        <v>1515</v>
      </c>
      <c r="C1515">
        <f>MOD(B1515,8)</f>
        <v>3</v>
      </c>
    </row>
    <row r="1516" spans="1:3" ht="16.5" x14ac:dyDescent="0.2">
      <c r="A1516" s="4" t="s">
        <v>163</v>
      </c>
      <c r="B1516">
        <v>1516</v>
      </c>
      <c r="C1516">
        <f>MOD(B1516,8)</f>
        <v>4</v>
      </c>
    </row>
    <row r="1517" spans="1:3" ht="16.5" x14ac:dyDescent="0.2">
      <c r="A1517" s="4" t="s">
        <v>163</v>
      </c>
      <c r="B1517">
        <v>1517</v>
      </c>
      <c r="C1517">
        <f>MOD(B1517,8)</f>
        <v>5</v>
      </c>
    </row>
    <row r="1518" spans="1:3" ht="16.5" x14ac:dyDescent="0.2">
      <c r="A1518" s="4" t="s">
        <v>163</v>
      </c>
      <c r="B1518" s="15">
        <v>1518</v>
      </c>
      <c r="C1518">
        <f>MOD(B1518,8)</f>
        <v>6</v>
      </c>
    </row>
    <row r="1519" spans="1:3" ht="16.5" x14ac:dyDescent="0.2">
      <c r="A1519" s="4" t="s">
        <v>163</v>
      </c>
      <c r="B1519">
        <v>1519</v>
      </c>
      <c r="C1519">
        <f>MOD(B1519,8)</f>
        <v>7</v>
      </c>
    </row>
    <row r="1520" spans="1:3" ht="16.5" x14ac:dyDescent="0.2">
      <c r="A1520" s="4" t="s">
        <v>163</v>
      </c>
      <c r="B1520" s="15">
        <v>1520</v>
      </c>
      <c r="C1520">
        <f>MOD(B1520,8)</f>
        <v>0</v>
      </c>
    </row>
    <row r="1521" spans="1:3" ht="16.5" x14ac:dyDescent="0.2">
      <c r="A1521" s="4" t="s">
        <v>162</v>
      </c>
      <c r="B1521">
        <v>1521</v>
      </c>
      <c r="C1521">
        <f>MOD(B1521,8)</f>
        <v>1</v>
      </c>
    </row>
    <row r="1522" spans="1:3" ht="16.5" x14ac:dyDescent="0.2">
      <c r="A1522" s="4" t="s">
        <v>162</v>
      </c>
      <c r="B1522">
        <v>1522</v>
      </c>
      <c r="C1522">
        <f>MOD(B1522,8)</f>
        <v>2</v>
      </c>
    </row>
    <row r="1523" spans="1:3" ht="16.5" x14ac:dyDescent="0.2">
      <c r="A1523" s="4" t="s">
        <v>162</v>
      </c>
      <c r="B1523" s="15">
        <v>1523</v>
      </c>
      <c r="C1523">
        <f>MOD(B1523,8)</f>
        <v>3</v>
      </c>
    </row>
    <row r="1524" spans="1:3" ht="16.5" x14ac:dyDescent="0.2">
      <c r="A1524" s="4" t="s">
        <v>162</v>
      </c>
      <c r="B1524">
        <v>1524</v>
      </c>
      <c r="C1524">
        <f>MOD(B1524,8)</f>
        <v>4</v>
      </c>
    </row>
    <row r="1525" spans="1:3" ht="16.5" x14ac:dyDescent="0.2">
      <c r="A1525" s="4" t="s">
        <v>162</v>
      </c>
      <c r="B1525" s="15">
        <v>1525</v>
      </c>
      <c r="C1525">
        <f>MOD(B1525,8)</f>
        <v>5</v>
      </c>
    </row>
    <row r="1526" spans="1:3" ht="16.5" x14ac:dyDescent="0.2">
      <c r="A1526" s="4" t="s">
        <v>162</v>
      </c>
      <c r="B1526">
        <v>1526</v>
      </c>
      <c r="C1526">
        <f>MOD(B1526,8)</f>
        <v>6</v>
      </c>
    </row>
    <row r="1527" spans="1:3" ht="16.5" x14ac:dyDescent="0.2">
      <c r="A1527" s="4" t="s">
        <v>162</v>
      </c>
      <c r="B1527">
        <v>1527</v>
      </c>
      <c r="C1527">
        <f>MOD(B1527,8)</f>
        <v>7</v>
      </c>
    </row>
    <row r="1528" spans="1:3" ht="16.5" x14ac:dyDescent="0.2">
      <c r="A1528" s="4" t="s">
        <v>162</v>
      </c>
      <c r="B1528" s="15">
        <v>1528</v>
      </c>
      <c r="C1528">
        <f>MOD(B1528,8)</f>
        <v>0</v>
      </c>
    </row>
    <row r="1529" spans="1:3" ht="16.5" x14ac:dyDescent="0.2">
      <c r="A1529" s="4" t="s">
        <v>161</v>
      </c>
      <c r="B1529">
        <v>1529</v>
      </c>
      <c r="C1529">
        <f>MOD(B1529,8)</f>
        <v>1</v>
      </c>
    </row>
    <row r="1530" spans="1:3" ht="16.5" x14ac:dyDescent="0.2">
      <c r="A1530" s="4" t="s">
        <v>161</v>
      </c>
      <c r="B1530" s="15">
        <v>1530</v>
      </c>
      <c r="C1530">
        <f>MOD(B1530,8)</f>
        <v>2</v>
      </c>
    </row>
    <row r="1531" spans="1:3" ht="16.5" x14ac:dyDescent="0.2">
      <c r="A1531" s="4" t="s">
        <v>161</v>
      </c>
      <c r="B1531">
        <v>1531</v>
      </c>
      <c r="C1531">
        <f>MOD(B1531,8)</f>
        <v>3</v>
      </c>
    </row>
    <row r="1532" spans="1:3" ht="16.5" x14ac:dyDescent="0.2">
      <c r="A1532" s="4" t="s">
        <v>161</v>
      </c>
      <c r="B1532">
        <v>1532</v>
      </c>
      <c r="C1532">
        <f>MOD(B1532,8)</f>
        <v>4</v>
      </c>
    </row>
    <row r="1533" spans="1:3" ht="16.5" x14ac:dyDescent="0.2">
      <c r="A1533" s="4" t="s">
        <v>161</v>
      </c>
      <c r="B1533" s="15">
        <v>1533</v>
      </c>
      <c r="C1533">
        <f>MOD(B1533,8)</f>
        <v>5</v>
      </c>
    </row>
    <row r="1534" spans="1:3" ht="16.5" x14ac:dyDescent="0.2">
      <c r="A1534" s="4" t="s">
        <v>161</v>
      </c>
      <c r="B1534">
        <v>1534</v>
      </c>
      <c r="C1534">
        <f>MOD(B1534,8)</f>
        <v>6</v>
      </c>
    </row>
    <row r="1535" spans="1:3" ht="16.5" x14ac:dyDescent="0.2">
      <c r="A1535" s="4" t="s">
        <v>161</v>
      </c>
      <c r="B1535" s="15">
        <v>1535</v>
      </c>
      <c r="C1535">
        <f>MOD(B1535,8)</f>
        <v>7</v>
      </c>
    </row>
    <row r="1536" spans="1:3" ht="16.5" x14ac:dyDescent="0.2">
      <c r="A1536" s="4" t="s">
        <v>161</v>
      </c>
      <c r="B1536">
        <v>1536</v>
      </c>
      <c r="C1536">
        <f>MOD(B1536,8)</f>
        <v>0</v>
      </c>
    </row>
    <row r="1537" spans="1:3" ht="16.5" x14ac:dyDescent="0.2">
      <c r="A1537" s="4" t="s">
        <v>160</v>
      </c>
      <c r="B1537">
        <v>1537</v>
      </c>
      <c r="C1537">
        <f>MOD(B1537,8)</f>
        <v>1</v>
      </c>
    </row>
    <row r="1538" spans="1:3" ht="16.5" x14ac:dyDescent="0.2">
      <c r="A1538" s="4" t="s">
        <v>160</v>
      </c>
      <c r="B1538" s="15">
        <v>1538</v>
      </c>
      <c r="C1538">
        <f>MOD(B1538,8)</f>
        <v>2</v>
      </c>
    </row>
    <row r="1539" spans="1:3" ht="16.5" x14ac:dyDescent="0.2">
      <c r="A1539" s="4" t="s">
        <v>160</v>
      </c>
      <c r="B1539">
        <v>1539</v>
      </c>
      <c r="C1539">
        <f>MOD(B1539,8)</f>
        <v>3</v>
      </c>
    </row>
    <row r="1540" spans="1:3" ht="16.5" x14ac:dyDescent="0.2">
      <c r="A1540" s="4" t="s">
        <v>160</v>
      </c>
      <c r="B1540" s="15">
        <v>1540</v>
      </c>
      <c r="C1540">
        <f>MOD(B1540,8)</f>
        <v>4</v>
      </c>
    </row>
    <row r="1541" spans="1:3" ht="16.5" x14ac:dyDescent="0.2">
      <c r="A1541" s="4" t="s">
        <v>160</v>
      </c>
      <c r="B1541">
        <v>1541</v>
      </c>
      <c r="C1541">
        <f>MOD(B1541,8)</f>
        <v>5</v>
      </c>
    </row>
    <row r="1542" spans="1:3" ht="16.5" x14ac:dyDescent="0.2">
      <c r="A1542" s="4" t="s">
        <v>160</v>
      </c>
      <c r="B1542">
        <v>1542</v>
      </c>
      <c r="C1542">
        <f>MOD(B1542,8)</f>
        <v>6</v>
      </c>
    </row>
    <row r="1543" spans="1:3" ht="16.5" x14ac:dyDescent="0.2">
      <c r="A1543" s="4" t="s">
        <v>160</v>
      </c>
      <c r="B1543" s="15">
        <v>1543</v>
      </c>
      <c r="C1543">
        <f>MOD(B1543,8)</f>
        <v>7</v>
      </c>
    </row>
    <row r="1544" spans="1:3" ht="16.5" x14ac:dyDescent="0.2">
      <c r="A1544" s="4" t="s">
        <v>160</v>
      </c>
      <c r="B1544">
        <v>1544</v>
      </c>
      <c r="C1544">
        <f>MOD(B1544,8)</f>
        <v>0</v>
      </c>
    </row>
    <row r="1545" spans="1:3" ht="16.5" x14ac:dyDescent="0.2">
      <c r="A1545" s="4" t="s">
        <v>159</v>
      </c>
      <c r="B1545" s="15">
        <v>1545</v>
      </c>
      <c r="C1545">
        <f>MOD(B1545,8)</f>
        <v>1</v>
      </c>
    </row>
    <row r="1546" spans="1:3" ht="16.5" x14ac:dyDescent="0.2">
      <c r="A1546" s="4" t="s">
        <v>159</v>
      </c>
      <c r="B1546">
        <v>1546</v>
      </c>
      <c r="C1546">
        <f>MOD(B1546,8)</f>
        <v>2</v>
      </c>
    </row>
    <row r="1547" spans="1:3" ht="16.5" x14ac:dyDescent="0.2">
      <c r="A1547" s="4" t="s">
        <v>159</v>
      </c>
      <c r="B1547">
        <v>1547</v>
      </c>
      <c r="C1547">
        <f>MOD(B1547,8)</f>
        <v>3</v>
      </c>
    </row>
    <row r="1548" spans="1:3" ht="16.5" x14ac:dyDescent="0.2">
      <c r="A1548" s="4" t="s">
        <v>159</v>
      </c>
      <c r="B1548" s="15">
        <v>1548</v>
      </c>
      <c r="C1548">
        <f>MOD(B1548,8)</f>
        <v>4</v>
      </c>
    </row>
    <row r="1549" spans="1:3" ht="16.5" x14ac:dyDescent="0.2">
      <c r="A1549" s="4" t="s">
        <v>159</v>
      </c>
      <c r="B1549">
        <v>1549</v>
      </c>
      <c r="C1549">
        <f>MOD(B1549,8)</f>
        <v>5</v>
      </c>
    </row>
    <row r="1550" spans="1:3" ht="16.5" x14ac:dyDescent="0.2">
      <c r="A1550" s="4" t="s">
        <v>159</v>
      </c>
      <c r="B1550" s="15">
        <v>1550</v>
      </c>
      <c r="C1550">
        <f>MOD(B1550,8)</f>
        <v>6</v>
      </c>
    </row>
    <row r="1551" spans="1:3" ht="16.5" x14ac:dyDescent="0.2">
      <c r="A1551" s="4" t="s">
        <v>159</v>
      </c>
      <c r="B1551">
        <v>1551</v>
      </c>
      <c r="C1551">
        <f>MOD(B1551,8)</f>
        <v>7</v>
      </c>
    </row>
    <row r="1552" spans="1:3" ht="16.5" x14ac:dyDescent="0.2">
      <c r="A1552" s="4" t="s">
        <v>159</v>
      </c>
      <c r="B1552">
        <v>1552</v>
      </c>
      <c r="C1552">
        <f>MOD(B1552,8)</f>
        <v>0</v>
      </c>
    </row>
    <row r="1553" spans="1:3" ht="16.5" x14ac:dyDescent="0.2">
      <c r="A1553" s="4" t="s">
        <v>158</v>
      </c>
      <c r="B1553" s="15">
        <v>1553</v>
      </c>
      <c r="C1553">
        <f>MOD(B1553,8)</f>
        <v>1</v>
      </c>
    </row>
    <row r="1554" spans="1:3" ht="16.5" x14ac:dyDescent="0.2">
      <c r="A1554" s="4" t="s">
        <v>158</v>
      </c>
      <c r="B1554">
        <v>1554</v>
      </c>
      <c r="C1554">
        <f>MOD(B1554,8)</f>
        <v>2</v>
      </c>
    </row>
    <row r="1555" spans="1:3" ht="16.5" x14ac:dyDescent="0.2">
      <c r="A1555" s="4" t="s">
        <v>158</v>
      </c>
      <c r="B1555" s="15">
        <v>1555</v>
      </c>
      <c r="C1555">
        <f>MOD(B1555,8)</f>
        <v>3</v>
      </c>
    </row>
    <row r="1556" spans="1:3" ht="16.5" x14ac:dyDescent="0.2">
      <c r="A1556" s="4" t="s">
        <v>158</v>
      </c>
      <c r="B1556">
        <v>1556</v>
      </c>
      <c r="C1556">
        <f>MOD(B1556,8)</f>
        <v>4</v>
      </c>
    </row>
    <row r="1557" spans="1:3" ht="16.5" x14ac:dyDescent="0.2">
      <c r="A1557" s="4" t="s">
        <v>158</v>
      </c>
      <c r="B1557">
        <v>1557</v>
      </c>
      <c r="C1557">
        <f>MOD(B1557,8)</f>
        <v>5</v>
      </c>
    </row>
    <row r="1558" spans="1:3" ht="16.5" x14ac:dyDescent="0.2">
      <c r="A1558" s="4" t="s">
        <v>158</v>
      </c>
      <c r="B1558" s="15">
        <v>1558</v>
      </c>
      <c r="C1558">
        <f>MOD(B1558,8)</f>
        <v>6</v>
      </c>
    </row>
    <row r="1559" spans="1:3" ht="16.5" x14ac:dyDescent="0.2">
      <c r="A1559" s="4" t="s">
        <v>158</v>
      </c>
      <c r="B1559">
        <v>1559</v>
      </c>
      <c r="C1559">
        <f>MOD(B1559,8)</f>
        <v>7</v>
      </c>
    </row>
    <row r="1560" spans="1:3" ht="16.5" x14ac:dyDescent="0.2">
      <c r="A1560" s="4" t="s">
        <v>158</v>
      </c>
      <c r="B1560" s="15">
        <v>1560</v>
      </c>
      <c r="C1560">
        <f>MOD(B1560,8)</f>
        <v>0</v>
      </c>
    </row>
    <row r="1561" spans="1:3" ht="16.5" x14ac:dyDescent="0.2">
      <c r="A1561" s="4" t="s">
        <v>157</v>
      </c>
      <c r="B1561">
        <v>1561</v>
      </c>
      <c r="C1561">
        <f>MOD(B1561,8)</f>
        <v>1</v>
      </c>
    </row>
    <row r="1562" spans="1:3" ht="16.5" x14ac:dyDescent="0.2">
      <c r="A1562" s="4" t="s">
        <v>157</v>
      </c>
      <c r="B1562">
        <v>1562</v>
      </c>
      <c r="C1562">
        <f>MOD(B1562,8)</f>
        <v>2</v>
      </c>
    </row>
    <row r="1563" spans="1:3" ht="16.5" x14ac:dyDescent="0.2">
      <c r="A1563" s="4" t="s">
        <v>157</v>
      </c>
      <c r="B1563" s="15">
        <v>1563</v>
      </c>
      <c r="C1563">
        <f>MOD(B1563,8)</f>
        <v>3</v>
      </c>
    </row>
    <row r="1564" spans="1:3" ht="16.5" x14ac:dyDescent="0.2">
      <c r="A1564" s="4" t="s">
        <v>157</v>
      </c>
      <c r="B1564">
        <v>1564</v>
      </c>
      <c r="C1564">
        <f>MOD(B1564,8)</f>
        <v>4</v>
      </c>
    </row>
    <row r="1565" spans="1:3" ht="16.5" x14ac:dyDescent="0.2">
      <c r="A1565" s="4" t="s">
        <v>157</v>
      </c>
      <c r="B1565" s="15">
        <v>1565</v>
      </c>
      <c r="C1565">
        <f>MOD(B1565,8)</f>
        <v>5</v>
      </c>
    </row>
    <row r="1566" spans="1:3" ht="16.5" x14ac:dyDescent="0.2">
      <c r="A1566" s="4" t="s">
        <v>157</v>
      </c>
      <c r="B1566">
        <v>1566</v>
      </c>
      <c r="C1566">
        <f>MOD(B1566,8)</f>
        <v>6</v>
      </c>
    </row>
    <row r="1567" spans="1:3" ht="16.5" x14ac:dyDescent="0.2">
      <c r="A1567" s="4" t="s">
        <v>157</v>
      </c>
      <c r="B1567">
        <v>1567</v>
      </c>
      <c r="C1567">
        <f>MOD(B1567,8)</f>
        <v>7</v>
      </c>
    </row>
    <row r="1568" spans="1:3" ht="16.5" x14ac:dyDescent="0.2">
      <c r="A1568" s="4" t="s">
        <v>157</v>
      </c>
      <c r="B1568" s="15">
        <v>1568</v>
      </c>
      <c r="C1568">
        <f>MOD(B1568,8)</f>
        <v>0</v>
      </c>
    </row>
    <row r="1569" spans="1:3" ht="16.5" x14ac:dyDescent="0.2">
      <c r="A1569" s="4" t="s">
        <v>156</v>
      </c>
      <c r="B1569">
        <v>1569</v>
      </c>
      <c r="C1569">
        <f>MOD(B1569,8)</f>
        <v>1</v>
      </c>
    </row>
    <row r="1570" spans="1:3" ht="16.5" x14ac:dyDescent="0.2">
      <c r="A1570" s="4" t="s">
        <v>156</v>
      </c>
      <c r="B1570" s="15">
        <v>1570</v>
      </c>
      <c r="C1570">
        <f>MOD(B1570,8)</f>
        <v>2</v>
      </c>
    </row>
    <row r="1571" spans="1:3" ht="16.5" x14ac:dyDescent="0.2">
      <c r="A1571" s="4" t="s">
        <v>156</v>
      </c>
      <c r="B1571">
        <v>1571</v>
      </c>
      <c r="C1571">
        <f>MOD(B1571,8)</f>
        <v>3</v>
      </c>
    </row>
    <row r="1572" spans="1:3" ht="16.5" x14ac:dyDescent="0.2">
      <c r="A1572" s="4" t="s">
        <v>156</v>
      </c>
      <c r="B1572">
        <v>1572</v>
      </c>
      <c r="C1572">
        <f>MOD(B1572,8)</f>
        <v>4</v>
      </c>
    </row>
    <row r="1573" spans="1:3" ht="16.5" x14ac:dyDescent="0.2">
      <c r="A1573" s="4" t="s">
        <v>156</v>
      </c>
      <c r="B1573" s="15">
        <v>1573</v>
      </c>
      <c r="C1573">
        <f>MOD(B1573,8)</f>
        <v>5</v>
      </c>
    </row>
    <row r="1574" spans="1:3" ht="16.5" x14ac:dyDescent="0.2">
      <c r="A1574" s="4" t="s">
        <v>156</v>
      </c>
      <c r="B1574">
        <v>1574</v>
      </c>
      <c r="C1574">
        <f>MOD(B1574,8)</f>
        <v>6</v>
      </c>
    </row>
    <row r="1575" spans="1:3" ht="16.5" x14ac:dyDescent="0.2">
      <c r="A1575" s="4" t="s">
        <v>156</v>
      </c>
      <c r="B1575" s="15">
        <v>1575</v>
      </c>
      <c r="C1575">
        <f>MOD(B1575,8)</f>
        <v>7</v>
      </c>
    </row>
    <row r="1576" spans="1:3" ht="16.5" x14ac:dyDescent="0.2">
      <c r="A1576" s="4" t="s">
        <v>156</v>
      </c>
      <c r="B1576">
        <v>1576</v>
      </c>
      <c r="C1576">
        <f>MOD(B1576,8)</f>
        <v>0</v>
      </c>
    </row>
    <row r="1577" spans="1:3" ht="16.5" x14ac:dyDescent="0.2">
      <c r="A1577" s="4" t="s">
        <v>155</v>
      </c>
      <c r="B1577">
        <v>1577</v>
      </c>
      <c r="C1577">
        <f>MOD(B1577,8)</f>
        <v>1</v>
      </c>
    </row>
    <row r="1578" spans="1:3" ht="16.5" x14ac:dyDescent="0.2">
      <c r="A1578" s="4" t="s">
        <v>155</v>
      </c>
      <c r="B1578" s="15">
        <v>1578</v>
      </c>
      <c r="C1578">
        <f>MOD(B1578,8)</f>
        <v>2</v>
      </c>
    </row>
    <row r="1579" spans="1:3" ht="16.5" x14ac:dyDescent="0.2">
      <c r="A1579" s="4" t="s">
        <v>155</v>
      </c>
      <c r="B1579">
        <v>1579</v>
      </c>
      <c r="C1579">
        <f>MOD(B1579,8)</f>
        <v>3</v>
      </c>
    </row>
    <row r="1580" spans="1:3" ht="16.5" x14ac:dyDescent="0.2">
      <c r="A1580" s="4" t="s">
        <v>155</v>
      </c>
      <c r="B1580" s="15">
        <v>1580</v>
      </c>
      <c r="C1580">
        <f>MOD(B1580,8)</f>
        <v>4</v>
      </c>
    </row>
    <row r="1581" spans="1:3" ht="16.5" x14ac:dyDescent="0.2">
      <c r="A1581" s="4" t="s">
        <v>155</v>
      </c>
      <c r="B1581">
        <v>1581</v>
      </c>
      <c r="C1581">
        <f>MOD(B1581,8)</f>
        <v>5</v>
      </c>
    </row>
    <row r="1582" spans="1:3" ht="16.5" x14ac:dyDescent="0.2">
      <c r="A1582" s="4" t="s">
        <v>155</v>
      </c>
      <c r="B1582">
        <v>1582</v>
      </c>
      <c r="C1582">
        <f>MOD(B1582,8)</f>
        <v>6</v>
      </c>
    </row>
    <row r="1583" spans="1:3" ht="16.5" x14ac:dyDescent="0.2">
      <c r="A1583" s="4" t="s">
        <v>155</v>
      </c>
      <c r="B1583" s="15">
        <v>1583</v>
      </c>
      <c r="C1583">
        <f>MOD(B1583,8)</f>
        <v>7</v>
      </c>
    </row>
    <row r="1584" spans="1:3" ht="16.5" x14ac:dyDescent="0.2">
      <c r="A1584" s="4" t="s">
        <v>155</v>
      </c>
      <c r="B1584">
        <v>1584</v>
      </c>
      <c r="C1584">
        <f>MOD(B1584,8)</f>
        <v>0</v>
      </c>
    </row>
    <row r="1585" spans="1:3" ht="16.5" x14ac:dyDescent="0.2">
      <c r="A1585" s="4" t="s">
        <v>154</v>
      </c>
      <c r="B1585" s="15">
        <v>1585</v>
      </c>
      <c r="C1585">
        <f>MOD(B1585,8)</f>
        <v>1</v>
      </c>
    </row>
    <row r="1586" spans="1:3" ht="16.5" x14ac:dyDescent="0.2">
      <c r="A1586" s="4" t="s">
        <v>154</v>
      </c>
      <c r="B1586">
        <v>1586</v>
      </c>
      <c r="C1586">
        <f>MOD(B1586,8)</f>
        <v>2</v>
      </c>
    </row>
    <row r="1587" spans="1:3" ht="16.5" x14ac:dyDescent="0.2">
      <c r="A1587" s="4" t="s">
        <v>154</v>
      </c>
      <c r="B1587">
        <v>1587</v>
      </c>
      <c r="C1587">
        <f>MOD(B1587,8)</f>
        <v>3</v>
      </c>
    </row>
    <row r="1588" spans="1:3" ht="16.5" x14ac:dyDescent="0.2">
      <c r="A1588" s="4" t="s">
        <v>154</v>
      </c>
      <c r="B1588" s="15">
        <v>1588</v>
      </c>
      <c r="C1588">
        <f>MOD(B1588,8)</f>
        <v>4</v>
      </c>
    </row>
    <row r="1589" spans="1:3" ht="16.5" x14ac:dyDescent="0.2">
      <c r="A1589" s="4" t="s">
        <v>154</v>
      </c>
      <c r="B1589">
        <v>1589</v>
      </c>
      <c r="C1589">
        <f>MOD(B1589,8)</f>
        <v>5</v>
      </c>
    </row>
    <row r="1590" spans="1:3" ht="16.5" x14ac:dyDescent="0.2">
      <c r="A1590" s="4" t="s">
        <v>154</v>
      </c>
      <c r="B1590" s="15">
        <v>1590</v>
      </c>
      <c r="C1590">
        <f>MOD(B1590,8)</f>
        <v>6</v>
      </c>
    </row>
    <row r="1591" spans="1:3" ht="16.5" x14ac:dyDescent="0.2">
      <c r="A1591" s="4" t="s">
        <v>154</v>
      </c>
      <c r="B1591">
        <v>1591</v>
      </c>
      <c r="C1591">
        <f>MOD(B1591,8)</f>
        <v>7</v>
      </c>
    </row>
    <row r="1592" spans="1:3" ht="16.5" x14ac:dyDescent="0.2">
      <c r="A1592" s="4" t="s">
        <v>154</v>
      </c>
      <c r="B1592">
        <v>1592</v>
      </c>
      <c r="C1592">
        <f>MOD(B1592,8)</f>
        <v>0</v>
      </c>
    </row>
    <row r="1593" spans="1:3" ht="16.5" x14ac:dyDescent="0.2">
      <c r="A1593" s="4" t="s">
        <v>153</v>
      </c>
      <c r="B1593" s="15">
        <v>1593</v>
      </c>
      <c r="C1593">
        <f>MOD(B1593,8)</f>
        <v>1</v>
      </c>
    </row>
    <row r="1594" spans="1:3" ht="16.5" x14ac:dyDescent="0.2">
      <c r="A1594" s="4" t="s">
        <v>153</v>
      </c>
      <c r="B1594">
        <v>1594</v>
      </c>
      <c r="C1594">
        <f>MOD(B1594,8)</f>
        <v>2</v>
      </c>
    </row>
    <row r="1595" spans="1:3" ht="16.5" x14ac:dyDescent="0.2">
      <c r="A1595" s="4" t="s">
        <v>153</v>
      </c>
      <c r="B1595" s="15">
        <v>1595</v>
      </c>
      <c r="C1595">
        <f>MOD(B1595,8)</f>
        <v>3</v>
      </c>
    </row>
    <row r="1596" spans="1:3" ht="16.5" x14ac:dyDescent="0.2">
      <c r="A1596" s="4" t="s">
        <v>153</v>
      </c>
      <c r="B1596">
        <v>1596</v>
      </c>
      <c r="C1596">
        <f>MOD(B1596,8)</f>
        <v>4</v>
      </c>
    </row>
    <row r="1597" spans="1:3" ht="16.5" x14ac:dyDescent="0.2">
      <c r="A1597" s="4" t="s">
        <v>153</v>
      </c>
      <c r="B1597">
        <v>1597</v>
      </c>
      <c r="C1597">
        <f>MOD(B1597,8)</f>
        <v>5</v>
      </c>
    </row>
    <row r="1598" spans="1:3" ht="16.5" x14ac:dyDescent="0.2">
      <c r="A1598" s="4" t="s">
        <v>153</v>
      </c>
      <c r="B1598" s="15">
        <v>1598</v>
      </c>
      <c r="C1598">
        <f>MOD(B1598,8)</f>
        <v>6</v>
      </c>
    </row>
    <row r="1599" spans="1:3" ht="16.5" x14ac:dyDescent="0.2">
      <c r="A1599" s="4" t="s">
        <v>153</v>
      </c>
      <c r="B1599">
        <v>1599</v>
      </c>
      <c r="C1599">
        <f>MOD(B1599,8)</f>
        <v>7</v>
      </c>
    </row>
    <row r="1600" spans="1:3" ht="16.5" x14ac:dyDescent="0.2">
      <c r="A1600" s="4" t="s">
        <v>153</v>
      </c>
      <c r="B1600" s="15">
        <v>1600</v>
      </c>
      <c r="C1600">
        <f>MOD(B1600,8)</f>
        <v>0</v>
      </c>
    </row>
    <row r="1601" spans="1:3" ht="16.5" x14ac:dyDescent="0.2">
      <c r="A1601" s="4" t="s">
        <v>152</v>
      </c>
      <c r="B1601">
        <v>1601</v>
      </c>
      <c r="C1601">
        <f>MOD(B1601,8)</f>
        <v>1</v>
      </c>
    </row>
    <row r="1602" spans="1:3" ht="16.5" x14ac:dyDescent="0.2">
      <c r="A1602" s="4" t="s">
        <v>152</v>
      </c>
      <c r="B1602">
        <v>1602</v>
      </c>
      <c r="C1602">
        <f>MOD(B1602,8)</f>
        <v>2</v>
      </c>
    </row>
    <row r="1603" spans="1:3" ht="16.5" x14ac:dyDescent="0.2">
      <c r="A1603" s="4" t="s">
        <v>152</v>
      </c>
      <c r="B1603" s="15">
        <v>1603</v>
      </c>
      <c r="C1603">
        <f>MOD(B1603,8)</f>
        <v>3</v>
      </c>
    </row>
    <row r="1604" spans="1:3" ht="16.5" x14ac:dyDescent="0.2">
      <c r="A1604" s="4" t="s">
        <v>152</v>
      </c>
      <c r="B1604">
        <v>1604</v>
      </c>
      <c r="C1604">
        <f>MOD(B1604,8)</f>
        <v>4</v>
      </c>
    </row>
    <row r="1605" spans="1:3" ht="16.5" x14ac:dyDescent="0.2">
      <c r="A1605" s="4" t="s">
        <v>152</v>
      </c>
      <c r="B1605" s="15">
        <v>1605</v>
      </c>
      <c r="C1605">
        <f>MOD(B1605,8)</f>
        <v>5</v>
      </c>
    </row>
    <row r="1606" spans="1:3" ht="16.5" x14ac:dyDescent="0.2">
      <c r="A1606" s="4" t="s">
        <v>152</v>
      </c>
      <c r="B1606">
        <v>1606</v>
      </c>
      <c r="C1606">
        <f>MOD(B1606,8)</f>
        <v>6</v>
      </c>
    </row>
    <row r="1607" spans="1:3" ht="16.5" x14ac:dyDescent="0.2">
      <c r="A1607" s="4" t="s">
        <v>152</v>
      </c>
      <c r="B1607">
        <v>1607</v>
      </c>
      <c r="C1607">
        <f>MOD(B1607,8)</f>
        <v>7</v>
      </c>
    </row>
    <row r="1608" spans="1:3" ht="16.5" x14ac:dyDescent="0.2">
      <c r="A1608" s="4" t="s">
        <v>152</v>
      </c>
      <c r="B1608" s="15">
        <v>1608</v>
      </c>
      <c r="C1608">
        <f>MOD(B1608,8)</f>
        <v>0</v>
      </c>
    </row>
    <row r="1609" spans="1:3" ht="16.5" x14ac:dyDescent="0.2">
      <c r="A1609" s="4" t="s">
        <v>151</v>
      </c>
      <c r="B1609">
        <v>1609</v>
      </c>
      <c r="C1609">
        <f>MOD(B1609,8)</f>
        <v>1</v>
      </c>
    </row>
    <row r="1610" spans="1:3" ht="16.5" x14ac:dyDescent="0.2">
      <c r="A1610" s="4" t="s">
        <v>151</v>
      </c>
      <c r="B1610" s="15">
        <v>1610</v>
      </c>
      <c r="C1610">
        <f>MOD(B1610,8)</f>
        <v>2</v>
      </c>
    </row>
    <row r="1611" spans="1:3" ht="16.5" x14ac:dyDescent="0.2">
      <c r="A1611" s="4" t="s">
        <v>151</v>
      </c>
      <c r="B1611">
        <v>1611</v>
      </c>
      <c r="C1611">
        <f>MOD(B1611,8)</f>
        <v>3</v>
      </c>
    </row>
    <row r="1612" spans="1:3" ht="16.5" x14ac:dyDescent="0.2">
      <c r="A1612" s="4" t="s">
        <v>151</v>
      </c>
      <c r="B1612">
        <v>1612</v>
      </c>
      <c r="C1612">
        <f>MOD(B1612,8)</f>
        <v>4</v>
      </c>
    </row>
    <row r="1613" spans="1:3" ht="16.5" x14ac:dyDescent="0.2">
      <c r="A1613" s="4" t="s">
        <v>151</v>
      </c>
      <c r="B1613" s="15">
        <v>1613</v>
      </c>
      <c r="C1613">
        <f>MOD(B1613,8)</f>
        <v>5</v>
      </c>
    </row>
    <row r="1614" spans="1:3" ht="16.5" x14ac:dyDescent="0.2">
      <c r="A1614" s="4" t="s">
        <v>151</v>
      </c>
      <c r="B1614">
        <v>1614</v>
      </c>
      <c r="C1614">
        <f>MOD(B1614,8)</f>
        <v>6</v>
      </c>
    </row>
    <row r="1615" spans="1:3" ht="16.5" x14ac:dyDescent="0.2">
      <c r="A1615" s="4" t="s">
        <v>151</v>
      </c>
      <c r="B1615" s="15">
        <v>1615</v>
      </c>
      <c r="C1615">
        <f>MOD(B1615,8)</f>
        <v>7</v>
      </c>
    </row>
    <row r="1616" spans="1:3" ht="16.5" x14ac:dyDescent="0.2">
      <c r="A1616" s="4" t="s">
        <v>151</v>
      </c>
      <c r="B1616">
        <v>1616</v>
      </c>
      <c r="C1616">
        <f>MOD(B1616,8)</f>
        <v>0</v>
      </c>
    </row>
    <row r="1617" spans="1:3" ht="16.5" x14ac:dyDescent="0.2">
      <c r="A1617" s="4" t="s">
        <v>150</v>
      </c>
      <c r="B1617">
        <v>1617</v>
      </c>
      <c r="C1617">
        <f>MOD(B1617,8)</f>
        <v>1</v>
      </c>
    </row>
    <row r="1618" spans="1:3" ht="16.5" x14ac:dyDescent="0.2">
      <c r="A1618" s="4" t="s">
        <v>150</v>
      </c>
      <c r="B1618" s="15">
        <v>1618</v>
      </c>
      <c r="C1618">
        <f>MOD(B1618,8)</f>
        <v>2</v>
      </c>
    </row>
    <row r="1619" spans="1:3" ht="16.5" x14ac:dyDescent="0.2">
      <c r="A1619" s="4" t="s">
        <v>150</v>
      </c>
      <c r="B1619">
        <v>1619</v>
      </c>
      <c r="C1619">
        <f>MOD(B1619,8)</f>
        <v>3</v>
      </c>
    </row>
    <row r="1620" spans="1:3" ht="16.5" x14ac:dyDescent="0.2">
      <c r="A1620" s="4" t="s">
        <v>150</v>
      </c>
      <c r="B1620" s="15">
        <v>1620</v>
      </c>
      <c r="C1620">
        <f>MOD(B1620,8)</f>
        <v>4</v>
      </c>
    </row>
    <row r="1621" spans="1:3" ht="16.5" x14ac:dyDescent="0.2">
      <c r="A1621" s="4" t="s">
        <v>150</v>
      </c>
      <c r="B1621">
        <v>1621</v>
      </c>
      <c r="C1621">
        <f>MOD(B1621,8)</f>
        <v>5</v>
      </c>
    </row>
    <row r="1622" spans="1:3" ht="16.5" x14ac:dyDescent="0.2">
      <c r="A1622" s="4" t="s">
        <v>150</v>
      </c>
      <c r="B1622">
        <v>1622</v>
      </c>
      <c r="C1622">
        <f>MOD(B1622,8)</f>
        <v>6</v>
      </c>
    </row>
    <row r="1623" spans="1:3" ht="16.5" x14ac:dyDescent="0.2">
      <c r="A1623" s="4" t="s">
        <v>150</v>
      </c>
      <c r="B1623" s="15">
        <v>1623</v>
      </c>
      <c r="C1623">
        <f>MOD(B1623,8)</f>
        <v>7</v>
      </c>
    </row>
    <row r="1624" spans="1:3" ht="16.5" x14ac:dyDescent="0.2">
      <c r="A1624" s="4" t="s">
        <v>150</v>
      </c>
      <c r="B1624">
        <v>1624</v>
      </c>
      <c r="C1624">
        <f>MOD(B1624,8)</f>
        <v>0</v>
      </c>
    </row>
    <row r="1625" spans="1:3" ht="16.5" x14ac:dyDescent="0.2">
      <c r="A1625" s="4" t="s">
        <v>149</v>
      </c>
      <c r="B1625" s="15">
        <v>1625</v>
      </c>
      <c r="C1625">
        <f>MOD(B1625,8)</f>
        <v>1</v>
      </c>
    </row>
    <row r="1626" spans="1:3" ht="16.5" x14ac:dyDescent="0.2">
      <c r="A1626" s="4" t="s">
        <v>149</v>
      </c>
      <c r="B1626">
        <v>1626</v>
      </c>
      <c r="C1626">
        <f>MOD(B1626,8)</f>
        <v>2</v>
      </c>
    </row>
    <row r="1627" spans="1:3" ht="16.5" x14ac:dyDescent="0.2">
      <c r="A1627" s="4" t="s">
        <v>149</v>
      </c>
      <c r="B1627">
        <v>1627</v>
      </c>
      <c r="C1627">
        <f>MOD(B1627,8)</f>
        <v>3</v>
      </c>
    </row>
    <row r="1628" spans="1:3" ht="16.5" x14ac:dyDescent="0.2">
      <c r="A1628" s="4" t="s">
        <v>149</v>
      </c>
      <c r="B1628" s="15">
        <v>1628</v>
      </c>
      <c r="C1628">
        <f>MOD(B1628,8)</f>
        <v>4</v>
      </c>
    </row>
    <row r="1629" spans="1:3" ht="16.5" x14ac:dyDescent="0.2">
      <c r="A1629" s="4" t="s">
        <v>149</v>
      </c>
      <c r="B1629">
        <v>1629</v>
      </c>
      <c r="C1629">
        <f>MOD(B1629,8)</f>
        <v>5</v>
      </c>
    </row>
    <row r="1630" spans="1:3" ht="16.5" x14ac:dyDescent="0.2">
      <c r="A1630" s="4" t="s">
        <v>149</v>
      </c>
      <c r="B1630" s="15">
        <v>1630</v>
      </c>
      <c r="C1630">
        <f>MOD(B1630,8)</f>
        <v>6</v>
      </c>
    </row>
    <row r="1631" spans="1:3" ht="16.5" x14ac:dyDescent="0.2">
      <c r="A1631" s="4" t="s">
        <v>149</v>
      </c>
      <c r="B1631">
        <v>1631</v>
      </c>
      <c r="C1631">
        <f>MOD(B1631,8)</f>
        <v>7</v>
      </c>
    </row>
    <row r="1632" spans="1:3" ht="16.5" x14ac:dyDescent="0.2">
      <c r="A1632" s="4" t="s">
        <v>149</v>
      </c>
      <c r="B1632">
        <v>1632</v>
      </c>
      <c r="C1632">
        <f>MOD(B1632,8)</f>
        <v>0</v>
      </c>
    </row>
    <row r="1633" spans="1:3" ht="16.5" x14ac:dyDescent="0.2">
      <c r="A1633" s="4" t="s">
        <v>148</v>
      </c>
      <c r="B1633" s="15">
        <v>1633</v>
      </c>
      <c r="C1633">
        <f>MOD(B1633,8)</f>
        <v>1</v>
      </c>
    </row>
    <row r="1634" spans="1:3" ht="16.5" x14ac:dyDescent="0.2">
      <c r="A1634" s="4" t="s">
        <v>148</v>
      </c>
      <c r="B1634">
        <v>1634</v>
      </c>
      <c r="C1634">
        <f>MOD(B1634,8)</f>
        <v>2</v>
      </c>
    </row>
    <row r="1635" spans="1:3" ht="16.5" x14ac:dyDescent="0.2">
      <c r="A1635" s="4" t="s">
        <v>148</v>
      </c>
      <c r="B1635" s="15">
        <v>1635</v>
      </c>
      <c r="C1635">
        <f>MOD(B1635,8)</f>
        <v>3</v>
      </c>
    </row>
    <row r="1636" spans="1:3" ht="16.5" x14ac:dyDescent="0.2">
      <c r="A1636" s="4" t="s">
        <v>148</v>
      </c>
      <c r="B1636">
        <v>1636</v>
      </c>
      <c r="C1636">
        <f>MOD(B1636,8)</f>
        <v>4</v>
      </c>
    </row>
    <row r="1637" spans="1:3" ht="16.5" x14ac:dyDescent="0.2">
      <c r="A1637" s="4" t="s">
        <v>148</v>
      </c>
      <c r="B1637">
        <v>1637</v>
      </c>
      <c r="C1637">
        <f>MOD(B1637,8)</f>
        <v>5</v>
      </c>
    </row>
    <row r="1638" spans="1:3" ht="16.5" x14ac:dyDescent="0.2">
      <c r="A1638" s="4" t="s">
        <v>148</v>
      </c>
      <c r="B1638" s="15">
        <v>1638</v>
      </c>
      <c r="C1638">
        <f>MOD(B1638,8)</f>
        <v>6</v>
      </c>
    </row>
    <row r="1639" spans="1:3" ht="16.5" x14ac:dyDescent="0.2">
      <c r="A1639" s="4" t="s">
        <v>148</v>
      </c>
      <c r="B1639">
        <v>1639</v>
      </c>
      <c r="C1639">
        <f>MOD(B1639,8)</f>
        <v>7</v>
      </c>
    </row>
    <row r="1640" spans="1:3" ht="16.5" x14ac:dyDescent="0.2">
      <c r="A1640" s="4" t="s">
        <v>148</v>
      </c>
      <c r="B1640" s="15">
        <v>1640</v>
      </c>
      <c r="C1640">
        <f>MOD(B1640,8)</f>
        <v>0</v>
      </c>
    </row>
    <row r="1641" spans="1:3" ht="16.5" x14ac:dyDescent="0.2">
      <c r="A1641" s="4" t="s">
        <v>147</v>
      </c>
      <c r="B1641">
        <v>1641</v>
      </c>
      <c r="C1641">
        <f>MOD(B1641,8)</f>
        <v>1</v>
      </c>
    </row>
    <row r="1642" spans="1:3" ht="16.5" x14ac:dyDescent="0.2">
      <c r="A1642" s="4" t="s">
        <v>147</v>
      </c>
      <c r="B1642">
        <v>1642</v>
      </c>
      <c r="C1642">
        <f>MOD(B1642,8)</f>
        <v>2</v>
      </c>
    </row>
    <row r="1643" spans="1:3" ht="16.5" x14ac:dyDescent="0.2">
      <c r="A1643" s="4" t="s">
        <v>147</v>
      </c>
      <c r="B1643" s="15">
        <v>1643</v>
      </c>
      <c r="C1643">
        <f>MOD(B1643,8)</f>
        <v>3</v>
      </c>
    </row>
    <row r="1644" spans="1:3" ht="16.5" x14ac:dyDescent="0.2">
      <c r="A1644" s="4" t="s">
        <v>147</v>
      </c>
      <c r="B1644">
        <v>1644</v>
      </c>
      <c r="C1644">
        <f>MOD(B1644,8)</f>
        <v>4</v>
      </c>
    </row>
    <row r="1645" spans="1:3" ht="16.5" x14ac:dyDescent="0.2">
      <c r="A1645" s="4" t="s">
        <v>147</v>
      </c>
      <c r="B1645" s="15">
        <v>1645</v>
      </c>
      <c r="C1645">
        <f>MOD(B1645,8)</f>
        <v>5</v>
      </c>
    </row>
    <row r="1646" spans="1:3" ht="16.5" x14ac:dyDescent="0.2">
      <c r="A1646" s="4" t="s">
        <v>147</v>
      </c>
      <c r="B1646">
        <v>1646</v>
      </c>
      <c r="C1646">
        <f>MOD(B1646,8)</f>
        <v>6</v>
      </c>
    </row>
    <row r="1647" spans="1:3" ht="16.5" x14ac:dyDescent="0.2">
      <c r="A1647" s="4" t="s">
        <v>147</v>
      </c>
      <c r="B1647">
        <v>1647</v>
      </c>
      <c r="C1647">
        <f>MOD(B1647,8)</f>
        <v>7</v>
      </c>
    </row>
    <row r="1648" spans="1:3" ht="16.5" x14ac:dyDescent="0.2">
      <c r="A1648" s="4" t="s">
        <v>147</v>
      </c>
      <c r="B1648" s="15">
        <v>1648</v>
      </c>
      <c r="C1648">
        <f>MOD(B1648,8)</f>
        <v>0</v>
      </c>
    </row>
    <row r="1649" spans="1:3" ht="16.5" x14ac:dyDescent="0.2">
      <c r="A1649" s="4" t="s">
        <v>146</v>
      </c>
      <c r="B1649">
        <v>1649</v>
      </c>
      <c r="C1649">
        <f>MOD(B1649,8)</f>
        <v>1</v>
      </c>
    </row>
    <row r="1650" spans="1:3" ht="16.5" x14ac:dyDescent="0.2">
      <c r="A1650" s="4" t="s">
        <v>146</v>
      </c>
      <c r="B1650" s="15">
        <v>1650</v>
      </c>
      <c r="C1650">
        <f>MOD(B1650,8)</f>
        <v>2</v>
      </c>
    </row>
    <row r="1651" spans="1:3" ht="16.5" x14ac:dyDescent="0.2">
      <c r="A1651" s="4" t="s">
        <v>146</v>
      </c>
      <c r="B1651">
        <v>1651</v>
      </c>
      <c r="C1651">
        <f>MOD(B1651,8)</f>
        <v>3</v>
      </c>
    </row>
    <row r="1652" spans="1:3" ht="16.5" x14ac:dyDescent="0.2">
      <c r="A1652" s="4" t="s">
        <v>146</v>
      </c>
      <c r="B1652">
        <v>1652</v>
      </c>
      <c r="C1652">
        <f>MOD(B1652,8)</f>
        <v>4</v>
      </c>
    </row>
    <row r="1653" spans="1:3" ht="16.5" x14ac:dyDescent="0.2">
      <c r="A1653" s="4" t="s">
        <v>146</v>
      </c>
      <c r="B1653" s="15">
        <v>1653</v>
      </c>
      <c r="C1653">
        <f>MOD(B1653,8)</f>
        <v>5</v>
      </c>
    </row>
    <row r="1654" spans="1:3" ht="16.5" x14ac:dyDescent="0.2">
      <c r="A1654" s="4" t="s">
        <v>146</v>
      </c>
      <c r="B1654">
        <v>1654</v>
      </c>
      <c r="C1654">
        <f>MOD(B1654,8)</f>
        <v>6</v>
      </c>
    </row>
    <row r="1655" spans="1:3" ht="16.5" x14ac:dyDescent="0.2">
      <c r="A1655" s="4" t="s">
        <v>146</v>
      </c>
      <c r="B1655" s="15">
        <v>1655</v>
      </c>
      <c r="C1655">
        <f>MOD(B1655,8)</f>
        <v>7</v>
      </c>
    </row>
    <row r="1656" spans="1:3" ht="16.5" x14ac:dyDescent="0.2">
      <c r="A1656" s="4" t="s">
        <v>146</v>
      </c>
      <c r="B1656">
        <v>1656</v>
      </c>
      <c r="C1656">
        <f>MOD(B1656,8)</f>
        <v>0</v>
      </c>
    </row>
    <row r="1657" spans="1:3" ht="16.5" x14ac:dyDescent="0.2">
      <c r="A1657" s="4" t="s">
        <v>145</v>
      </c>
      <c r="B1657">
        <v>1657</v>
      </c>
      <c r="C1657">
        <f>MOD(B1657,8)</f>
        <v>1</v>
      </c>
    </row>
    <row r="1658" spans="1:3" ht="16.5" x14ac:dyDescent="0.2">
      <c r="A1658" s="4" t="s">
        <v>145</v>
      </c>
      <c r="B1658" s="15">
        <v>1658</v>
      </c>
      <c r="C1658">
        <f>MOD(B1658,8)</f>
        <v>2</v>
      </c>
    </row>
    <row r="1659" spans="1:3" ht="16.5" x14ac:dyDescent="0.2">
      <c r="A1659" s="4" t="s">
        <v>145</v>
      </c>
      <c r="B1659">
        <v>1659</v>
      </c>
      <c r="C1659">
        <f>MOD(B1659,8)</f>
        <v>3</v>
      </c>
    </row>
    <row r="1660" spans="1:3" ht="16.5" x14ac:dyDescent="0.2">
      <c r="A1660" s="4" t="s">
        <v>145</v>
      </c>
      <c r="B1660" s="15">
        <v>1660</v>
      </c>
      <c r="C1660">
        <f>MOD(B1660,8)</f>
        <v>4</v>
      </c>
    </row>
    <row r="1661" spans="1:3" ht="16.5" x14ac:dyDescent="0.2">
      <c r="A1661" s="4" t="s">
        <v>145</v>
      </c>
      <c r="B1661">
        <v>1661</v>
      </c>
      <c r="C1661">
        <f>MOD(B1661,8)</f>
        <v>5</v>
      </c>
    </row>
    <row r="1662" spans="1:3" ht="16.5" x14ac:dyDescent="0.2">
      <c r="A1662" s="4" t="s">
        <v>145</v>
      </c>
      <c r="B1662">
        <v>1662</v>
      </c>
      <c r="C1662">
        <f>MOD(B1662,8)</f>
        <v>6</v>
      </c>
    </row>
    <row r="1663" spans="1:3" ht="16.5" x14ac:dyDescent="0.2">
      <c r="A1663" s="4" t="s">
        <v>145</v>
      </c>
      <c r="B1663" s="15">
        <v>1663</v>
      </c>
      <c r="C1663">
        <f>MOD(B1663,8)</f>
        <v>7</v>
      </c>
    </row>
    <row r="1664" spans="1:3" ht="16.5" x14ac:dyDescent="0.2">
      <c r="A1664" s="4" t="s">
        <v>145</v>
      </c>
      <c r="B1664">
        <v>1664</v>
      </c>
      <c r="C1664">
        <f>MOD(B1664,8)</f>
        <v>0</v>
      </c>
    </row>
    <row r="1665" spans="1:3" ht="16.5" x14ac:dyDescent="0.2">
      <c r="A1665" s="4" t="s">
        <v>144</v>
      </c>
      <c r="B1665" s="15">
        <v>1665</v>
      </c>
      <c r="C1665">
        <f>MOD(B1665,8)</f>
        <v>1</v>
      </c>
    </row>
    <row r="1666" spans="1:3" ht="16.5" x14ac:dyDescent="0.2">
      <c r="A1666" s="4" t="s">
        <v>144</v>
      </c>
      <c r="B1666">
        <v>1666</v>
      </c>
      <c r="C1666">
        <f>MOD(B1666,8)</f>
        <v>2</v>
      </c>
    </row>
    <row r="1667" spans="1:3" ht="16.5" x14ac:dyDescent="0.2">
      <c r="A1667" s="4" t="s">
        <v>144</v>
      </c>
      <c r="B1667">
        <v>1667</v>
      </c>
      <c r="C1667">
        <f>MOD(B1667,8)</f>
        <v>3</v>
      </c>
    </row>
    <row r="1668" spans="1:3" ht="16.5" x14ac:dyDescent="0.2">
      <c r="A1668" s="4" t="s">
        <v>144</v>
      </c>
      <c r="B1668" s="15">
        <v>1668</v>
      </c>
      <c r="C1668">
        <f>MOD(B1668,8)</f>
        <v>4</v>
      </c>
    </row>
    <row r="1669" spans="1:3" ht="16.5" x14ac:dyDescent="0.2">
      <c r="A1669" s="4" t="s">
        <v>144</v>
      </c>
      <c r="B1669">
        <v>1669</v>
      </c>
      <c r="C1669">
        <f>MOD(B1669,8)</f>
        <v>5</v>
      </c>
    </row>
    <row r="1670" spans="1:3" ht="16.5" x14ac:dyDescent="0.2">
      <c r="A1670" s="4" t="s">
        <v>144</v>
      </c>
      <c r="B1670" s="15">
        <v>1670</v>
      </c>
      <c r="C1670">
        <f>MOD(B1670,8)</f>
        <v>6</v>
      </c>
    </row>
    <row r="1671" spans="1:3" ht="16.5" x14ac:dyDescent="0.2">
      <c r="A1671" s="4" t="s">
        <v>144</v>
      </c>
      <c r="B1671">
        <v>1671</v>
      </c>
      <c r="C1671">
        <f>MOD(B1671,8)</f>
        <v>7</v>
      </c>
    </row>
    <row r="1672" spans="1:3" ht="16.5" x14ac:dyDescent="0.2">
      <c r="A1672" s="4" t="s">
        <v>144</v>
      </c>
      <c r="B1672">
        <v>1672</v>
      </c>
      <c r="C1672">
        <f>MOD(B1672,8)</f>
        <v>0</v>
      </c>
    </row>
    <row r="1673" spans="1:3" ht="16.5" x14ac:dyDescent="0.2">
      <c r="A1673" s="4" t="s">
        <v>143</v>
      </c>
      <c r="B1673" s="15">
        <v>1673</v>
      </c>
      <c r="C1673">
        <f>MOD(B1673,8)</f>
        <v>1</v>
      </c>
    </row>
    <row r="1674" spans="1:3" ht="16.5" x14ac:dyDescent="0.2">
      <c r="A1674" s="4" t="s">
        <v>143</v>
      </c>
      <c r="B1674">
        <v>1674</v>
      </c>
      <c r="C1674">
        <f>MOD(B1674,8)</f>
        <v>2</v>
      </c>
    </row>
    <row r="1675" spans="1:3" ht="16.5" x14ac:dyDescent="0.2">
      <c r="A1675" s="4" t="s">
        <v>143</v>
      </c>
      <c r="B1675" s="15">
        <v>1675</v>
      </c>
      <c r="C1675">
        <f>MOD(B1675,8)</f>
        <v>3</v>
      </c>
    </row>
    <row r="1676" spans="1:3" ht="16.5" x14ac:dyDescent="0.2">
      <c r="A1676" s="4" t="s">
        <v>143</v>
      </c>
      <c r="B1676">
        <v>1676</v>
      </c>
      <c r="C1676">
        <f>MOD(B1676,8)</f>
        <v>4</v>
      </c>
    </row>
    <row r="1677" spans="1:3" ht="16.5" x14ac:dyDescent="0.2">
      <c r="A1677" s="4" t="s">
        <v>143</v>
      </c>
      <c r="B1677">
        <v>1677</v>
      </c>
      <c r="C1677">
        <f>MOD(B1677,8)</f>
        <v>5</v>
      </c>
    </row>
    <row r="1678" spans="1:3" ht="16.5" x14ac:dyDescent="0.2">
      <c r="A1678" s="4" t="s">
        <v>143</v>
      </c>
      <c r="B1678" s="15">
        <v>1678</v>
      </c>
      <c r="C1678">
        <f>MOD(B1678,8)</f>
        <v>6</v>
      </c>
    </row>
    <row r="1679" spans="1:3" ht="16.5" x14ac:dyDescent="0.2">
      <c r="A1679" s="4" t="s">
        <v>143</v>
      </c>
      <c r="B1679">
        <v>1679</v>
      </c>
      <c r="C1679">
        <f>MOD(B1679,8)</f>
        <v>7</v>
      </c>
    </row>
    <row r="1680" spans="1:3" ht="16.5" x14ac:dyDescent="0.2">
      <c r="A1680" s="4" t="s">
        <v>143</v>
      </c>
      <c r="B1680" s="15">
        <v>1680</v>
      </c>
      <c r="C1680">
        <f>MOD(B1680,8)</f>
        <v>0</v>
      </c>
    </row>
    <row r="1681" spans="1:3" ht="16.5" x14ac:dyDescent="0.2">
      <c r="A1681" s="4" t="s">
        <v>142</v>
      </c>
      <c r="B1681">
        <v>1681</v>
      </c>
      <c r="C1681">
        <f>MOD(B1681,8)</f>
        <v>1</v>
      </c>
    </row>
    <row r="1682" spans="1:3" ht="16.5" x14ac:dyDescent="0.2">
      <c r="A1682" s="4" t="s">
        <v>142</v>
      </c>
      <c r="B1682">
        <v>1682</v>
      </c>
      <c r="C1682">
        <f>MOD(B1682,8)</f>
        <v>2</v>
      </c>
    </row>
    <row r="1683" spans="1:3" ht="16.5" x14ac:dyDescent="0.2">
      <c r="A1683" s="4" t="s">
        <v>142</v>
      </c>
      <c r="B1683" s="15">
        <v>1683</v>
      </c>
      <c r="C1683">
        <f>MOD(B1683,8)</f>
        <v>3</v>
      </c>
    </row>
    <row r="1684" spans="1:3" ht="16.5" x14ac:dyDescent="0.2">
      <c r="A1684" s="4" t="s">
        <v>142</v>
      </c>
      <c r="B1684">
        <v>1684</v>
      </c>
      <c r="C1684">
        <f>MOD(B1684,8)</f>
        <v>4</v>
      </c>
    </row>
    <row r="1685" spans="1:3" ht="16.5" x14ac:dyDescent="0.2">
      <c r="A1685" s="4" t="s">
        <v>142</v>
      </c>
      <c r="B1685" s="15">
        <v>1685</v>
      </c>
      <c r="C1685">
        <f>MOD(B1685,8)</f>
        <v>5</v>
      </c>
    </row>
    <row r="1686" spans="1:3" ht="16.5" x14ac:dyDescent="0.2">
      <c r="A1686" s="4" t="s">
        <v>142</v>
      </c>
      <c r="B1686">
        <v>1686</v>
      </c>
      <c r="C1686">
        <f>MOD(B1686,8)</f>
        <v>6</v>
      </c>
    </row>
    <row r="1687" spans="1:3" ht="16.5" x14ac:dyDescent="0.2">
      <c r="A1687" s="4" t="s">
        <v>142</v>
      </c>
      <c r="B1687">
        <v>1687</v>
      </c>
      <c r="C1687">
        <f>MOD(B1687,8)</f>
        <v>7</v>
      </c>
    </row>
    <row r="1688" spans="1:3" ht="16.5" x14ac:dyDescent="0.2">
      <c r="A1688" s="4" t="s">
        <v>142</v>
      </c>
      <c r="B1688" s="15">
        <v>1688</v>
      </c>
      <c r="C1688">
        <f>MOD(B1688,8)</f>
        <v>0</v>
      </c>
    </row>
    <row r="1689" spans="1:3" ht="16.5" x14ac:dyDescent="0.2">
      <c r="A1689" s="4" t="s">
        <v>141</v>
      </c>
      <c r="B1689">
        <v>1689</v>
      </c>
      <c r="C1689">
        <f>MOD(B1689,8)</f>
        <v>1</v>
      </c>
    </row>
    <row r="1690" spans="1:3" ht="16.5" x14ac:dyDescent="0.2">
      <c r="A1690" s="4" t="s">
        <v>141</v>
      </c>
      <c r="B1690" s="15">
        <v>1690</v>
      </c>
      <c r="C1690">
        <f>MOD(B1690,8)</f>
        <v>2</v>
      </c>
    </row>
    <row r="1691" spans="1:3" ht="16.5" x14ac:dyDescent="0.2">
      <c r="A1691" s="4" t="s">
        <v>141</v>
      </c>
      <c r="B1691">
        <v>1691</v>
      </c>
      <c r="C1691">
        <f>MOD(B1691,8)</f>
        <v>3</v>
      </c>
    </row>
    <row r="1692" spans="1:3" ht="16.5" x14ac:dyDescent="0.2">
      <c r="A1692" s="4" t="s">
        <v>141</v>
      </c>
      <c r="B1692">
        <v>1692</v>
      </c>
      <c r="C1692">
        <f>MOD(B1692,8)</f>
        <v>4</v>
      </c>
    </row>
    <row r="1693" spans="1:3" ht="16.5" x14ac:dyDescent="0.2">
      <c r="A1693" s="4" t="s">
        <v>141</v>
      </c>
      <c r="B1693" s="15">
        <v>1693</v>
      </c>
      <c r="C1693">
        <f>MOD(B1693,8)</f>
        <v>5</v>
      </c>
    </row>
    <row r="1694" spans="1:3" ht="16.5" x14ac:dyDescent="0.2">
      <c r="A1694" s="4" t="s">
        <v>141</v>
      </c>
      <c r="B1694">
        <v>1694</v>
      </c>
      <c r="C1694">
        <f>MOD(B1694,8)</f>
        <v>6</v>
      </c>
    </row>
    <row r="1695" spans="1:3" ht="16.5" x14ac:dyDescent="0.2">
      <c r="A1695" s="4" t="s">
        <v>141</v>
      </c>
      <c r="B1695" s="15">
        <v>1695</v>
      </c>
      <c r="C1695">
        <f>MOD(B1695,8)</f>
        <v>7</v>
      </c>
    </row>
    <row r="1696" spans="1:3" ht="16.5" x14ac:dyDescent="0.2">
      <c r="A1696" s="4" t="s">
        <v>141</v>
      </c>
      <c r="B1696">
        <v>1696</v>
      </c>
      <c r="C1696">
        <f>MOD(B1696,8)</f>
        <v>0</v>
      </c>
    </row>
    <row r="1697" spans="1:3" ht="16.5" x14ac:dyDescent="0.2">
      <c r="A1697" s="4" t="s">
        <v>140</v>
      </c>
      <c r="B1697">
        <v>1697</v>
      </c>
      <c r="C1697">
        <f>MOD(B1697,8)</f>
        <v>1</v>
      </c>
    </row>
    <row r="1698" spans="1:3" ht="16.5" x14ac:dyDescent="0.2">
      <c r="A1698" s="4" t="s">
        <v>140</v>
      </c>
      <c r="B1698" s="15">
        <v>1698</v>
      </c>
      <c r="C1698">
        <f>MOD(B1698,8)</f>
        <v>2</v>
      </c>
    </row>
    <row r="1699" spans="1:3" ht="16.5" x14ac:dyDescent="0.2">
      <c r="A1699" s="4" t="s">
        <v>140</v>
      </c>
      <c r="B1699">
        <v>1699</v>
      </c>
      <c r="C1699">
        <f>MOD(B1699,8)</f>
        <v>3</v>
      </c>
    </row>
    <row r="1700" spans="1:3" ht="16.5" x14ac:dyDescent="0.2">
      <c r="A1700" s="4" t="s">
        <v>140</v>
      </c>
      <c r="B1700" s="15">
        <v>1700</v>
      </c>
      <c r="C1700">
        <f>MOD(B1700,8)</f>
        <v>4</v>
      </c>
    </row>
    <row r="1701" spans="1:3" ht="16.5" x14ac:dyDescent="0.2">
      <c r="A1701" s="4" t="s">
        <v>140</v>
      </c>
      <c r="B1701">
        <v>1701</v>
      </c>
      <c r="C1701">
        <f>MOD(B1701,8)</f>
        <v>5</v>
      </c>
    </row>
    <row r="1702" spans="1:3" ht="16.5" x14ac:dyDescent="0.2">
      <c r="A1702" s="4" t="s">
        <v>140</v>
      </c>
      <c r="B1702">
        <v>1702</v>
      </c>
      <c r="C1702">
        <f>MOD(B1702,8)</f>
        <v>6</v>
      </c>
    </row>
    <row r="1703" spans="1:3" ht="16.5" x14ac:dyDescent="0.2">
      <c r="A1703" s="4" t="s">
        <v>140</v>
      </c>
      <c r="B1703" s="15">
        <v>1703</v>
      </c>
      <c r="C1703">
        <f>MOD(B1703,8)</f>
        <v>7</v>
      </c>
    </row>
    <row r="1704" spans="1:3" ht="16.5" x14ac:dyDescent="0.2">
      <c r="A1704" s="4" t="s">
        <v>140</v>
      </c>
      <c r="B1704">
        <v>1704</v>
      </c>
      <c r="C1704">
        <f>MOD(B1704,8)</f>
        <v>0</v>
      </c>
    </row>
    <row r="1705" spans="1:3" ht="16.5" x14ac:dyDescent="0.2">
      <c r="A1705" s="4" t="s">
        <v>139</v>
      </c>
      <c r="B1705" s="15">
        <v>1705</v>
      </c>
      <c r="C1705">
        <f>MOD(B1705,8)</f>
        <v>1</v>
      </c>
    </row>
    <row r="1706" spans="1:3" ht="16.5" x14ac:dyDescent="0.2">
      <c r="A1706" s="4" t="s">
        <v>139</v>
      </c>
      <c r="B1706">
        <v>1706</v>
      </c>
      <c r="C1706">
        <f>MOD(B1706,8)</f>
        <v>2</v>
      </c>
    </row>
    <row r="1707" spans="1:3" ht="16.5" x14ac:dyDescent="0.2">
      <c r="A1707" s="4" t="s">
        <v>139</v>
      </c>
      <c r="B1707">
        <v>1707</v>
      </c>
      <c r="C1707">
        <f>MOD(B1707,8)</f>
        <v>3</v>
      </c>
    </row>
    <row r="1708" spans="1:3" ht="16.5" x14ac:dyDescent="0.2">
      <c r="A1708" s="4" t="s">
        <v>139</v>
      </c>
      <c r="B1708" s="15">
        <v>1708</v>
      </c>
      <c r="C1708">
        <f>MOD(B1708,8)</f>
        <v>4</v>
      </c>
    </row>
    <row r="1709" spans="1:3" ht="16.5" x14ac:dyDescent="0.2">
      <c r="A1709" s="4" t="s">
        <v>139</v>
      </c>
      <c r="B1709">
        <v>1709</v>
      </c>
      <c r="C1709">
        <f>MOD(B1709,8)</f>
        <v>5</v>
      </c>
    </row>
    <row r="1710" spans="1:3" ht="16.5" x14ac:dyDescent="0.2">
      <c r="A1710" s="4" t="s">
        <v>139</v>
      </c>
      <c r="B1710" s="15">
        <v>1710</v>
      </c>
      <c r="C1710">
        <f>MOD(B1710,8)</f>
        <v>6</v>
      </c>
    </row>
    <row r="1711" spans="1:3" ht="16.5" x14ac:dyDescent="0.2">
      <c r="A1711" s="4" t="s">
        <v>139</v>
      </c>
      <c r="B1711">
        <v>1711</v>
      </c>
      <c r="C1711">
        <f>MOD(B1711,8)</f>
        <v>7</v>
      </c>
    </row>
    <row r="1712" spans="1:3" ht="16.5" x14ac:dyDescent="0.2">
      <c r="A1712" s="4" t="s">
        <v>139</v>
      </c>
      <c r="B1712">
        <v>1712</v>
      </c>
      <c r="C1712">
        <f>MOD(B1712,8)</f>
        <v>0</v>
      </c>
    </row>
    <row r="1713" spans="1:3" ht="16.5" x14ac:dyDescent="0.2">
      <c r="A1713" s="4" t="s">
        <v>138</v>
      </c>
      <c r="B1713" s="15">
        <v>1713</v>
      </c>
      <c r="C1713">
        <f>MOD(B1713,8)</f>
        <v>1</v>
      </c>
    </row>
    <row r="1714" spans="1:3" ht="16.5" x14ac:dyDescent="0.2">
      <c r="A1714" s="4" t="s">
        <v>138</v>
      </c>
      <c r="B1714">
        <v>1714</v>
      </c>
      <c r="C1714">
        <f>MOD(B1714,8)</f>
        <v>2</v>
      </c>
    </row>
    <row r="1715" spans="1:3" ht="16.5" x14ac:dyDescent="0.2">
      <c r="A1715" s="4" t="s">
        <v>138</v>
      </c>
      <c r="B1715" s="15">
        <v>1715</v>
      </c>
      <c r="C1715">
        <f>MOD(B1715,8)</f>
        <v>3</v>
      </c>
    </row>
    <row r="1716" spans="1:3" ht="16.5" x14ac:dyDescent="0.2">
      <c r="A1716" s="4" t="s">
        <v>138</v>
      </c>
      <c r="B1716">
        <v>1716</v>
      </c>
      <c r="C1716">
        <f>MOD(B1716,8)</f>
        <v>4</v>
      </c>
    </row>
    <row r="1717" spans="1:3" ht="16.5" x14ac:dyDescent="0.2">
      <c r="A1717" s="4" t="s">
        <v>138</v>
      </c>
      <c r="B1717">
        <v>1717</v>
      </c>
      <c r="C1717">
        <f>MOD(B1717,8)</f>
        <v>5</v>
      </c>
    </row>
    <row r="1718" spans="1:3" ht="16.5" x14ac:dyDescent="0.2">
      <c r="A1718" s="4" t="s">
        <v>138</v>
      </c>
      <c r="B1718" s="15">
        <v>1718</v>
      </c>
      <c r="C1718">
        <f>MOD(B1718,8)</f>
        <v>6</v>
      </c>
    </row>
    <row r="1719" spans="1:3" ht="16.5" x14ac:dyDescent="0.2">
      <c r="A1719" s="4" t="s">
        <v>138</v>
      </c>
      <c r="B1719">
        <v>1719</v>
      </c>
      <c r="C1719">
        <f>MOD(B1719,8)</f>
        <v>7</v>
      </c>
    </row>
    <row r="1720" spans="1:3" ht="16.5" x14ac:dyDescent="0.2">
      <c r="A1720" s="4" t="s">
        <v>138</v>
      </c>
      <c r="B1720" s="15">
        <v>1720</v>
      </c>
      <c r="C1720">
        <f>MOD(B1720,8)</f>
        <v>0</v>
      </c>
    </row>
    <row r="1721" spans="1:3" ht="16.5" x14ac:dyDescent="0.2">
      <c r="A1721" s="4" t="s">
        <v>137</v>
      </c>
      <c r="B1721">
        <v>1721</v>
      </c>
      <c r="C1721">
        <f>MOD(B1721,8)</f>
        <v>1</v>
      </c>
    </row>
    <row r="1722" spans="1:3" ht="16.5" x14ac:dyDescent="0.2">
      <c r="A1722" s="4" t="s">
        <v>137</v>
      </c>
      <c r="B1722">
        <v>1722</v>
      </c>
      <c r="C1722">
        <f>MOD(B1722,8)</f>
        <v>2</v>
      </c>
    </row>
    <row r="1723" spans="1:3" ht="16.5" x14ac:dyDescent="0.2">
      <c r="A1723" s="4" t="s">
        <v>137</v>
      </c>
      <c r="B1723" s="15">
        <v>1723</v>
      </c>
      <c r="C1723">
        <f>MOD(B1723,8)</f>
        <v>3</v>
      </c>
    </row>
    <row r="1724" spans="1:3" ht="16.5" x14ac:dyDescent="0.2">
      <c r="A1724" s="4" t="s">
        <v>137</v>
      </c>
      <c r="B1724">
        <v>1724</v>
      </c>
      <c r="C1724">
        <f>MOD(B1724,8)</f>
        <v>4</v>
      </c>
    </row>
    <row r="1725" spans="1:3" ht="16.5" x14ac:dyDescent="0.2">
      <c r="A1725" s="4" t="s">
        <v>137</v>
      </c>
      <c r="B1725" s="15">
        <v>1725</v>
      </c>
      <c r="C1725">
        <f>MOD(B1725,8)</f>
        <v>5</v>
      </c>
    </row>
    <row r="1726" spans="1:3" ht="16.5" x14ac:dyDescent="0.2">
      <c r="A1726" s="4" t="s">
        <v>137</v>
      </c>
      <c r="B1726">
        <v>1726</v>
      </c>
      <c r="C1726">
        <f>MOD(B1726,8)</f>
        <v>6</v>
      </c>
    </row>
    <row r="1727" spans="1:3" ht="16.5" x14ac:dyDescent="0.2">
      <c r="A1727" s="4" t="s">
        <v>137</v>
      </c>
      <c r="B1727">
        <v>1727</v>
      </c>
      <c r="C1727">
        <f>MOD(B1727,8)</f>
        <v>7</v>
      </c>
    </row>
    <row r="1728" spans="1:3" ht="16.5" x14ac:dyDescent="0.2">
      <c r="A1728" s="4" t="s">
        <v>137</v>
      </c>
      <c r="B1728" s="15">
        <v>1728</v>
      </c>
      <c r="C1728">
        <f>MOD(B1728,8)</f>
        <v>0</v>
      </c>
    </row>
    <row r="1729" spans="1:3" ht="16.5" x14ac:dyDescent="0.2">
      <c r="A1729" s="4" t="s">
        <v>136</v>
      </c>
      <c r="B1729">
        <v>1729</v>
      </c>
      <c r="C1729">
        <f>MOD(B1729,8)</f>
        <v>1</v>
      </c>
    </row>
    <row r="1730" spans="1:3" ht="16.5" x14ac:dyDescent="0.2">
      <c r="A1730" s="4" t="s">
        <v>136</v>
      </c>
      <c r="B1730" s="15">
        <v>1730</v>
      </c>
      <c r="C1730">
        <f>MOD(B1730,8)</f>
        <v>2</v>
      </c>
    </row>
    <row r="1731" spans="1:3" ht="16.5" x14ac:dyDescent="0.2">
      <c r="A1731" s="4" t="s">
        <v>136</v>
      </c>
      <c r="B1731">
        <v>1731</v>
      </c>
      <c r="C1731">
        <f>MOD(B1731,8)</f>
        <v>3</v>
      </c>
    </row>
    <row r="1732" spans="1:3" ht="16.5" x14ac:dyDescent="0.2">
      <c r="A1732" s="4" t="s">
        <v>136</v>
      </c>
      <c r="B1732">
        <v>1732</v>
      </c>
      <c r="C1732">
        <f>MOD(B1732,8)</f>
        <v>4</v>
      </c>
    </row>
    <row r="1733" spans="1:3" ht="16.5" x14ac:dyDescent="0.2">
      <c r="A1733" s="4" t="s">
        <v>136</v>
      </c>
      <c r="B1733" s="15">
        <v>1733</v>
      </c>
      <c r="C1733">
        <f>MOD(B1733,8)</f>
        <v>5</v>
      </c>
    </row>
    <row r="1734" spans="1:3" ht="16.5" x14ac:dyDescent="0.2">
      <c r="A1734" s="4" t="s">
        <v>136</v>
      </c>
      <c r="B1734">
        <v>1734</v>
      </c>
      <c r="C1734">
        <f>MOD(B1734,8)</f>
        <v>6</v>
      </c>
    </row>
    <row r="1735" spans="1:3" ht="16.5" x14ac:dyDescent="0.2">
      <c r="A1735" s="4" t="s">
        <v>136</v>
      </c>
      <c r="B1735" s="15">
        <v>1735</v>
      </c>
      <c r="C1735">
        <f>MOD(B1735,8)</f>
        <v>7</v>
      </c>
    </row>
    <row r="1736" spans="1:3" ht="16.5" x14ac:dyDescent="0.2">
      <c r="A1736" s="4" t="s">
        <v>136</v>
      </c>
      <c r="B1736">
        <v>1736</v>
      </c>
      <c r="C1736">
        <f>MOD(B1736,8)</f>
        <v>0</v>
      </c>
    </row>
    <row r="1737" spans="1:3" ht="16.5" x14ac:dyDescent="0.2">
      <c r="A1737" s="4" t="s">
        <v>135</v>
      </c>
      <c r="B1737">
        <v>1737</v>
      </c>
      <c r="C1737">
        <f>MOD(B1737,8)</f>
        <v>1</v>
      </c>
    </row>
    <row r="1738" spans="1:3" ht="16.5" x14ac:dyDescent="0.2">
      <c r="A1738" s="4" t="s">
        <v>135</v>
      </c>
      <c r="B1738" s="15">
        <v>1738</v>
      </c>
      <c r="C1738">
        <f>MOD(B1738,8)</f>
        <v>2</v>
      </c>
    </row>
    <row r="1739" spans="1:3" ht="16.5" x14ac:dyDescent="0.2">
      <c r="A1739" s="4" t="s">
        <v>135</v>
      </c>
      <c r="B1739">
        <v>1739</v>
      </c>
      <c r="C1739">
        <f>MOD(B1739,8)</f>
        <v>3</v>
      </c>
    </row>
    <row r="1740" spans="1:3" ht="16.5" x14ac:dyDescent="0.2">
      <c r="A1740" s="4" t="s">
        <v>135</v>
      </c>
      <c r="B1740" s="15">
        <v>1740</v>
      </c>
      <c r="C1740">
        <f>MOD(B1740,8)</f>
        <v>4</v>
      </c>
    </row>
    <row r="1741" spans="1:3" ht="16.5" x14ac:dyDescent="0.2">
      <c r="A1741" s="4" t="s">
        <v>135</v>
      </c>
      <c r="B1741">
        <v>1741</v>
      </c>
      <c r="C1741">
        <f>MOD(B1741,8)</f>
        <v>5</v>
      </c>
    </row>
    <row r="1742" spans="1:3" ht="16.5" x14ac:dyDescent="0.2">
      <c r="A1742" s="4" t="s">
        <v>135</v>
      </c>
      <c r="B1742">
        <v>1742</v>
      </c>
      <c r="C1742">
        <f>MOD(B1742,8)</f>
        <v>6</v>
      </c>
    </row>
    <row r="1743" spans="1:3" ht="16.5" x14ac:dyDescent="0.2">
      <c r="A1743" s="4" t="s">
        <v>135</v>
      </c>
      <c r="B1743" s="15">
        <v>1743</v>
      </c>
      <c r="C1743">
        <f>MOD(B1743,8)</f>
        <v>7</v>
      </c>
    </row>
    <row r="1744" spans="1:3" ht="16.5" x14ac:dyDescent="0.2">
      <c r="A1744" s="4" t="s">
        <v>135</v>
      </c>
      <c r="B1744">
        <v>1744</v>
      </c>
      <c r="C1744">
        <f>MOD(B1744,8)</f>
        <v>0</v>
      </c>
    </row>
    <row r="1745" spans="1:3" ht="16.5" x14ac:dyDescent="0.2">
      <c r="A1745" s="4" t="s">
        <v>134</v>
      </c>
      <c r="B1745" s="15">
        <v>1745</v>
      </c>
      <c r="C1745">
        <f>MOD(B1745,8)</f>
        <v>1</v>
      </c>
    </row>
    <row r="1746" spans="1:3" ht="16.5" x14ac:dyDescent="0.2">
      <c r="A1746" s="4" t="s">
        <v>134</v>
      </c>
      <c r="B1746">
        <v>1746</v>
      </c>
      <c r="C1746">
        <f>MOD(B1746,8)</f>
        <v>2</v>
      </c>
    </row>
    <row r="1747" spans="1:3" ht="16.5" x14ac:dyDescent="0.2">
      <c r="A1747" s="4" t="s">
        <v>134</v>
      </c>
      <c r="B1747">
        <v>1747</v>
      </c>
      <c r="C1747">
        <f>MOD(B1747,8)</f>
        <v>3</v>
      </c>
    </row>
    <row r="1748" spans="1:3" ht="16.5" x14ac:dyDescent="0.2">
      <c r="A1748" s="4" t="s">
        <v>134</v>
      </c>
      <c r="B1748" s="15">
        <v>1748</v>
      </c>
      <c r="C1748">
        <f>MOD(B1748,8)</f>
        <v>4</v>
      </c>
    </row>
    <row r="1749" spans="1:3" ht="16.5" x14ac:dyDescent="0.2">
      <c r="A1749" s="4" t="s">
        <v>134</v>
      </c>
      <c r="B1749">
        <v>1749</v>
      </c>
      <c r="C1749">
        <f>MOD(B1749,8)</f>
        <v>5</v>
      </c>
    </row>
    <row r="1750" spans="1:3" ht="16.5" x14ac:dyDescent="0.2">
      <c r="A1750" s="4" t="s">
        <v>134</v>
      </c>
      <c r="B1750" s="15">
        <v>1750</v>
      </c>
      <c r="C1750">
        <f>MOD(B1750,8)</f>
        <v>6</v>
      </c>
    </row>
    <row r="1751" spans="1:3" ht="16.5" x14ac:dyDescent="0.2">
      <c r="A1751" s="4" t="s">
        <v>134</v>
      </c>
      <c r="B1751">
        <v>1751</v>
      </c>
      <c r="C1751">
        <f>MOD(B1751,8)</f>
        <v>7</v>
      </c>
    </row>
    <row r="1752" spans="1:3" ht="16.5" x14ac:dyDescent="0.2">
      <c r="A1752" s="4" t="s">
        <v>134</v>
      </c>
      <c r="B1752">
        <v>1752</v>
      </c>
      <c r="C1752">
        <f>MOD(B1752,8)</f>
        <v>0</v>
      </c>
    </row>
    <row r="1753" spans="1:3" ht="16.5" x14ac:dyDescent="0.2">
      <c r="A1753" s="4" t="s">
        <v>133</v>
      </c>
      <c r="B1753" s="15">
        <v>1753</v>
      </c>
      <c r="C1753">
        <f>MOD(B1753,8)</f>
        <v>1</v>
      </c>
    </row>
    <row r="1754" spans="1:3" ht="16.5" x14ac:dyDescent="0.2">
      <c r="A1754" s="4" t="s">
        <v>133</v>
      </c>
      <c r="B1754">
        <v>1754</v>
      </c>
      <c r="C1754">
        <f>MOD(B1754,8)</f>
        <v>2</v>
      </c>
    </row>
    <row r="1755" spans="1:3" ht="16.5" x14ac:dyDescent="0.2">
      <c r="A1755" s="4" t="s">
        <v>133</v>
      </c>
      <c r="B1755" s="15">
        <v>1755</v>
      </c>
      <c r="C1755">
        <f>MOD(B1755,8)</f>
        <v>3</v>
      </c>
    </row>
    <row r="1756" spans="1:3" ht="16.5" x14ac:dyDescent="0.2">
      <c r="A1756" s="4" t="s">
        <v>133</v>
      </c>
      <c r="B1756">
        <v>1756</v>
      </c>
      <c r="C1756">
        <f>MOD(B1756,8)</f>
        <v>4</v>
      </c>
    </row>
    <row r="1757" spans="1:3" ht="16.5" x14ac:dyDescent="0.2">
      <c r="A1757" s="4" t="s">
        <v>133</v>
      </c>
      <c r="B1757">
        <v>1757</v>
      </c>
      <c r="C1757">
        <f>MOD(B1757,8)</f>
        <v>5</v>
      </c>
    </row>
    <row r="1758" spans="1:3" ht="16.5" x14ac:dyDescent="0.2">
      <c r="A1758" s="4" t="s">
        <v>133</v>
      </c>
      <c r="B1758" s="15">
        <v>1758</v>
      </c>
      <c r="C1758">
        <f>MOD(B1758,8)</f>
        <v>6</v>
      </c>
    </row>
    <row r="1759" spans="1:3" ht="16.5" x14ac:dyDescent="0.2">
      <c r="A1759" s="4" t="s">
        <v>133</v>
      </c>
      <c r="B1759">
        <v>1759</v>
      </c>
      <c r="C1759">
        <f>MOD(B1759,8)</f>
        <v>7</v>
      </c>
    </row>
    <row r="1760" spans="1:3" ht="16.5" x14ac:dyDescent="0.2">
      <c r="A1760" s="4" t="s">
        <v>133</v>
      </c>
      <c r="B1760" s="15">
        <v>1760</v>
      </c>
      <c r="C1760">
        <f>MOD(B1760,8)</f>
        <v>0</v>
      </c>
    </row>
    <row r="1761" spans="1:3" ht="16.5" x14ac:dyDescent="0.2">
      <c r="A1761" s="4" t="s">
        <v>132</v>
      </c>
      <c r="B1761">
        <v>1761</v>
      </c>
      <c r="C1761">
        <f>MOD(B1761,8)</f>
        <v>1</v>
      </c>
    </row>
    <row r="1762" spans="1:3" ht="16.5" x14ac:dyDescent="0.2">
      <c r="A1762" s="4" t="s">
        <v>132</v>
      </c>
      <c r="B1762">
        <v>1762</v>
      </c>
      <c r="C1762">
        <f>MOD(B1762,8)</f>
        <v>2</v>
      </c>
    </row>
    <row r="1763" spans="1:3" ht="16.5" x14ac:dyDescent="0.2">
      <c r="A1763" s="4" t="s">
        <v>132</v>
      </c>
      <c r="B1763" s="15">
        <v>1763</v>
      </c>
      <c r="C1763">
        <f>MOD(B1763,8)</f>
        <v>3</v>
      </c>
    </row>
    <row r="1764" spans="1:3" ht="16.5" x14ac:dyDescent="0.2">
      <c r="A1764" s="4" t="s">
        <v>132</v>
      </c>
      <c r="B1764">
        <v>1764</v>
      </c>
      <c r="C1764">
        <f>MOD(B1764,8)</f>
        <v>4</v>
      </c>
    </row>
    <row r="1765" spans="1:3" ht="16.5" x14ac:dyDescent="0.2">
      <c r="A1765" s="4" t="s">
        <v>132</v>
      </c>
      <c r="B1765" s="15">
        <v>1765</v>
      </c>
      <c r="C1765">
        <f>MOD(B1765,8)</f>
        <v>5</v>
      </c>
    </row>
    <row r="1766" spans="1:3" ht="16.5" x14ac:dyDescent="0.2">
      <c r="A1766" s="4" t="s">
        <v>132</v>
      </c>
      <c r="B1766">
        <v>1766</v>
      </c>
      <c r="C1766">
        <f>MOD(B1766,8)</f>
        <v>6</v>
      </c>
    </row>
    <row r="1767" spans="1:3" ht="16.5" x14ac:dyDescent="0.2">
      <c r="A1767" s="4" t="s">
        <v>132</v>
      </c>
      <c r="B1767">
        <v>1767</v>
      </c>
      <c r="C1767">
        <f>MOD(B1767,8)</f>
        <v>7</v>
      </c>
    </row>
    <row r="1768" spans="1:3" ht="16.5" x14ac:dyDescent="0.2">
      <c r="A1768" s="4" t="s">
        <v>132</v>
      </c>
      <c r="B1768" s="15">
        <v>1768</v>
      </c>
      <c r="C1768">
        <f>MOD(B1768,8)</f>
        <v>0</v>
      </c>
    </row>
    <row r="1769" spans="1:3" ht="16.5" x14ac:dyDescent="0.2">
      <c r="A1769" s="4" t="s">
        <v>131</v>
      </c>
      <c r="B1769">
        <v>1769</v>
      </c>
      <c r="C1769">
        <f>MOD(B1769,8)</f>
        <v>1</v>
      </c>
    </row>
    <row r="1770" spans="1:3" ht="16.5" x14ac:dyDescent="0.2">
      <c r="A1770" s="4" t="s">
        <v>131</v>
      </c>
      <c r="B1770" s="15">
        <v>1770</v>
      </c>
      <c r="C1770">
        <f>MOD(B1770,8)</f>
        <v>2</v>
      </c>
    </row>
    <row r="1771" spans="1:3" ht="16.5" x14ac:dyDescent="0.2">
      <c r="A1771" s="4" t="s">
        <v>131</v>
      </c>
      <c r="B1771">
        <v>1771</v>
      </c>
      <c r="C1771">
        <f>MOD(B1771,8)</f>
        <v>3</v>
      </c>
    </row>
    <row r="1772" spans="1:3" ht="16.5" x14ac:dyDescent="0.2">
      <c r="A1772" s="4" t="s">
        <v>131</v>
      </c>
      <c r="B1772">
        <v>1772</v>
      </c>
      <c r="C1772">
        <f>MOD(B1772,8)</f>
        <v>4</v>
      </c>
    </row>
    <row r="1773" spans="1:3" ht="16.5" x14ac:dyDescent="0.2">
      <c r="A1773" s="4" t="s">
        <v>131</v>
      </c>
      <c r="B1773" s="15">
        <v>1773</v>
      </c>
      <c r="C1773">
        <f>MOD(B1773,8)</f>
        <v>5</v>
      </c>
    </row>
    <row r="1774" spans="1:3" ht="16.5" x14ac:dyDescent="0.2">
      <c r="A1774" s="4" t="s">
        <v>131</v>
      </c>
      <c r="B1774">
        <v>1774</v>
      </c>
      <c r="C1774">
        <f>MOD(B1774,8)</f>
        <v>6</v>
      </c>
    </row>
    <row r="1775" spans="1:3" ht="16.5" x14ac:dyDescent="0.2">
      <c r="A1775" s="4" t="s">
        <v>131</v>
      </c>
      <c r="B1775" s="15">
        <v>1775</v>
      </c>
      <c r="C1775">
        <f>MOD(B1775,8)</f>
        <v>7</v>
      </c>
    </row>
    <row r="1776" spans="1:3" ht="16.5" x14ac:dyDescent="0.2">
      <c r="A1776" s="4" t="s">
        <v>131</v>
      </c>
      <c r="B1776">
        <v>1776</v>
      </c>
      <c r="C1776">
        <f>MOD(B1776,8)</f>
        <v>0</v>
      </c>
    </row>
    <row r="1777" spans="1:3" ht="16.5" x14ac:dyDescent="0.2">
      <c r="A1777" s="4" t="s">
        <v>130</v>
      </c>
      <c r="B1777">
        <v>1777</v>
      </c>
      <c r="C1777">
        <f>MOD(B1777,8)</f>
        <v>1</v>
      </c>
    </row>
    <row r="1778" spans="1:3" ht="16.5" x14ac:dyDescent="0.2">
      <c r="A1778" s="4" t="s">
        <v>130</v>
      </c>
      <c r="B1778" s="15">
        <v>1778</v>
      </c>
      <c r="C1778">
        <f>MOD(B1778,8)</f>
        <v>2</v>
      </c>
    </row>
    <row r="1779" spans="1:3" ht="16.5" x14ac:dyDescent="0.2">
      <c r="A1779" s="4" t="s">
        <v>130</v>
      </c>
      <c r="B1779">
        <v>1779</v>
      </c>
      <c r="C1779">
        <f>MOD(B1779,8)</f>
        <v>3</v>
      </c>
    </row>
    <row r="1780" spans="1:3" ht="16.5" x14ac:dyDescent="0.2">
      <c r="A1780" s="4" t="s">
        <v>130</v>
      </c>
      <c r="B1780" s="15">
        <v>1780</v>
      </c>
      <c r="C1780">
        <f>MOD(B1780,8)</f>
        <v>4</v>
      </c>
    </row>
    <row r="1781" spans="1:3" ht="16.5" x14ac:dyDescent="0.2">
      <c r="A1781" s="4" t="s">
        <v>130</v>
      </c>
      <c r="B1781">
        <v>1781</v>
      </c>
      <c r="C1781">
        <f>MOD(B1781,8)</f>
        <v>5</v>
      </c>
    </row>
    <row r="1782" spans="1:3" ht="16.5" x14ac:dyDescent="0.2">
      <c r="A1782" s="4" t="s">
        <v>130</v>
      </c>
      <c r="B1782">
        <v>1782</v>
      </c>
      <c r="C1782">
        <f>MOD(B1782,8)</f>
        <v>6</v>
      </c>
    </row>
    <row r="1783" spans="1:3" ht="16.5" x14ac:dyDescent="0.2">
      <c r="A1783" s="4" t="s">
        <v>130</v>
      </c>
      <c r="B1783" s="15">
        <v>1783</v>
      </c>
      <c r="C1783">
        <f>MOD(B1783,8)</f>
        <v>7</v>
      </c>
    </row>
    <row r="1784" spans="1:3" ht="16.5" x14ac:dyDescent="0.2">
      <c r="A1784" s="4" t="s">
        <v>130</v>
      </c>
      <c r="B1784">
        <v>1784</v>
      </c>
      <c r="C1784">
        <f>MOD(B1784,8)</f>
        <v>0</v>
      </c>
    </row>
    <row r="1785" spans="1:3" ht="16.5" x14ac:dyDescent="0.2">
      <c r="A1785" s="4" t="s">
        <v>129</v>
      </c>
      <c r="B1785" s="15">
        <v>1785</v>
      </c>
      <c r="C1785">
        <f>MOD(B1785,8)</f>
        <v>1</v>
      </c>
    </row>
    <row r="1786" spans="1:3" ht="16.5" x14ac:dyDescent="0.2">
      <c r="A1786" s="4" t="s">
        <v>129</v>
      </c>
      <c r="B1786">
        <v>1786</v>
      </c>
      <c r="C1786">
        <f>MOD(B1786,8)</f>
        <v>2</v>
      </c>
    </row>
    <row r="1787" spans="1:3" ht="16.5" x14ac:dyDescent="0.2">
      <c r="A1787" s="4" t="s">
        <v>129</v>
      </c>
      <c r="B1787">
        <v>1787</v>
      </c>
      <c r="C1787">
        <f>MOD(B1787,8)</f>
        <v>3</v>
      </c>
    </row>
    <row r="1788" spans="1:3" ht="16.5" x14ac:dyDescent="0.2">
      <c r="A1788" s="4" t="s">
        <v>129</v>
      </c>
      <c r="B1788" s="15">
        <v>1788</v>
      </c>
      <c r="C1788">
        <f>MOD(B1788,8)</f>
        <v>4</v>
      </c>
    </row>
    <row r="1789" spans="1:3" ht="16.5" x14ac:dyDescent="0.2">
      <c r="A1789" s="4" t="s">
        <v>129</v>
      </c>
      <c r="B1789">
        <v>1789</v>
      </c>
      <c r="C1789">
        <f>MOD(B1789,8)</f>
        <v>5</v>
      </c>
    </row>
    <row r="1790" spans="1:3" ht="16.5" x14ac:dyDescent="0.2">
      <c r="A1790" s="4" t="s">
        <v>129</v>
      </c>
      <c r="B1790" s="15">
        <v>1790</v>
      </c>
      <c r="C1790">
        <f>MOD(B1790,8)</f>
        <v>6</v>
      </c>
    </row>
    <row r="1791" spans="1:3" ht="16.5" x14ac:dyDescent="0.2">
      <c r="A1791" s="4" t="s">
        <v>129</v>
      </c>
      <c r="B1791">
        <v>1791</v>
      </c>
      <c r="C1791">
        <f>MOD(B1791,8)</f>
        <v>7</v>
      </c>
    </row>
    <row r="1792" spans="1:3" ht="16.5" x14ac:dyDescent="0.2">
      <c r="A1792" s="4" t="s">
        <v>129</v>
      </c>
      <c r="B1792">
        <v>1792</v>
      </c>
      <c r="C1792">
        <f>MOD(B1792,8)</f>
        <v>0</v>
      </c>
    </row>
    <row r="1793" spans="1:3" ht="16.5" x14ac:dyDescent="0.2">
      <c r="A1793" s="4" t="s">
        <v>128</v>
      </c>
      <c r="B1793" s="15">
        <v>1793</v>
      </c>
      <c r="C1793">
        <f>MOD(B1793,8)</f>
        <v>1</v>
      </c>
    </row>
    <row r="1794" spans="1:3" ht="16.5" x14ac:dyDescent="0.2">
      <c r="A1794" s="4" t="s">
        <v>128</v>
      </c>
      <c r="B1794">
        <v>1794</v>
      </c>
      <c r="C1794">
        <f>MOD(B1794,8)</f>
        <v>2</v>
      </c>
    </row>
    <row r="1795" spans="1:3" ht="16.5" x14ac:dyDescent="0.2">
      <c r="A1795" s="4" t="s">
        <v>128</v>
      </c>
      <c r="B1795" s="15">
        <v>1795</v>
      </c>
      <c r="C1795">
        <f>MOD(B1795,8)</f>
        <v>3</v>
      </c>
    </row>
    <row r="1796" spans="1:3" ht="16.5" x14ac:dyDescent="0.2">
      <c r="A1796" s="4" t="s">
        <v>128</v>
      </c>
      <c r="B1796">
        <v>1796</v>
      </c>
      <c r="C1796">
        <f>MOD(B1796,8)</f>
        <v>4</v>
      </c>
    </row>
    <row r="1797" spans="1:3" ht="16.5" x14ac:dyDescent="0.2">
      <c r="A1797" s="4" t="s">
        <v>128</v>
      </c>
      <c r="B1797">
        <v>1797</v>
      </c>
      <c r="C1797">
        <f>MOD(B1797,8)</f>
        <v>5</v>
      </c>
    </row>
    <row r="1798" spans="1:3" ht="16.5" x14ac:dyDescent="0.2">
      <c r="A1798" s="4" t="s">
        <v>128</v>
      </c>
      <c r="B1798" s="15">
        <v>1798</v>
      </c>
      <c r="C1798">
        <f>MOD(B1798,8)</f>
        <v>6</v>
      </c>
    </row>
    <row r="1799" spans="1:3" ht="16.5" x14ac:dyDescent="0.2">
      <c r="A1799" s="4" t="s">
        <v>128</v>
      </c>
      <c r="B1799">
        <v>1799</v>
      </c>
      <c r="C1799">
        <f>MOD(B1799,8)</f>
        <v>7</v>
      </c>
    </row>
    <row r="1800" spans="1:3" ht="16.5" x14ac:dyDescent="0.2">
      <c r="A1800" s="4" t="s">
        <v>128</v>
      </c>
      <c r="B1800" s="15">
        <v>1800</v>
      </c>
      <c r="C1800">
        <f>MOD(B1800,8)</f>
        <v>0</v>
      </c>
    </row>
    <row r="1801" spans="1:3" ht="16.5" x14ac:dyDescent="0.2">
      <c r="A1801" s="4" t="s">
        <v>127</v>
      </c>
      <c r="B1801">
        <v>1801</v>
      </c>
      <c r="C1801">
        <f>MOD(B1801,8)</f>
        <v>1</v>
      </c>
    </row>
    <row r="1802" spans="1:3" ht="16.5" x14ac:dyDescent="0.2">
      <c r="A1802" s="4" t="s">
        <v>127</v>
      </c>
      <c r="B1802">
        <v>1802</v>
      </c>
      <c r="C1802">
        <f>MOD(B1802,8)</f>
        <v>2</v>
      </c>
    </row>
    <row r="1803" spans="1:3" ht="16.5" x14ac:dyDescent="0.2">
      <c r="A1803" s="4" t="s">
        <v>127</v>
      </c>
      <c r="B1803" s="15">
        <v>1803</v>
      </c>
      <c r="C1803">
        <f>MOD(B1803,8)</f>
        <v>3</v>
      </c>
    </row>
    <row r="1804" spans="1:3" ht="16.5" x14ac:dyDescent="0.2">
      <c r="A1804" s="4" t="s">
        <v>127</v>
      </c>
      <c r="B1804">
        <v>1804</v>
      </c>
      <c r="C1804">
        <f>MOD(B1804,8)</f>
        <v>4</v>
      </c>
    </row>
    <row r="1805" spans="1:3" ht="16.5" x14ac:dyDescent="0.2">
      <c r="A1805" s="4" t="s">
        <v>127</v>
      </c>
      <c r="B1805" s="15">
        <v>1805</v>
      </c>
      <c r="C1805">
        <f>MOD(B1805,8)</f>
        <v>5</v>
      </c>
    </row>
    <row r="1806" spans="1:3" ht="16.5" x14ac:dyDescent="0.2">
      <c r="A1806" s="4" t="s">
        <v>127</v>
      </c>
      <c r="B1806">
        <v>1806</v>
      </c>
      <c r="C1806">
        <f>MOD(B1806,8)</f>
        <v>6</v>
      </c>
    </row>
    <row r="1807" spans="1:3" ht="16.5" x14ac:dyDescent="0.2">
      <c r="A1807" s="4" t="s">
        <v>127</v>
      </c>
      <c r="B1807">
        <v>1807</v>
      </c>
      <c r="C1807">
        <f>MOD(B1807,8)</f>
        <v>7</v>
      </c>
    </row>
    <row r="1808" spans="1:3" ht="16.5" x14ac:dyDescent="0.2">
      <c r="A1808" s="4" t="s">
        <v>127</v>
      </c>
      <c r="B1808" s="15">
        <v>1808</v>
      </c>
      <c r="C1808">
        <f>MOD(B1808,8)</f>
        <v>0</v>
      </c>
    </row>
    <row r="1809" spans="1:3" ht="16.5" x14ac:dyDescent="0.2">
      <c r="A1809" s="4" t="s">
        <v>126</v>
      </c>
      <c r="B1809">
        <v>1809</v>
      </c>
      <c r="C1809">
        <f>MOD(B1809,8)</f>
        <v>1</v>
      </c>
    </row>
    <row r="1810" spans="1:3" ht="16.5" x14ac:dyDescent="0.2">
      <c r="A1810" s="4" t="s">
        <v>126</v>
      </c>
      <c r="B1810" s="15">
        <v>1810</v>
      </c>
      <c r="C1810">
        <f>MOD(B1810,8)</f>
        <v>2</v>
      </c>
    </row>
    <row r="1811" spans="1:3" ht="16.5" x14ac:dyDescent="0.2">
      <c r="A1811" s="4" t="s">
        <v>126</v>
      </c>
      <c r="B1811">
        <v>1811</v>
      </c>
      <c r="C1811">
        <f>MOD(B1811,8)</f>
        <v>3</v>
      </c>
    </row>
    <row r="1812" spans="1:3" ht="16.5" x14ac:dyDescent="0.2">
      <c r="A1812" s="4" t="s">
        <v>126</v>
      </c>
      <c r="B1812">
        <v>1812</v>
      </c>
      <c r="C1812">
        <f>MOD(B1812,8)</f>
        <v>4</v>
      </c>
    </row>
    <row r="1813" spans="1:3" ht="16.5" x14ac:dyDescent="0.2">
      <c r="A1813" s="4" t="s">
        <v>126</v>
      </c>
      <c r="B1813" s="15">
        <v>1813</v>
      </c>
      <c r="C1813">
        <f>MOD(B1813,8)</f>
        <v>5</v>
      </c>
    </row>
    <row r="1814" spans="1:3" ht="16.5" x14ac:dyDescent="0.2">
      <c r="A1814" s="4" t="s">
        <v>126</v>
      </c>
      <c r="B1814">
        <v>1814</v>
      </c>
      <c r="C1814">
        <f>MOD(B1814,8)</f>
        <v>6</v>
      </c>
    </row>
    <row r="1815" spans="1:3" ht="16.5" x14ac:dyDescent="0.2">
      <c r="A1815" s="4" t="s">
        <v>126</v>
      </c>
      <c r="B1815" s="15">
        <v>1815</v>
      </c>
      <c r="C1815">
        <f>MOD(B1815,8)</f>
        <v>7</v>
      </c>
    </row>
    <row r="1816" spans="1:3" ht="16.5" x14ac:dyDescent="0.2">
      <c r="A1816" s="4" t="s">
        <v>126</v>
      </c>
      <c r="B1816">
        <v>1816</v>
      </c>
      <c r="C1816">
        <f>MOD(B1816,8)</f>
        <v>0</v>
      </c>
    </row>
    <row r="1817" spans="1:3" ht="16.5" x14ac:dyDescent="0.2">
      <c r="A1817" s="4" t="s">
        <v>125</v>
      </c>
      <c r="B1817">
        <v>1817</v>
      </c>
      <c r="C1817">
        <f>MOD(B1817,8)</f>
        <v>1</v>
      </c>
    </row>
    <row r="1818" spans="1:3" ht="16.5" x14ac:dyDescent="0.2">
      <c r="A1818" s="4" t="s">
        <v>125</v>
      </c>
      <c r="B1818" s="15">
        <v>1818</v>
      </c>
      <c r="C1818">
        <f>MOD(B1818,8)</f>
        <v>2</v>
      </c>
    </row>
    <row r="1819" spans="1:3" ht="16.5" x14ac:dyDescent="0.2">
      <c r="A1819" s="4" t="s">
        <v>125</v>
      </c>
      <c r="B1819">
        <v>1819</v>
      </c>
      <c r="C1819">
        <f>MOD(B1819,8)</f>
        <v>3</v>
      </c>
    </row>
    <row r="1820" spans="1:3" ht="16.5" x14ac:dyDescent="0.2">
      <c r="A1820" s="4" t="s">
        <v>125</v>
      </c>
      <c r="B1820" s="15">
        <v>1820</v>
      </c>
      <c r="C1820">
        <f>MOD(B1820,8)</f>
        <v>4</v>
      </c>
    </row>
    <row r="1821" spans="1:3" ht="16.5" x14ac:dyDescent="0.2">
      <c r="A1821" s="4" t="s">
        <v>125</v>
      </c>
      <c r="B1821">
        <v>1821</v>
      </c>
      <c r="C1821">
        <f>MOD(B1821,8)</f>
        <v>5</v>
      </c>
    </row>
    <row r="1822" spans="1:3" ht="16.5" x14ac:dyDescent="0.2">
      <c r="A1822" s="4" t="s">
        <v>125</v>
      </c>
      <c r="B1822">
        <v>1822</v>
      </c>
      <c r="C1822">
        <f>MOD(B1822,8)</f>
        <v>6</v>
      </c>
    </row>
    <row r="1823" spans="1:3" ht="16.5" x14ac:dyDescent="0.2">
      <c r="A1823" s="4" t="s">
        <v>125</v>
      </c>
      <c r="B1823" s="15">
        <v>1823</v>
      </c>
      <c r="C1823">
        <f>MOD(B1823,8)</f>
        <v>7</v>
      </c>
    </row>
    <row r="1824" spans="1:3" ht="16.5" x14ac:dyDescent="0.2">
      <c r="A1824" s="4" t="s">
        <v>125</v>
      </c>
      <c r="B1824">
        <v>1824</v>
      </c>
      <c r="C1824">
        <f>MOD(B1824,8)</f>
        <v>0</v>
      </c>
    </row>
    <row r="1825" spans="1:3" ht="16.5" x14ac:dyDescent="0.2">
      <c r="A1825" s="4" t="s">
        <v>124</v>
      </c>
      <c r="B1825" s="15">
        <v>1825</v>
      </c>
      <c r="C1825">
        <f>MOD(B1825,8)</f>
        <v>1</v>
      </c>
    </row>
    <row r="1826" spans="1:3" ht="16.5" x14ac:dyDescent="0.2">
      <c r="A1826" s="4" t="s">
        <v>124</v>
      </c>
      <c r="B1826">
        <v>1826</v>
      </c>
      <c r="C1826">
        <f>MOD(B1826,8)</f>
        <v>2</v>
      </c>
    </row>
    <row r="1827" spans="1:3" ht="16.5" x14ac:dyDescent="0.2">
      <c r="A1827" s="4" t="s">
        <v>124</v>
      </c>
      <c r="B1827">
        <v>1827</v>
      </c>
      <c r="C1827">
        <f>MOD(B1827,8)</f>
        <v>3</v>
      </c>
    </row>
    <row r="1828" spans="1:3" ht="16.5" x14ac:dyDescent="0.2">
      <c r="A1828" s="4" t="s">
        <v>124</v>
      </c>
      <c r="B1828" s="15">
        <v>1828</v>
      </c>
      <c r="C1828">
        <f>MOD(B1828,8)</f>
        <v>4</v>
      </c>
    </row>
    <row r="1829" spans="1:3" ht="16.5" x14ac:dyDescent="0.2">
      <c r="A1829" s="4" t="s">
        <v>124</v>
      </c>
      <c r="B1829">
        <v>1829</v>
      </c>
      <c r="C1829">
        <f>MOD(B1829,8)</f>
        <v>5</v>
      </c>
    </row>
    <row r="1830" spans="1:3" ht="16.5" x14ac:dyDescent="0.2">
      <c r="A1830" s="4" t="s">
        <v>124</v>
      </c>
      <c r="B1830" s="15">
        <v>1830</v>
      </c>
      <c r="C1830">
        <f>MOD(B1830,8)</f>
        <v>6</v>
      </c>
    </row>
    <row r="1831" spans="1:3" ht="16.5" x14ac:dyDescent="0.2">
      <c r="A1831" s="4" t="s">
        <v>124</v>
      </c>
      <c r="B1831">
        <v>1831</v>
      </c>
      <c r="C1831">
        <f>MOD(B1831,8)</f>
        <v>7</v>
      </c>
    </row>
    <row r="1832" spans="1:3" ht="16.5" x14ac:dyDescent="0.2">
      <c r="A1832" s="4" t="s">
        <v>124</v>
      </c>
      <c r="B1832">
        <v>1832</v>
      </c>
      <c r="C1832">
        <f>MOD(B1832,8)</f>
        <v>0</v>
      </c>
    </row>
    <row r="1833" spans="1:3" ht="16.5" x14ac:dyDescent="0.2">
      <c r="A1833" s="4" t="s">
        <v>123</v>
      </c>
      <c r="B1833" s="15">
        <v>1833</v>
      </c>
      <c r="C1833">
        <f>MOD(B1833,8)</f>
        <v>1</v>
      </c>
    </row>
    <row r="1834" spans="1:3" ht="16.5" x14ac:dyDescent="0.2">
      <c r="A1834" s="4" t="s">
        <v>123</v>
      </c>
      <c r="B1834">
        <v>1834</v>
      </c>
      <c r="C1834">
        <f>MOD(B1834,8)</f>
        <v>2</v>
      </c>
    </row>
    <row r="1835" spans="1:3" ht="16.5" x14ac:dyDescent="0.2">
      <c r="A1835" s="4" t="s">
        <v>123</v>
      </c>
      <c r="B1835" s="15">
        <v>1835</v>
      </c>
      <c r="C1835">
        <f>MOD(B1835,8)</f>
        <v>3</v>
      </c>
    </row>
    <row r="1836" spans="1:3" ht="16.5" x14ac:dyDescent="0.2">
      <c r="A1836" s="4" t="s">
        <v>123</v>
      </c>
      <c r="B1836">
        <v>1836</v>
      </c>
      <c r="C1836">
        <f>MOD(B1836,8)</f>
        <v>4</v>
      </c>
    </row>
    <row r="1837" spans="1:3" ht="16.5" x14ac:dyDescent="0.2">
      <c r="A1837" s="4" t="s">
        <v>123</v>
      </c>
      <c r="B1837">
        <v>1837</v>
      </c>
      <c r="C1837">
        <f>MOD(B1837,8)</f>
        <v>5</v>
      </c>
    </row>
    <row r="1838" spans="1:3" ht="16.5" x14ac:dyDescent="0.2">
      <c r="A1838" s="4" t="s">
        <v>123</v>
      </c>
      <c r="B1838" s="15">
        <v>1838</v>
      </c>
      <c r="C1838">
        <f>MOD(B1838,8)</f>
        <v>6</v>
      </c>
    </row>
    <row r="1839" spans="1:3" ht="16.5" x14ac:dyDescent="0.2">
      <c r="A1839" s="4" t="s">
        <v>123</v>
      </c>
      <c r="B1839">
        <v>1839</v>
      </c>
      <c r="C1839">
        <f>MOD(B1839,8)</f>
        <v>7</v>
      </c>
    </row>
    <row r="1840" spans="1:3" ht="16.5" x14ac:dyDescent="0.2">
      <c r="A1840" s="4" t="s">
        <v>123</v>
      </c>
      <c r="B1840" s="15">
        <v>1840</v>
      </c>
      <c r="C1840">
        <f>MOD(B1840,8)</f>
        <v>0</v>
      </c>
    </row>
    <row r="1841" spans="1:3" ht="16.5" x14ac:dyDescent="0.2">
      <c r="A1841" s="4" t="s">
        <v>122</v>
      </c>
      <c r="B1841">
        <v>1841</v>
      </c>
      <c r="C1841">
        <f>MOD(B1841,8)</f>
        <v>1</v>
      </c>
    </row>
    <row r="1842" spans="1:3" ht="16.5" x14ac:dyDescent="0.2">
      <c r="A1842" s="4" t="s">
        <v>122</v>
      </c>
      <c r="B1842">
        <v>1842</v>
      </c>
      <c r="C1842">
        <f>MOD(B1842,8)</f>
        <v>2</v>
      </c>
    </row>
    <row r="1843" spans="1:3" ht="16.5" x14ac:dyDescent="0.2">
      <c r="A1843" s="4" t="s">
        <v>122</v>
      </c>
      <c r="B1843" s="15">
        <v>1843</v>
      </c>
      <c r="C1843">
        <f>MOD(B1843,8)</f>
        <v>3</v>
      </c>
    </row>
    <row r="1844" spans="1:3" ht="16.5" x14ac:dyDescent="0.2">
      <c r="A1844" s="4" t="s">
        <v>122</v>
      </c>
      <c r="B1844">
        <v>1844</v>
      </c>
      <c r="C1844">
        <f>MOD(B1844,8)</f>
        <v>4</v>
      </c>
    </row>
    <row r="1845" spans="1:3" ht="16.5" x14ac:dyDescent="0.2">
      <c r="A1845" s="4" t="s">
        <v>122</v>
      </c>
      <c r="B1845" s="15">
        <v>1845</v>
      </c>
      <c r="C1845">
        <f>MOD(B1845,8)</f>
        <v>5</v>
      </c>
    </row>
    <row r="1846" spans="1:3" ht="16.5" x14ac:dyDescent="0.2">
      <c r="A1846" s="4" t="s">
        <v>122</v>
      </c>
      <c r="B1846">
        <v>1846</v>
      </c>
      <c r="C1846">
        <f>MOD(B1846,8)</f>
        <v>6</v>
      </c>
    </row>
    <row r="1847" spans="1:3" ht="16.5" x14ac:dyDescent="0.2">
      <c r="A1847" s="4" t="s">
        <v>122</v>
      </c>
      <c r="B1847">
        <v>1847</v>
      </c>
      <c r="C1847">
        <f>MOD(B1847,8)</f>
        <v>7</v>
      </c>
    </row>
    <row r="1848" spans="1:3" ht="16.5" x14ac:dyDescent="0.2">
      <c r="A1848" s="4" t="s">
        <v>122</v>
      </c>
      <c r="B1848" s="15">
        <v>1848</v>
      </c>
      <c r="C1848">
        <f>MOD(B1848,8)</f>
        <v>0</v>
      </c>
    </row>
    <row r="1849" spans="1:3" ht="16.5" x14ac:dyDescent="0.2">
      <c r="A1849" s="4" t="s">
        <v>121</v>
      </c>
      <c r="B1849">
        <v>1849</v>
      </c>
      <c r="C1849">
        <f>MOD(B1849,8)</f>
        <v>1</v>
      </c>
    </row>
    <row r="1850" spans="1:3" ht="16.5" x14ac:dyDescent="0.2">
      <c r="A1850" s="4" t="s">
        <v>121</v>
      </c>
      <c r="B1850" s="15">
        <v>1850</v>
      </c>
      <c r="C1850">
        <f>MOD(B1850,8)</f>
        <v>2</v>
      </c>
    </row>
    <row r="1851" spans="1:3" ht="16.5" x14ac:dyDescent="0.2">
      <c r="A1851" s="4" t="s">
        <v>121</v>
      </c>
      <c r="B1851">
        <v>1851</v>
      </c>
      <c r="C1851">
        <f>MOD(B1851,8)</f>
        <v>3</v>
      </c>
    </row>
    <row r="1852" spans="1:3" ht="16.5" x14ac:dyDescent="0.2">
      <c r="A1852" s="4" t="s">
        <v>121</v>
      </c>
      <c r="B1852">
        <v>1852</v>
      </c>
      <c r="C1852">
        <f>MOD(B1852,8)</f>
        <v>4</v>
      </c>
    </row>
    <row r="1853" spans="1:3" ht="16.5" x14ac:dyDescent="0.2">
      <c r="A1853" s="4" t="s">
        <v>121</v>
      </c>
      <c r="B1853" s="15">
        <v>1853</v>
      </c>
      <c r="C1853">
        <f>MOD(B1853,8)</f>
        <v>5</v>
      </c>
    </row>
    <row r="1854" spans="1:3" ht="16.5" x14ac:dyDescent="0.2">
      <c r="A1854" s="4" t="s">
        <v>121</v>
      </c>
      <c r="B1854">
        <v>1854</v>
      </c>
      <c r="C1854">
        <f>MOD(B1854,8)</f>
        <v>6</v>
      </c>
    </row>
    <row r="1855" spans="1:3" ht="16.5" x14ac:dyDescent="0.2">
      <c r="A1855" s="4" t="s">
        <v>121</v>
      </c>
      <c r="B1855" s="15">
        <v>1855</v>
      </c>
      <c r="C1855">
        <f>MOD(B1855,8)</f>
        <v>7</v>
      </c>
    </row>
    <row r="1856" spans="1:3" ht="16.5" x14ac:dyDescent="0.2">
      <c r="A1856" s="4" t="s">
        <v>121</v>
      </c>
      <c r="B1856">
        <v>1856</v>
      </c>
      <c r="C1856">
        <f>MOD(B1856,8)</f>
        <v>0</v>
      </c>
    </row>
    <row r="1857" spans="1:3" ht="16.5" x14ac:dyDescent="0.2">
      <c r="A1857" s="4" t="s">
        <v>120</v>
      </c>
      <c r="B1857">
        <v>1857</v>
      </c>
      <c r="C1857">
        <f>MOD(B1857,8)</f>
        <v>1</v>
      </c>
    </row>
    <row r="1858" spans="1:3" ht="16.5" x14ac:dyDescent="0.2">
      <c r="A1858" s="4" t="s">
        <v>120</v>
      </c>
      <c r="B1858" s="15">
        <v>1858</v>
      </c>
      <c r="C1858">
        <f>MOD(B1858,8)</f>
        <v>2</v>
      </c>
    </row>
    <row r="1859" spans="1:3" ht="16.5" x14ac:dyDescent="0.2">
      <c r="A1859" s="4" t="s">
        <v>120</v>
      </c>
      <c r="B1859">
        <v>1859</v>
      </c>
      <c r="C1859">
        <f>MOD(B1859,8)</f>
        <v>3</v>
      </c>
    </row>
    <row r="1860" spans="1:3" ht="16.5" x14ac:dyDescent="0.2">
      <c r="A1860" s="4" t="s">
        <v>120</v>
      </c>
      <c r="B1860" s="15">
        <v>1860</v>
      </c>
      <c r="C1860">
        <f>MOD(B1860,8)</f>
        <v>4</v>
      </c>
    </row>
    <row r="1861" spans="1:3" ht="16.5" x14ac:dyDescent="0.2">
      <c r="A1861" s="4" t="s">
        <v>120</v>
      </c>
      <c r="B1861">
        <v>1861</v>
      </c>
      <c r="C1861">
        <f>MOD(B1861,8)</f>
        <v>5</v>
      </c>
    </row>
    <row r="1862" spans="1:3" ht="16.5" x14ac:dyDescent="0.2">
      <c r="A1862" s="4" t="s">
        <v>120</v>
      </c>
      <c r="B1862">
        <v>1862</v>
      </c>
      <c r="C1862">
        <f>MOD(B1862,8)</f>
        <v>6</v>
      </c>
    </row>
    <row r="1863" spans="1:3" ht="16.5" x14ac:dyDescent="0.2">
      <c r="A1863" s="4" t="s">
        <v>120</v>
      </c>
      <c r="B1863" s="15">
        <v>1863</v>
      </c>
      <c r="C1863">
        <f>MOD(B1863,8)</f>
        <v>7</v>
      </c>
    </row>
    <row r="1864" spans="1:3" ht="16.5" x14ac:dyDescent="0.2">
      <c r="A1864" s="4" t="s">
        <v>120</v>
      </c>
      <c r="B1864">
        <v>1864</v>
      </c>
      <c r="C1864">
        <f>MOD(B1864,8)</f>
        <v>0</v>
      </c>
    </row>
    <row r="1865" spans="1:3" ht="16.5" x14ac:dyDescent="0.2">
      <c r="A1865" s="4" t="s">
        <v>119</v>
      </c>
      <c r="B1865" s="15">
        <v>1865</v>
      </c>
      <c r="C1865">
        <f>MOD(B1865,8)</f>
        <v>1</v>
      </c>
    </row>
    <row r="1866" spans="1:3" ht="16.5" x14ac:dyDescent="0.2">
      <c r="A1866" s="4" t="s">
        <v>119</v>
      </c>
      <c r="B1866">
        <v>1866</v>
      </c>
      <c r="C1866">
        <f>MOD(B1866,8)</f>
        <v>2</v>
      </c>
    </row>
    <row r="1867" spans="1:3" ht="16.5" x14ac:dyDescent="0.2">
      <c r="A1867" s="4" t="s">
        <v>119</v>
      </c>
      <c r="B1867">
        <v>1867</v>
      </c>
      <c r="C1867">
        <f>MOD(B1867,8)</f>
        <v>3</v>
      </c>
    </row>
    <row r="1868" spans="1:3" ht="16.5" x14ac:dyDescent="0.2">
      <c r="A1868" s="4" t="s">
        <v>119</v>
      </c>
      <c r="B1868" s="15">
        <v>1868</v>
      </c>
      <c r="C1868">
        <f>MOD(B1868,8)</f>
        <v>4</v>
      </c>
    </row>
    <row r="1869" spans="1:3" ht="16.5" x14ac:dyDescent="0.2">
      <c r="A1869" s="4" t="s">
        <v>119</v>
      </c>
      <c r="B1869">
        <v>1869</v>
      </c>
      <c r="C1869">
        <f>MOD(B1869,8)</f>
        <v>5</v>
      </c>
    </row>
    <row r="1870" spans="1:3" ht="16.5" x14ac:dyDescent="0.2">
      <c r="A1870" s="4" t="s">
        <v>119</v>
      </c>
      <c r="B1870" s="15">
        <v>1870</v>
      </c>
      <c r="C1870">
        <f>MOD(B1870,8)</f>
        <v>6</v>
      </c>
    </row>
    <row r="1871" spans="1:3" ht="16.5" x14ac:dyDescent="0.2">
      <c r="A1871" s="4" t="s">
        <v>119</v>
      </c>
      <c r="B1871">
        <v>1871</v>
      </c>
      <c r="C1871">
        <f>MOD(B1871,8)</f>
        <v>7</v>
      </c>
    </row>
    <row r="1872" spans="1:3" ht="16.5" x14ac:dyDescent="0.2">
      <c r="A1872" s="4" t="s">
        <v>119</v>
      </c>
      <c r="B1872">
        <v>1872</v>
      </c>
      <c r="C1872">
        <f>MOD(B1872,8)</f>
        <v>0</v>
      </c>
    </row>
    <row r="1873" spans="1:3" ht="16.5" x14ac:dyDescent="0.2">
      <c r="A1873" s="4" t="s">
        <v>118</v>
      </c>
      <c r="B1873" s="15">
        <v>1873</v>
      </c>
      <c r="C1873">
        <f>MOD(B1873,8)</f>
        <v>1</v>
      </c>
    </row>
    <row r="1874" spans="1:3" ht="16.5" x14ac:dyDescent="0.2">
      <c r="A1874" s="4" t="s">
        <v>118</v>
      </c>
      <c r="B1874">
        <v>1874</v>
      </c>
      <c r="C1874">
        <f>MOD(B1874,8)</f>
        <v>2</v>
      </c>
    </row>
    <row r="1875" spans="1:3" ht="16.5" x14ac:dyDescent="0.2">
      <c r="A1875" s="4" t="s">
        <v>118</v>
      </c>
      <c r="B1875" s="15">
        <v>1875</v>
      </c>
      <c r="C1875">
        <f>MOD(B1875,8)</f>
        <v>3</v>
      </c>
    </row>
    <row r="1876" spans="1:3" ht="16.5" x14ac:dyDescent="0.2">
      <c r="A1876" s="4" t="s">
        <v>118</v>
      </c>
      <c r="B1876">
        <v>1876</v>
      </c>
      <c r="C1876">
        <f>MOD(B1876,8)</f>
        <v>4</v>
      </c>
    </row>
    <row r="1877" spans="1:3" ht="16.5" x14ac:dyDescent="0.2">
      <c r="A1877" s="4" t="s">
        <v>118</v>
      </c>
      <c r="B1877">
        <v>1877</v>
      </c>
      <c r="C1877">
        <f>MOD(B1877,8)</f>
        <v>5</v>
      </c>
    </row>
    <row r="1878" spans="1:3" ht="16.5" x14ac:dyDescent="0.2">
      <c r="A1878" s="4" t="s">
        <v>118</v>
      </c>
      <c r="B1878" s="15">
        <v>1878</v>
      </c>
      <c r="C1878">
        <f>MOD(B1878,8)</f>
        <v>6</v>
      </c>
    </row>
    <row r="1879" spans="1:3" ht="16.5" x14ac:dyDescent="0.2">
      <c r="A1879" s="4" t="s">
        <v>118</v>
      </c>
      <c r="B1879">
        <v>1879</v>
      </c>
      <c r="C1879">
        <f>MOD(B1879,8)</f>
        <v>7</v>
      </c>
    </row>
    <row r="1880" spans="1:3" ht="16.5" x14ac:dyDescent="0.2">
      <c r="A1880" s="4" t="s">
        <v>118</v>
      </c>
      <c r="B1880" s="15">
        <v>1880</v>
      </c>
      <c r="C1880">
        <f>MOD(B1880,8)</f>
        <v>0</v>
      </c>
    </row>
    <row r="1881" spans="1:3" ht="16.5" x14ac:dyDescent="0.2">
      <c r="A1881" s="4" t="s">
        <v>117</v>
      </c>
      <c r="B1881">
        <v>1881</v>
      </c>
      <c r="C1881">
        <f>MOD(B1881,8)</f>
        <v>1</v>
      </c>
    </row>
    <row r="1882" spans="1:3" ht="16.5" x14ac:dyDescent="0.2">
      <c r="A1882" s="4" t="s">
        <v>117</v>
      </c>
      <c r="B1882">
        <v>1882</v>
      </c>
      <c r="C1882">
        <f>MOD(B1882,8)</f>
        <v>2</v>
      </c>
    </row>
    <row r="1883" spans="1:3" ht="16.5" x14ac:dyDescent="0.2">
      <c r="A1883" s="4" t="s">
        <v>117</v>
      </c>
      <c r="B1883" s="15">
        <v>1883</v>
      </c>
      <c r="C1883">
        <f>MOD(B1883,8)</f>
        <v>3</v>
      </c>
    </row>
    <row r="1884" spans="1:3" ht="16.5" x14ac:dyDescent="0.2">
      <c r="A1884" s="4" t="s">
        <v>117</v>
      </c>
      <c r="B1884">
        <v>1884</v>
      </c>
      <c r="C1884">
        <f>MOD(B1884,8)</f>
        <v>4</v>
      </c>
    </row>
    <row r="1885" spans="1:3" ht="16.5" x14ac:dyDescent="0.2">
      <c r="A1885" s="4" t="s">
        <v>117</v>
      </c>
      <c r="B1885" s="15">
        <v>1885</v>
      </c>
      <c r="C1885">
        <f>MOD(B1885,8)</f>
        <v>5</v>
      </c>
    </row>
    <row r="1886" spans="1:3" ht="16.5" x14ac:dyDescent="0.2">
      <c r="A1886" s="4" t="s">
        <v>117</v>
      </c>
      <c r="B1886">
        <v>1886</v>
      </c>
      <c r="C1886">
        <f>MOD(B1886,8)</f>
        <v>6</v>
      </c>
    </row>
    <row r="1887" spans="1:3" ht="16.5" x14ac:dyDescent="0.2">
      <c r="A1887" s="4" t="s">
        <v>117</v>
      </c>
      <c r="B1887">
        <v>1887</v>
      </c>
      <c r="C1887">
        <f>MOD(B1887,8)</f>
        <v>7</v>
      </c>
    </row>
    <row r="1888" spans="1:3" ht="16.5" x14ac:dyDescent="0.2">
      <c r="A1888" s="4" t="s">
        <v>117</v>
      </c>
      <c r="B1888" s="15">
        <v>1888</v>
      </c>
      <c r="C1888">
        <f>MOD(B1888,8)</f>
        <v>0</v>
      </c>
    </row>
    <row r="1889" spans="1:3" ht="16.5" x14ac:dyDescent="0.2">
      <c r="A1889" s="4" t="s">
        <v>116</v>
      </c>
      <c r="B1889">
        <v>1889</v>
      </c>
      <c r="C1889">
        <f>MOD(B1889,8)</f>
        <v>1</v>
      </c>
    </row>
    <row r="1890" spans="1:3" ht="16.5" x14ac:dyDescent="0.2">
      <c r="A1890" s="4" t="s">
        <v>116</v>
      </c>
      <c r="B1890" s="15">
        <v>1890</v>
      </c>
      <c r="C1890">
        <f>MOD(B1890,8)</f>
        <v>2</v>
      </c>
    </row>
    <row r="1891" spans="1:3" ht="16.5" x14ac:dyDescent="0.2">
      <c r="A1891" s="4" t="s">
        <v>116</v>
      </c>
      <c r="B1891">
        <v>1891</v>
      </c>
      <c r="C1891">
        <f>MOD(B1891,8)</f>
        <v>3</v>
      </c>
    </row>
    <row r="1892" spans="1:3" ht="16.5" x14ac:dyDescent="0.2">
      <c r="A1892" s="4" t="s">
        <v>116</v>
      </c>
      <c r="B1892">
        <v>1892</v>
      </c>
      <c r="C1892">
        <f>MOD(B1892,8)</f>
        <v>4</v>
      </c>
    </row>
    <row r="1893" spans="1:3" ht="16.5" x14ac:dyDescent="0.2">
      <c r="A1893" s="4" t="s">
        <v>116</v>
      </c>
      <c r="B1893" s="15">
        <v>1893</v>
      </c>
      <c r="C1893">
        <f>MOD(B1893,8)</f>
        <v>5</v>
      </c>
    </row>
    <row r="1894" spans="1:3" ht="16.5" x14ac:dyDescent="0.2">
      <c r="A1894" s="4" t="s">
        <v>116</v>
      </c>
      <c r="B1894">
        <v>1894</v>
      </c>
      <c r="C1894">
        <f>MOD(B1894,8)</f>
        <v>6</v>
      </c>
    </row>
    <row r="1895" spans="1:3" ht="16.5" x14ac:dyDescent="0.2">
      <c r="A1895" s="4" t="s">
        <v>116</v>
      </c>
      <c r="B1895" s="15">
        <v>1895</v>
      </c>
      <c r="C1895">
        <f>MOD(B1895,8)</f>
        <v>7</v>
      </c>
    </row>
    <row r="1896" spans="1:3" ht="16.5" x14ac:dyDescent="0.2">
      <c r="A1896" s="4" t="s">
        <v>116</v>
      </c>
      <c r="B1896">
        <v>1896</v>
      </c>
      <c r="C1896">
        <f>MOD(B1896,8)</f>
        <v>0</v>
      </c>
    </row>
    <row r="1897" spans="1:3" ht="16.5" x14ac:dyDescent="0.2">
      <c r="A1897" s="4" t="s">
        <v>115</v>
      </c>
      <c r="B1897">
        <v>1897</v>
      </c>
      <c r="C1897">
        <f>MOD(B1897,8)</f>
        <v>1</v>
      </c>
    </row>
    <row r="1898" spans="1:3" ht="16.5" x14ac:dyDescent="0.2">
      <c r="A1898" s="4" t="s">
        <v>115</v>
      </c>
      <c r="B1898" s="15">
        <v>1898</v>
      </c>
      <c r="C1898">
        <f>MOD(B1898,8)</f>
        <v>2</v>
      </c>
    </row>
    <row r="1899" spans="1:3" ht="16.5" x14ac:dyDescent="0.2">
      <c r="A1899" s="4" t="s">
        <v>115</v>
      </c>
      <c r="B1899">
        <v>1899</v>
      </c>
      <c r="C1899">
        <f>MOD(B1899,8)</f>
        <v>3</v>
      </c>
    </row>
    <row r="1900" spans="1:3" ht="16.5" x14ac:dyDescent="0.2">
      <c r="A1900" s="4" t="s">
        <v>115</v>
      </c>
      <c r="B1900" s="15">
        <v>1900</v>
      </c>
      <c r="C1900">
        <f>MOD(B1900,8)</f>
        <v>4</v>
      </c>
    </row>
    <row r="1901" spans="1:3" ht="16.5" x14ac:dyDescent="0.2">
      <c r="A1901" s="4" t="s">
        <v>115</v>
      </c>
      <c r="B1901">
        <v>1901</v>
      </c>
      <c r="C1901">
        <f>MOD(B1901,8)</f>
        <v>5</v>
      </c>
    </row>
    <row r="1902" spans="1:3" ht="16.5" x14ac:dyDescent="0.2">
      <c r="A1902" s="4" t="s">
        <v>115</v>
      </c>
      <c r="B1902">
        <v>1902</v>
      </c>
      <c r="C1902">
        <f>MOD(B1902,8)</f>
        <v>6</v>
      </c>
    </row>
    <row r="1903" spans="1:3" ht="16.5" x14ac:dyDescent="0.2">
      <c r="A1903" s="4" t="s">
        <v>115</v>
      </c>
      <c r="B1903" s="15">
        <v>1903</v>
      </c>
      <c r="C1903">
        <f>MOD(B1903,8)</f>
        <v>7</v>
      </c>
    </row>
    <row r="1904" spans="1:3" ht="16.5" x14ac:dyDescent="0.2">
      <c r="A1904" s="4" t="s">
        <v>115</v>
      </c>
      <c r="B1904">
        <v>1904</v>
      </c>
      <c r="C1904">
        <f>MOD(B1904,8)</f>
        <v>0</v>
      </c>
    </row>
    <row r="1905" spans="1:3" ht="16.5" x14ac:dyDescent="0.2">
      <c r="A1905" s="4" t="s">
        <v>114</v>
      </c>
      <c r="B1905" s="15">
        <v>1905</v>
      </c>
      <c r="C1905">
        <f>MOD(B1905,8)</f>
        <v>1</v>
      </c>
    </row>
    <row r="1906" spans="1:3" ht="16.5" x14ac:dyDescent="0.2">
      <c r="A1906" s="4" t="s">
        <v>114</v>
      </c>
      <c r="B1906">
        <v>1906</v>
      </c>
      <c r="C1906">
        <f>MOD(B1906,8)</f>
        <v>2</v>
      </c>
    </row>
    <row r="1907" spans="1:3" ht="16.5" x14ac:dyDescent="0.2">
      <c r="A1907" s="4" t="s">
        <v>114</v>
      </c>
      <c r="B1907">
        <v>1907</v>
      </c>
      <c r="C1907">
        <f>MOD(B1907,8)</f>
        <v>3</v>
      </c>
    </row>
    <row r="1908" spans="1:3" ht="16.5" x14ac:dyDescent="0.2">
      <c r="A1908" s="4" t="s">
        <v>114</v>
      </c>
      <c r="B1908" s="15">
        <v>1908</v>
      </c>
      <c r="C1908">
        <f>MOD(B1908,8)</f>
        <v>4</v>
      </c>
    </row>
    <row r="1909" spans="1:3" ht="16.5" x14ac:dyDescent="0.2">
      <c r="A1909" s="4" t="s">
        <v>114</v>
      </c>
      <c r="B1909">
        <v>1909</v>
      </c>
      <c r="C1909">
        <f>MOD(B1909,8)</f>
        <v>5</v>
      </c>
    </row>
    <row r="1910" spans="1:3" ht="16.5" x14ac:dyDescent="0.2">
      <c r="A1910" s="4" t="s">
        <v>114</v>
      </c>
      <c r="B1910" s="15">
        <v>1910</v>
      </c>
      <c r="C1910">
        <f>MOD(B1910,8)</f>
        <v>6</v>
      </c>
    </row>
    <row r="1911" spans="1:3" ht="16.5" x14ac:dyDescent="0.2">
      <c r="A1911" s="4" t="s">
        <v>114</v>
      </c>
      <c r="B1911">
        <v>1911</v>
      </c>
      <c r="C1911">
        <f>MOD(B1911,8)</f>
        <v>7</v>
      </c>
    </row>
    <row r="1912" spans="1:3" ht="16.5" x14ac:dyDescent="0.2">
      <c r="A1912" s="4" t="s">
        <v>114</v>
      </c>
      <c r="B1912">
        <v>1912</v>
      </c>
      <c r="C1912">
        <f>MOD(B1912,8)</f>
        <v>0</v>
      </c>
    </row>
    <row r="1913" spans="1:3" ht="16.5" x14ac:dyDescent="0.2">
      <c r="A1913" s="4" t="s">
        <v>113</v>
      </c>
      <c r="B1913" s="15">
        <v>1913</v>
      </c>
      <c r="C1913">
        <f>MOD(B1913,8)</f>
        <v>1</v>
      </c>
    </row>
    <row r="1914" spans="1:3" ht="16.5" x14ac:dyDescent="0.2">
      <c r="A1914" s="4" t="s">
        <v>113</v>
      </c>
      <c r="B1914">
        <v>1914</v>
      </c>
      <c r="C1914">
        <f>MOD(B1914,8)</f>
        <v>2</v>
      </c>
    </row>
    <row r="1915" spans="1:3" ht="16.5" x14ac:dyDescent="0.2">
      <c r="A1915" s="4" t="s">
        <v>113</v>
      </c>
      <c r="B1915" s="15">
        <v>1915</v>
      </c>
      <c r="C1915">
        <f>MOD(B1915,8)</f>
        <v>3</v>
      </c>
    </row>
    <row r="1916" spans="1:3" ht="16.5" x14ac:dyDescent="0.2">
      <c r="A1916" s="4" t="s">
        <v>113</v>
      </c>
      <c r="B1916">
        <v>1916</v>
      </c>
      <c r="C1916">
        <f>MOD(B1916,8)</f>
        <v>4</v>
      </c>
    </row>
    <row r="1917" spans="1:3" ht="16.5" x14ac:dyDescent="0.2">
      <c r="A1917" s="4" t="s">
        <v>113</v>
      </c>
      <c r="B1917">
        <v>1917</v>
      </c>
      <c r="C1917">
        <f>MOD(B1917,8)</f>
        <v>5</v>
      </c>
    </row>
    <row r="1918" spans="1:3" ht="16.5" x14ac:dyDescent="0.2">
      <c r="A1918" s="4" t="s">
        <v>113</v>
      </c>
      <c r="B1918" s="15">
        <v>1918</v>
      </c>
      <c r="C1918">
        <f>MOD(B1918,8)</f>
        <v>6</v>
      </c>
    </row>
    <row r="1919" spans="1:3" ht="16.5" x14ac:dyDescent="0.2">
      <c r="A1919" s="4" t="s">
        <v>113</v>
      </c>
      <c r="B1919">
        <v>1919</v>
      </c>
      <c r="C1919">
        <f>MOD(B1919,8)</f>
        <v>7</v>
      </c>
    </row>
    <row r="1920" spans="1:3" ht="16.5" x14ac:dyDescent="0.2">
      <c r="A1920" s="4" t="s">
        <v>113</v>
      </c>
      <c r="B1920" s="15">
        <v>1920</v>
      </c>
      <c r="C1920">
        <f>MOD(B1920,8)</f>
        <v>0</v>
      </c>
    </row>
    <row r="1921" spans="1:3" ht="16.5" x14ac:dyDescent="0.2">
      <c r="A1921" s="4" t="s">
        <v>112</v>
      </c>
      <c r="B1921">
        <v>1921</v>
      </c>
      <c r="C1921">
        <f>MOD(B1921,8)</f>
        <v>1</v>
      </c>
    </row>
    <row r="1922" spans="1:3" ht="16.5" x14ac:dyDescent="0.2">
      <c r="A1922" s="4" t="s">
        <v>112</v>
      </c>
      <c r="B1922">
        <v>1922</v>
      </c>
      <c r="C1922">
        <f>MOD(B1922,8)</f>
        <v>2</v>
      </c>
    </row>
    <row r="1923" spans="1:3" ht="16.5" x14ac:dyDescent="0.2">
      <c r="A1923" s="4" t="s">
        <v>112</v>
      </c>
      <c r="B1923" s="15">
        <v>1923</v>
      </c>
      <c r="C1923">
        <f>MOD(B1923,8)</f>
        <v>3</v>
      </c>
    </row>
    <row r="1924" spans="1:3" ht="16.5" x14ac:dyDescent="0.2">
      <c r="A1924" s="4" t="s">
        <v>112</v>
      </c>
      <c r="B1924">
        <v>1924</v>
      </c>
      <c r="C1924">
        <f>MOD(B1924,8)</f>
        <v>4</v>
      </c>
    </row>
    <row r="1925" spans="1:3" ht="16.5" x14ac:dyDescent="0.2">
      <c r="A1925" s="4" t="s">
        <v>112</v>
      </c>
      <c r="B1925" s="15">
        <v>1925</v>
      </c>
      <c r="C1925">
        <f>MOD(B1925,8)</f>
        <v>5</v>
      </c>
    </row>
    <row r="1926" spans="1:3" ht="16.5" x14ac:dyDescent="0.2">
      <c r="A1926" s="4" t="s">
        <v>112</v>
      </c>
      <c r="B1926">
        <v>1926</v>
      </c>
      <c r="C1926">
        <f>MOD(B1926,8)</f>
        <v>6</v>
      </c>
    </row>
    <row r="1927" spans="1:3" ht="16.5" x14ac:dyDescent="0.2">
      <c r="A1927" s="4" t="s">
        <v>112</v>
      </c>
      <c r="B1927">
        <v>1927</v>
      </c>
      <c r="C1927">
        <f>MOD(B1927,8)</f>
        <v>7</v>
      </c>
    </row>
    <row r="1928" spans="1:3" ht="16.5" x14ac:dyDescent="0.2">
      <c r="A1928" s="4" t="s">
        <v>112</v>
      </c>
      <c r="B1928" s="15">
        <v>1928</v>
      </c>
      <c r="C1928">
        <f>MOD(B1928,8)</f>
        <v>0</v>
      </c>
    </row>
    <row r="1929" spans="1:3" ht="16.5" x14ac:dyDescent="0.2">
      <c r="A1929" s="4" t="s">
        <v>111</v>
      </c>
      <c r="B1929">
        <v>1929</v>
      </c>
      <c r="C1929">
        <f>MOD(B1929,8)</f>
        <v>1</v>
      </c>
    </row>
    <row r="1930" spans="1:3" ht="16.5" x14ac:dyDescent="0.2">
      <c r="A1930" s="4" t="s">
        <v>111</v>
      </c>
      <c r="B1930" s="15">
        <v>1930</v>
      </c>
      <c r="C1930">
        <f>MOD(B1930,8)</f>
        <v>2</v>
      </c>
    </row>
    <row r="1931" spans="1:3" ht="16.5" x14ac:dyDescent="0.2">
      <c r="A1931" s="4" t="s">
        <v>111</v>
      </c>
      <c r="B1931">
        <v>1931</v>
      </c>
      <c r="C1931">
        <f>MOD(B1931,8)</f>
        <v>3</v>
      </c>
    </row>
    <row r="1932" spans="1:3" ht="16.5" x14ac:dyDescent="0.2">
      <c r="A1932" s="4" t="s">
        <v>111</v>
      </c>
      <c r="B1932">
        <v>1932</v>
      </c>
      <c r="C1932">
        <f>MOD(B1932,8)</f>
        <v>4</v>
      </c>
    </row>
    <row r="1933" spans="1:3" ht="16.5" x14ac:dyDescent="0.2">
      <c r="A1933" s="4" t="s">
        <v>111</v>
      </c>
      <c r="B1933" s="15">
        <v>1933</v>
      </c>
      <c r="C1933">
        <f>MOD(B1933,8)</f>
        <v>5</v>
      </c>
    </row>
    <row r="1934" spans="1:3" ht="16.5" x14ac:dyDescent="0.2">
      <c r="A1934" s="4" t="s">
        <v>111</v>
      </c>
      <c r="B1934">
        <v>1934</v>
      </c>
      <c r="C1934">
        <f>MOD(B1934,8)</f>
        <v>6</v>
      </c>
    </row>
    <row r="1935" spans="1:3" ht="16.5" x14ac:dyDescent="0.2">
      <c r="A1935" s="4" t="s">
        <v>111</v>
      </c>
      <c r="B1935" s="15">
        <v>1935</v>
      </c>
      <c r="C1935">
        <f>MOD(B1935,8)</f>
        <v>7</v>
      </c>
    </row>
    <row r="1936" spans="1:3" ht="16.5" x14ac:dyDescent="0.2">
      <c r="A1936" s="4" t="s">
        <v>111</v>
      </c>
      <c r="B1936">
        <v>1936</v>
      </c>
      <c r="C1936">
        <f>MOD(B1936,8)</f>
        <v>0</v>
      </c>
    </row>
    <row r="1937" spans="1:3" ht="16.5" x14ac:dyDescent="0.2">
      <c r="A1937" s="4" t="s">
        <v>110</v>
      </c>
      <c r="B1937">
        <v>1937</v>
      </c>
      <c r="C1937">
        <f>MOD(B1937,8)</f>
        <v>1</v>
      </c>
    </row>
    <row r="1938" spans="1:3" ht="16.5" x14ac:dyDescent="0.2">
      <c r="A1938" s="4" t="s">
        <v>110</v>
      </c>
      <c r="B1938" s="15">
        <v>1938</v>
      </c>
      <c r="C1938">
        <f>MOD(B1938,8)</f>
        <v>2</v>
      </c>
    </row>
    <row r="1939" spans="1:3" ht="16.5" x14ac:dyDescent="0.2">
      <c r="A1939" s="4" t="s">
        <v>110</v>
      </c>
      <c r="B1939">
        <v>1939</v>
      </c>
      <c r="C1939">
        <f>MOD(B1939,8)</f>
        <v>3</v>
      </c>
    </row>
    <row r="1940" spans="1:3" ht="16.5" x14ac:dyDescent="0.2">
      <c r="A1940" s="4" t="s">
        <v>110</v>
      </c>
      <c r="B1940" s="15">
        <v>1940</v>
      </c>
      <c r="C1940">
        <f>MOD(B1940,8)</f>
        <v>4</v>
      </c>
    </row>
    <row r="1941" spans="1:3" ht="16.5" x14ac:dyDescent="0.2">
      <c r="A1941" s="4" t="s">
        <v>110</v>
      </c>
      <c r="B1941">
        <v>1941</v>
      </c>
      <c r="C1941">
        <f>MOD(B1941,8)</f>
        <v>5</v>
      </c>
    </row>
    <row r="1942" spans="1:3" ht="16.5" x14ac:dyDescent="0.2">
      <c r="A1942" s="4" t="s">
        <v>110</v>
      </c>
      <c r="B1942">
        <v>1942</v>
      </c>
      <c r="C1942">
        <f>MOD(B1942,8)</f>
        <v>6</v>
      </c>
    </row>
    <row r="1943" spans="1:3" ht="16.5" x14ac:dyDescent="0.2">
      <c r="A1943" s="4" t="s">
        <v>110</v>
      </c>
      <c r="B1943" s="15">
        <v>1943</v>
      </c>
      <c r="C1943">
        <f>MOD(B1943,8)</f>
        <v>7</v>
      </c>
    </row>
    <row r="1944" spans="1:3" ht="16.5" x14ac:dyDescent="0.2">
      <c r="A1944" s="4" t="s">
        <v>110</v>
      </c>
      <c r="B1944">
        <v>1944</v>
      </c>
      <c r="C1944">
        <f>MOD(B1944,8)</f>
        <v>0</v>
      </c>
    </row>
    <row r="1945" spans="1:3" ht="16.5" x14ac:dyDescent="0.2">
      <c r="A1945" s="4" t="s">
        <v>109</v>
      </c>
      <c r="B1945" s="15">
        <v>1945</v>
      </c>
      <c r="C1945">
        <f>MOD(B1945,8)</f>
        <v>1</v>
      </c>
    </row>
    <row r="1946" spans="1:3" ht="16.5" x14ac:dyDescent="0.2">
      <c r="A1946" s="4" t="s">
        <v>109</v>
      </c>
      <c r="B1946">
        <v>1946</v>
      </c>
      <c r="C1946">
        <f>MOD(B1946,8)</f>
        <v>2</v>
      </c>
    </row>
    <row r="1947" spans="1:3" ht="16.5" x14ac:dyDescent="0.2">
      <c r="A1947" s="4" t="s">
        <v>109</v>
      </c>
      <c r="B1947">
        <v>1947</v>
      </c>
      <c r="C1947">
        <f>MOD(B1947,8)</f>
        <v>3</v>
      </c>
    </row>
    <row r="1948" spans="1:3" ht="16.5" x14ac:dyDescent="0.2">
      <c r="A1948" s="4" t="s">
        <v>109</v>
      </c>
      <c r="B1948" s="15">
        <v>1948</v>
      </c>
      <c r="C1948">
        <f>MOD(B1948,8)</f>
        <v>4</v>
      </c>
    </row>
    <row r="1949" spans="1:3" ht="16.5" x14ac:dyDescent="0.2">
      <c r="A1949" s="4" t="s">
        <v>109</v>
      </c>
      <c r="B1949">
        <v>1949</v>
      </c>
      <c r="C1949">
        <f>MOD(B1949,8)</f>
        <v>5</v>
      </c>
    </row>
    <row r="1950" spans="1:3" ht="16.5" x14ac:dyDescent="0.2">
      <c r="A1950" s="4" t="s">
        <v>109</v>
      </c>
      <c r="B1950" s="15">
        <v>1950</v>
      </c>
      <c r="C1950">
        <f>MOD(B1950,8)</f>
        <v>6</v>
      </c>
    </row>
    <row r="1951" spans="1:3" ht="16.5" x14ac:dyDescent="0.2">
      <c r="A1951" s="4" t="s">
        <v>109</v>
      </c>
      <c r="B1951">
        <v>1951</v>
      </c>
      <c r="C1951">
        <f>MOD(B1951,8)</f>
        <v>7</v>
      </c>
    </row>
    <row r="1952" spans="1:3" ht="16.5" x14ac:dyDescent="0.2">
      <c r="A1952" s="4" t="s">
        <v>109</v>
      </c>
      <c r="B1952">
        <v>1952</v>
      </c>
      <c r="C1952">
        <f>MOD(B1952,8)</f>
        <v>0</v>
      </c>
    </row>
    <row r="1953" spans="1:3" ht="16.5" x14ac:dyDescent="0.2">
      <c r="A1953" s="4" t="s">
        <v>108</v>
      </c>
      <c r="B1953" s="15">
        <v>1953</v>
      </c>
      <c r="C1953">
        <f>MOD(B1953,8)</f>
        <v>1</v>
      </c>
    </row>
    <row r="1954" spans="1:3" ht="16.5" x14ac:dyDescent="0.2">
      <c r="A1954" s="4" t="s">
        <v>108</v>
      </c>
      <c r="B1954">
        <v>1954</v>
      </c>
      <c r="C1954">
        <f>MOD(B1954,8)</f>
        <v>2</v>
      </c>
    </row>
    <row r="1955" spans="1:3" ht="16.5" x14ac:dyDescent="0.2">
      <c r="A1955" s="4" t="s">
        <v>108</v>
      </c>
      <c r="B1955" s="15">
        <v>1955</v>
      </c>
      <c r="C1955">
        <f>MOD(B1955,8)</f>
        <v>3</v>
      </c>
    </row>
    <row r="1956" spans="1:3" ht="16.5" x14ac:dyDescent="0.2">
      <c r="A1956" s="4" t="s">
        <v>108</v>
      </c>
      <c r="B1956">
        <v>1956</v>
      </c>
      <c r="C1956">
        <f>MOD(B1956,8)</f>
        <v>4</v>
      </c>
    </row>
    <row r="1957" spans="1:3" ht="16.5" x14ac:dyDescent="0.2">
      <c r="A1957" s="4" t="s">
        <v>108</v>
      </c>
      <c r="B1957">
        <v>1957</v>
      </c>
      <c r="C1957">
        <f>MOD(B1957,8)</f>
        <v>5</v>
      </c>
    </row>
    <row r="1958" spans="1:3" ht="16.5" x14ac:dyDescent="0.2">
      <c r="A1958" s="4" t="s">
        <v>108</v>
      </c>
      <c r="B1958" s="15">
        <v>1958</v>
      </c>
      <c r="C1958">
        <f>MOD(B1958,8)</f>
        <v>6</v>
      </c>
    </row>
    <row r="1959" spans="1:3" ht="16.5" x14ac:dyDescent="0.2">
      <c r="A1959" s="4" t="s">
        <v>108</v>
      </c>
      <c r="B1959">
        <v>1959</v>
      </c>
      <c r="C1959">
        <f>MOD(B1959,8)</f>
        <v>7</v>
      </c>
    </row>
    <row r="1960" spans="1:3" ht="16.5" x14ac:dyDescent="0.2">
      <c r="A1960" s="4" t="s">
        <v>108</v>
      </c>
      <c r="B1960" s="15">
        <v>1960</v>
      </c>
      <c r="C1960">
        <f>MOD(B1960,8)</f>
        <v>0</v>
      </c>
    </row>
    <row r="1961" spans="1:3" ht="16.5" x14ac:dyDescent="0.2">
      <c r="A1961" s="4" t="s">
        <v>107</v>
      </c>
      <c r="B1961">
        <v>1961</v>
      </c>
      <c r="C1961">
        <f>MOD(B1961,8)</f>
        <v>1</v>
      </c>
    </row>
    <row r="1962" spans="1:3" ht="16.5" x14ac:dyDescent="0.2">
      <c r="A1962" s="4" t="s">
        <v>107</v>
      </c>
      <c r="B1962">
        <v>1962</v>
      </c>
      <c r="C1962">
        <f>MOD(B1962,8)</f>
        <v>2</v>
      </c>
    </row>
    <row r="1963" spans="1:3" ht="16.5" x14ac:dyDescent="0.2">
      <c r="A1963" s="4" t="s">
        <v>107</v>
      </c>
      <c r="B1963" s="15">
        <v>1963</v>
      </c>
      <c r="C1963">
        <f>MOD(B1963,8)</f>
        <v>3</v>
      </c>
    </row>
    <row r="1964" spans="1:3" ht="16.5" x14ac:dyDescent="0.2">
      <c r="A1964" s="4" t="s">
        <v>107</v>
      </c>
      <c r="B1964">
        <v>1964</v>
      </c>
      <c r="C1964">
        <f>MOD(B1964,8)</f>
        <v>4</v>
      </c>
    </row>
    <row r="1965" spans="1:3" ht="16.5" x14ac:dyDescent="0.2">
      <c r="A1965" s="4" t="s">
        <v>107</v>
      </c>
      <c r="B1965" s="15">
        <v>1965</v>
      </c>
      <c r="C1965">
        <f>MOD(B1965,8)</f>
        <v>5</v>
      </c>
    </row>
    <row r="1966" spans="1:3" ht="16.5" x14ac:dyDescent="0.2">
      <c r="A1966" s="4" t="s">
        <v>107</v>
      </c>
      <c r="B1966">
        <v>1966</v>
      </c>
      <c r="C1966">
        <f>MOD(B1966,8)</f>
        <v>6</v>
      </c>
    </row>
    <row r="1967" spans="1:3" ht="16.5" x14ac:dyDescent="0.2">
      <c r="A1967" s="4" t="s">
        <v>107</v>
      </c>
      <c r="B1967">
        <v>1967</v>
      </c>
      <c r="C1967">
        <f>MOD(B1967,8)</f>
        <v>7</v>
      </c>
    </row>
    <row r="1968" spans="1:3" ht="16.5" x14ac:dyDescent="0.2">
      <c r="A1968" s="4" t="s">
        <v>107</v>
      </c>
      <c r="B1968" s="15">
        <v>1968</v>
      </c>
      <c r="C1968">
        <f>MOD(B1968,8)</f>
        <v>0</v>
      </c>
    </row>
    <row r="1969" spans="1:3" ht="16.5" x14ac:dyDescent="0.2">
      <c r="A1969" s="4" t="s">
        <v>106</v>
      </c>
      <c r="B1969">
        <v>1969</v>
      </c>
      <c r="C1969">
        <f>MOD(B1969,8)</f>
        <v>1</v>
      </c>
    </row>
    <row r="1970" spans="1:3" ht="16.5" x14ac:dyDescent="0.2">
      <c r="A1970" s="4" t="s">
        <v>106</v>
      </c>
      <c r="B1970" s="15">
        <v>1970</v>
      </c>
      <c r="C1970">
        <f>MOD(B1970,8)</f>
        <v>2</v>
      </c>
    </row>
    <row r="1971" spans="1:3" ht="16.5" x14ac:dyDescent="0.2">
      <c r="A1971" s="4" t="s">
        <v>106</v>
      </c>
      <c r="B1971">
        <v>1971</v>
      </c>
      <c r="C1971">
        <f>MOD(B1971,8)</f>
        <v>3</v>
      </c>
    </row>
    <row r="1972" spans="1:3" ht="16.5" x14ac:dyDescent="0.2">
      <c r="A1972" s="4" t="s">
        <v>106</v>
      </c>
      <c r="B1972">
        <v>1972</v>
      </c>
      <c r="C1972">
        <f>MOD(B1972,8)</f>
        <v>4</v>
      </c>
    </row>
    <row r="1973" spans="1:3" ht="16.5" x14ac:dyDescent="0.2">
      <c r="A1973" s="4" t="s">
        <v>106</v>
      </c>
      <c r="B1973" s="15">
        <v>1973</v>
      </c>
      <c r="C1973">
        <f>MOD(B1973,8)</f>
        <v>5</v>
      </c>
    </row>
    <row r="1974" spans="1:3" ht="16.5" x14ac:dyDescent="0.2">
      <c r="A1974" s="4" t="s">
        <v>106</v>
      </c>
      <c r="B1974">
        <v>1974</v>
      </c>
      <c r="C1974">
        <f>MOD(B1974,8)</f>
        <v>6</v>
      </c>
    </row>
    <row r="1975" spans="1:3" ht="16.5" x14ac:dyDescent="0.2">
      <c r="A1975" s="4" t="s">
        <v>106</v>
      </c>
      <c r="B1975" s="15">
        <v>1975</v>
      </c>
      <c r="C1975">
        <f>MOD(B1975,8)</f>
        <v>7</v>
      </c>
    </row>
    <row r="1976" spans="1:3" ht="16.5" x14ac:dyDescent="0.2">
      <c r="A1976" s="4" t="s">
        <v>106</v>
      </c>
      <c r="B1976">
        <v>1976</v>
      </c>
      <c r="C1976">
        <f>MOD(B1976,8)</f>
        <v>0</v>
      </c>
    </row>
    <row r="1977" spans="1:3" ht="16.5" x14ac:dyDescent="0.2">
      <c r="A1977" s="4" t="s">
        <v>105</v>
      </c>
      <c r="B1977">
        <v>1977</v>
      </c>
      <c r="C1977">
        <f>MOD(B1977,8)</f>
        <v>1</v>
      </c>
    </row>
    <row r="1978" spans="1:3" ht="16.5" x14ac:dyDescent="0.2">
      <c r="A1978" s="4" t="s">
        <v>105</v>
      </c>
      <c r="B1978" s="15">
        <v>1978</v>
      </c>
      <c r="C1978">
        <f>MOD(B1978,8)</f>
        <v>2</v>
      </c>
    </row>
    <row r="1979" spans="1:3" ht="16.5" x14ac:dyDescent="0.2">
      <c r="A1979" s="4" t="s">
        <v>105</v>
      </c>
      <c r="B1979">
        <v>1979</v>
      </c>
      <c r="C1979">
        <f>MOD(B1979,8)</f>
        <v>3</v>
      </c>
    </row>
    <row r="1980" spans="1:3" ht="16.5" x14ac:dyDescent="0.2">
      <c r="A1980" s="4" t="s">
        <v>105</v>
      </c>
      <c r="B1980" s="15">
        <v>1980</v>
      </c>
      <c r="C1980">
        <f>MOD(B1980,8)</f>
        <v>4</v>
      </c>
    </row>
    <row r="1981" spans="1:3" ht="16.5" x14ac:dyDescent="0.2">
      <c r="A1981" s="4" t="s">
        <v>105</v>
      </c>
      <c r="B1981">
        <v>1981</v>
      </c>
      <c r="C1981">
        <f>MOD(B1981,8)</f>
        <v>5</v>
      </c>
    </row>
    <row r="1982" spans="1:3" ht="16.5" x14ac:dyDescent="0.2">
      <c r="A1982" s="4" t="s">
        <v>105</v>
      </c>
      <c r="B1982">
        <v>1982</v>
      </c>
      <c r="C1982">
        <f>MOD(B1982,8)</f>
        <v>6</v>
      </c>
    </row>
    <row r="1983" spans="1:3" ht="16.5" x14ac:dyDescent="0.2">
      <c r="A1983" s="4" t="s">
        <v>105</v>
      </c>
      <c r="B1983" s="15">
        <v>1983</v>
      </c>
      <c r="C1983">
        <f>MOD(B1983,8)</f>
        <v>7</v>
      </c>
    </row>
    <row r="1984" spans="1:3" ht="16.5" x14ac:dyDescent="0.2">
      <c r="A1984" s="4" t="s">
        <v>105</v>
      </c>
      <c r="B1984">
        <v>1984</v>
      </c>
      <c r="C1984">
        <f>MOD(B1984,8)</f>
        <v>0</v>
      </c>
    </row>
    <row r="1985" spans="1:3" ht="16.5" x14ac:dyDescent="0.2">
      <c r="A1985" s="4" t="s">
        <v>104</v>
      </c>
      <c r="B1985" s="15">
        <v>1985</v>
      </c>
      <c r="C1985">
        <f>MOD(B1985,8)</f>
        <v>1</v>
      </c>
    </row>
    <row r="1986" spans="1:3" ht="16.5" x14ac:dyDescent="0.2">
      <c r="A1986" s="4" t="s">
        <v>104</v>
      </c>
      <c r="B1986">
        <v>1986</v>
      </c>
      <c r="C1986">
        <f>MOD(B1986,8)</f>
        <v>2</v>
      </c>
    </row>
    <row r="1987" spans="1:3" ht="16.5" x14ac:dyDescent="0.2">
      <c r="A1987" s="4" t="s">
        <v>104</v>
      </c>
      <c r="B1987">
        <v>1987</v>
      </c>
      <c r="C1987">
        <f>MOD(B1987,8)</f>
        <v>3</v>
      </c>
    </row>
    <row r="1988" spans="1:3" ht="16.5" x14ac:dyDescent="0.2">
      <c r="A1988" s="4" t="s">
        <v>104</v>
      </c>
      <c r="B1988" s="15">
        <v>1988</v>
      </c>
      <c r="C1988">
        <f>MOD(B1988,8)</f>
        <v>4</v>
      </c>
    </row>
    <row r="1989" spans="1:3" ht="16.5" x14ac:dyDescent="0.2">
      <c r="A1989" s="4" t="s">
        <v>104</v>
      </c>
      <c r="B1989">
        <v>1989</v>
      </c>
      <c r="C1989">
        <f>MOD(B1989,8)</f>
        <v>5</v>
      </c>
    </row>
    <row r="1990" spans="1:3" ht="16.5" x14ac:dyDescent="0.2">
      <c r="A1990" s="4" t="s">
        <v>104</v>
      </c>
      <c r="B1990" s="15">
        <v>1990</v>
      </c>
      <c r="C1990">
        <f>MOD(B1990,8)</f>
        <v>6</v>
      </c>
    </row>
    <row r="1991" spans="1:3" ht="16.5" x14ac:dyDescent="0.2">
      <c r="A1991" s="4" t="s">
        <v>104</v>
      </c>
      <c r="B1991">
        <v>1991</v>
      </c>
      <c r="C1991">
        <f>MOD(B1991,8)</f>
        <v>7</v>
      </c>
    </row>
    <row r="1992" spans="1:3" ht="16.5" x14ac:dyDescent="0.2">
      <c r="A1992" s="4" t="s">
        <v>104</v>
      </c>
      <c r="B1992">
        <v>1992</v>
      </c>
      <c r="C1992">
        <f>MOD(B1992,8)</f>
        <v>0</v>
      </c>
    </row>
    <row r="1993" spans="1:3" ht="16.5" x14ac:dyDescent="0.2">
      <c r="A1993" s="4" t="s">
        <v>103</v>
      </c>
      <c r="B1993" s="15">
        <v>1993</v>
      </c>
      <c r="C1993">
        <f>MOD(B1993,8)</f>
        <v>1</v>
      </c>
    </row>
    <row r="1994" spans="1:3" ht="16.5" x14ac:dyDescent="0.2">
      <c r="A1994" s="4" t="s">
        <v>103</v>
      </c>
      <c r="B1994">
        <v>1994</v>
      </c>
      <c r="C1994">
        <f>MOD(B1994,8)</f>
        <v>2</v>
      </c>
    </row>
    <row r="1995" spans="1:3" ht="16.5" x14ac:dyDescent="0.2">
      <c r="A1995" s="4" t="s">
        <v>103</v>
      </c>
      <c r="B1995" s="15">
        <v>1995</v>
      </c>
      <c r="C1995">
        <f>MOD(B1995,8)</f>
        <v>3</v>
      </c>
    </row>
    <row r="1996" spans="1:3" ht="16.5" x14ac:dyDescent="0.2">
      <c r="A1996" s="4" t="s">
        <v>103</v>
      </c>
      <c r="B1996">
        <v>1996</v>
      </c>
      <c r="C1996">
        <f>MOD(B1996,8)</f>
        <v>4</v>
      </c>
    </row>
    <row r="1997" spans="1:3" ht="16.5" x14ac:dyDescent="0.2">
      <c r="A1997" s="4" t="s">
        <v>103</v>
      </c>
      <c r="B1997">
        <v>1997</v>
      </c>
      <c r="C1997">
        <f>MOD(B1997,8)</f>
        <v>5</v>
      </c>
    </row>
    <row r="1998" spans="1:3" ht="16.5" x14ac:dyDescent="0.2">
      <c r="A1998" s="4" t="s">
        <v>103</v>
      </c>
      <c r="B1998" s="15">
        <v>1998</v>
      </c>
      <c r="C1998">
        <f>MOD(B1998,8)</f>
        <v>6</v>
      </c>
    </row>
    <row r="1999" spans="1:3" ht="16.5" x14ac:dyDescent="0.2">
      <c r="A1999" s="4" t="s">
        <v>103</v>
      </c>
      <c r="B1999">
        <v>1999</v>
      </c>
      <c r="C1999">
        <f>MOD(B1999,8)</f>
        <v>7</v>
      </c>
    </row>
    <row r="2000" spans="1:3" ht="16.5" x14ac:dyDescent="0.2">
      <c r="A2000" s="4" t="s">
        <v>103</v>
      </c>
      <c r="B2000" s="15">
        <v>2000</v>
      </c>
      <c r="C2000">
        <f>MOD(B2000,8)</f>
        <v>0</v>
      </c>
    </row>
    <row r="2001" spans="1:3" ht="16.5" x14ac:dyDescent="0.2">
      <c r="A2001" s="4" t="s">
        <v>102</v>
      </c>
      <c r="B2001">
        <v>2001</v>
      </c>
      <c r="C2001">
        <f>MOD(B2001,8)</f>
        <v>1</v>
      </c>
    </row>
    <row r="2002" spans="1:3" ht="16.5" x14ac:dyDescent="0.2">
      <c r="A2002" s="4" t="s">
        <v>102</v>
      </c>
      <c r="B2002">
        <v>2002</v>
      </c>
      <c r="C2002">
        <f>MOD(B2002,8)</f>
        <v>2</v>
      </c>
    </row>
    <row r="2003" spans="1:3" ht="16.5" x14ac:dyDescent="0.2">
      <c r="A2003" s="4" t="s">
        <v>102</v>
      </c>
      <c r="B2003" s="15">
        <v>2003</v>
      </c>
      <c r="C2003">
        <f>MOD(B2003,8)</f>
        <v>3</v>
      </c>
    </row>
    <row r="2004" spans="1:3" ht="16.5" x14ac:dyDescent="0.2">
      <c r="A2004" s="4" t="s">
        <v>102</v>
      </c>
      <c r="B2004">
        <v>2004</v>
      </c>
      <c r="C2004">
        <f>MOD(B2004,8)</f>
        <v>4</v>
      </c>
    </row>
    <row r="2005" spans="1:3" ht="16.5" x14ac:dyDescent="0.2">
      <c r="A2005" s="4" t="s">
        <v>102</v>
      </c>
      <c r="B2005" s="15">
        <v>2005</v>
      </c>
      <c r="C2005">
        <f>MOD(B2005,8)</f>
        <v>5</v>
      </c>
    </row>
    <row r="2006" spans="1:3" ht="16.5" x14ac:dyDescent="0.2">
      <c r="A2006" s="4" t="s">
        <v>102</v>
      </c>
      <c r="B2006">
        <v>2006</v>
      </c>
      <c r="C2006">
        <f>MOD(B2006,8)</f>
        <v>6</v>
      </c>
    </row>
    <row r="2007" spans="1:3" ht="16.5" x14ac:dyDescent="0.2">
      <c r="A2007" s="4" t="s">
        <v>102</v>
      </c>
      <c r="B2007">
        <v>2007</v>
      </c>
      <c r="C2007">
        <f>MOD(B2007,8)</f>
        <v>7</v>
      </c>
    </row>
    <row r="2008" spans="1:3" ht="16.5" x14ac:dyDescent="0.2">
      <c r="A2008" s="4" t="s">
        <v>102</v>
      </c>
      <c r="B2008" s="15">
        <v>2008</v>
      </c>
      <c r="C2008">
        <f>MOD(B2008,8)</f>
        <v>0</v>
      </c>
    </row>
    <row r="2009" spans="1:3" ht="16.5" x14ac:dyDescent="0.2">
      <c r="A2009" s="4" t="s">
        <v>101</v>
      </c>
      <c r="B2009">
        <v>2009</v>
      </c>
      <c r="C2009">
        <f>MOD(B2009,8)</f>
        <v>1</v>
      </c>
    </row>
    <row r="2010" spans="1:3" ht="16.5" x14ac:dyDescent="0.2">
      <c r="A2010" s="4" t="s">
        <v>101</v>
      </c>
      <c r="B2010" s="15">
        <v>2010</v>
      </c>
      <c r="C2010">
        <f>MOD(B2010,8)</f>
        <v>2</v>
      </c>
    </row>
    <row r="2011" spans="1:3" ht="16.5" x14ac:dyDescent="0.2">
      <c r="A2011" s="4" t="s">
        <v>101</v>
      </c>
      <c r="B2011">
        <v>2011</v>
      </c>
      <c r="C2011">
        <f>MOD(B2011,8)</f>
        <v>3</v>
      </c>
    </row>
    <row r="2012" spans="1:3" ht="16.5" x14ac:dyDescent="0.2">
      <c r="A2012" s="4" t="s">
        <v>101</v>
      </c>
      <c r="B2012">
        <v>2012</v>
      </c>
      <c r="C2012">
        <f>MOD(B2012,8)</f>
        <v>4</v>
      </c>
    </row>
    <row r="2013" spans="1:3" ht="16.5" x14ac:dyDescent="0.2">
      <c r="A2013" s="4" t="s">
        <v>101</v>
      </c>
      <c r="B2013" s="15">
        <v>2013</v>
      </c>
      <c r="C2013">
        <f>MOD(B2013,8)</f>
        <v>5</v>
      </c>
    </row>
    <row r="2014" spans="1:3" ht="16.5" x14ac:dyDescent="0.2">
      <c r="A2014" s="4" t="s">
        <v>101</v>
      </c>
      <c r="B2014">
        <v>2014</v>
      </c>
      <c r="C2014">
        <f>MOD(B2014,8)</f>
        <v>6</v>
      </c>
    </row>
    <row r="2015" spans="1:3" ht="16.5" x14ac:dyDescent="0.2">
      <c r="A2015" s="4" t="s">
        <v>101</v>
      </c>
      <c r="B2015" s="15">
        <v>2015</v>
      </c>
      <c r="C2015">
        <f>MOD(B2015,8)</f>
        <v>7</v>
      </c>
    </row>
    <row r="2016" spans="1:3" ht="16.5" x14ac:dyDescent="0.2">
      <c r="A2016" s="4" t="s">
        <v>101</v>
      </c>
      <c r="B2016">
        <v>2016</v>
      </c>
      <c r="C2016">
        <f>MOD(B2016,8)</f>
        <v>0</v>
      </c>
    </row>
    <row r="2017" spans="1:3" ht="16.5" x14ac:dyDescent="0.2">
      <c r="A2017" s="4" t="s">
        <v>100</v>
      </c>
      <c r="B2017">
        <v>2017</v>
      </c>
      <c r="C2017">
        <f>MOD(B2017,8)</f>
        <v>1</v>
      </c>
    </row>
    <row r="2018" spans="1:3" ht="16.5" x14ac:dyDescent="0.2">
      <c r="A2018" s="4" t="s">
        <v>100</v>
      </c>
      <c r="B2018" s="15">
        <v>2018</v>
      </c>
      <c r="C2018">
        <f>MOD(B2018,8)</f>
        <v>2</v>
      </c>
    </row>
    <row r="2019" spans="1:3" ht="16.5" x14ac:dyDescent="0.2">
      <c r="A2019" s="4" t="s">
        <v>100</v>
      </c>
      <c r="B2019">
        <v>2019</v>
      </c>
      <c r="C2019">
        <f>MOD(B2019,8)</f>
        <v>3</v>
      </c>
    </row>
    <row r="2020" spans="1:3" ht="16.5" x14ac:dyDescent="0.2">
      <c r="A2020" s="4" t="s">
        <v>100</v>
      </c>
      <c r="B2020" s="15">
        <v>2020</v>
      </c>
      <c r="C2020">
        <f>MOD(B2020,8)</f>
        <v>4</v>
      </c>
    </row>
    <row r="2021" spans="1:3" ht="16.5" x14ac:dyDescent="0.2">
      <c r="A2021" s="4" t="s">
        <v>100</v>
      </c>
      <c r="B2021">
        <v>2021</v>
      </c>
      <c r="C2021">
        <f>MOD(B2021,8)</f>
        <v>5</v>
      </c>
    </row>
    <row r="2022" spans="1:3" ht="16.5" x14ac:dyDescent="0.2">
      <c r="A2022" s="4" t="s">
        <v>100</v>
      </c>
      <c r="B2022">
        <v>2022</v>
      </c>
      <c r="C2022">
        <f>MOD(B2022,8)</f>
        <v>6</v>
      </c>
    </row>
    <row r="2023" spans="1:3" ht="16.5" x14ac:dyDescent="0.2">
      <c r="A2023" s="4" t="s">
        <v>100</v>
      </c>
      <c r="B2023" s="15">
        <v>2023</v>
      </c>
      <c r="C2023">
        <f>MOD(B2023,8)</f>
        <v>7</v>
      </c>
    </row>
    <row r="2024" spans="1:3" ht="16.5" x14ac:dyDescent="0.2">
      <c r="A2024" s="4" t="s">
        <v>100</v>
      </c>
      <c r="B2024">
        <v>2024</v>
      </c>
      <c r="C2024">
        <f>MOD(B2024,8)</f>
        <v>0</v>
      </c>
    </row>
    <row r="2025" spans="1:3" ht="16.5" x14ac:dyDescent="0.2">
      <c r="A2025" s="4" t="s">
        <v>99</v>
      </c>
      <c r="B2025" s="15">
        <v>2025</v>
      </c>
      <c r="C2025">
        <f>MOD(B2025,8)</f>
        <v>1</v>
      </c>
    </row>
    <row r="2026" spans="1:3" ht="16.5" x14ac:dyDescent="0.2">
      <c r="A2026" s="4" t="s">
        <v>99</v>
      </c>
      <c r="B2026">
        <v>2026</v>
      </c>
      <c r="C2026">
        <f>MOD(B2026,8)</f>
        <v>2</v>
      </c>
    </row>
    <row r="2027" spans="1:3" ht="16.5" x14ac:dyDescent="0.2">
      <c r="A2027" s="4" t="s">
        <v>99</v>
      </c>
      <c r="B2027">
        <v>2027</v>
      </c>
      <c r="C2027">
        <f>MOD(B2027,8)</f>
        <v>3</v>
      </c>
    </row>
    <row r="2028" spans="1:3" ht="16.5" x14ac:dyDescent="0.2">
      <c r="A2028" s="4" t="s">
        <v>99</v>
      </c>
      <c r="B2028" s="15">
        <v>2028</v>
      </c>
      <c r="C2028">
        <f>MOD(B2028,8)</f>
        <v>4</v>
      </c>
    </row>
    <row r="2029" spans="1:3" ht="16.5" x14ac:dyDescent="0.2">
      <c r="A2029" s="4" t="s">
        <v>99</v>
      </c>
      <c r="B2029">
        <v>2029</v>
      </c>
      <c r="C2029">
        <f>MOD(B2029,8)</f>
        <v>5</v>
      </c>
    </row>
    <row r="2030" spans="1:3" ht="16.5" x14ac:dyDescent="0.2">
      <c r="A2030" s="4" t="s">
        <v>99</v>
      </c>
      <c r="B2030" s="15">
        <v>2030</v>
      </c>
      <c r="C2030">
        <f>MOD(B2030,8)</f>
        <v>6</v>
      </c>
    </row>
    <row r="2031" spans="1:3" ht="16.5" x14ac:dyDescent="0.2">
      <c r="A2031" s="4" t="s">
        <v>99</v>
      </c>
      <c r="B2031">
        <v>2031</v>
      </c>
      <c r="C2031">
        <f>MOD(B2031,8)</f>
        <v>7</v>
      </c>
    </row>
    <row r="2032" spans="1:3" ht="16.5" x14ac:dyDescent="0.2">
      <c r="A2032" s="4" t="s">
        <v>99</v>
      </c>
      <c r="B2032">
        <v>2032</v>
      </c>
      <c r="C2032">
        <f>MOD(B2032,8)</f>
        <v>0</v>
      </c>
    </row>
    <row r="2033" spans="1:3" ht="16.5" x14ac:dyDescent="0.2">
      <c r="A2033" s="4" t="s">
        <v>98</v>
      </c>
      <c r="B2033" s="15">
        <v>2033</v>
      </c>
      <c r="C2033">
        <f>MOD(B2033,8)</f>
        <v>1</v>
      </c>
    </row>
    <row r="2034" spans="1:3" ht="16.5" x14ac:dyDescent="0.2">
      <c r="A2034" s="4" t="s">
        <v>98</v>
      </c>
      <c r="B2034">
        <v>2034</v>
      </c>
      <c r="C2034">
        <f>MOD(B2034,8)</f>
        <v>2</v>
      </c>
    </row>
    <row r="2035" spans="1:3" ht="16.5" x14ac:dyDescent="0.2">
      <c r="A2035" s="4" t="s">
        <v>98</v>
      </c>
      <c r="B2035" s="15">
        <v>2035</v>
      </c>
      <c r="C2035">
        <f>MOD(B2035,8)</f>
        <v>3</v>
      </c>
    </row>
    <row r="2036" spans="1:3" ht="16.5" x14ac:dyDescent="0.2">
      <c r="A2036" s="4" t="s">
        <v>98</v>
      </c>
      <c r="B2036">
        <v>2036</v>
      </c>
      <c r="C2036">
        <f>MOD(B2036,8)</f>
        <v>4</v>
      </c>
    </row>
    <row r="2037" spans="1:3" ht="16.5" x14ac:dyDescent="0.2">
      <c r="A2037" s="4" t="s">
        <v>98</v>
      </c>
      <c r="B2037">
        <v>2037</v>
      </c>
      <c r="C2037">
        <f>MOD(B2037,8)</f>
        <v>5</v>
      </c>
    </row>
    <row r="2038" spans="1:3" ht="16.5" x14ac:dyDescent="0.2">
      <c r="A2038" s="4" t="s">
        <v>98</v>
      </c>
      <c r="B2038" s="15">
        <v>2038</v>
      </c>
      <c r="C2038">
        <f>MOD(B2038,8)</f>
        <v>6</v>
      </c>
    </row>
    <row r="2039" spans="1:3" ht="16.5" x14ac:dyDescent="0.2">
      <c r="A2039" s="4" t="s">
        <v>98</v>
      </c>
      <c r="B2039">
        <v>2039</v>
      </c>
      <c r="C2039">
        <f>MOD(B2039,8)</f>
        <v>7</v>
      </c>
    </row>
    <row r="2040" spans="1:3" ht="16.5" x14ac:dyDescent="0.2">
      <c r="A2040" s="4" t="s">
        <v>98</v>
      </c>
      <c r="B2040" s="15">
        <v>2040</v>
      </c>
      <c r="C2040">
        <f>MOD(B2040,8)</f>
        <v>0</v>
      </c>
    </row>
    <row r="2041" spans="1:3" ht="16.5" x14ac:dyDescent="0.2">
      <c r="A2041" s="4" t="s">
        <v>97</v>
      </c>
      <c r="B2041">
        <v>2041</v>
      </c>
      <c r="C2041">
        <f>MOD(B2041,8)</f>
        <v>1</v>
      </c>
    </row>
    <row r="2042" spans="1:3" ht="16.5" x14ac:dyDescent="0.2">
      <c r="A2042" s="4" t="s">
        <v>97</v>
      </c>
      <c r="B2042">
        <v>2042</v>
      </c>
      <c r="C2042">
        <f>MOD(B2042,8)</f>
        <v>2</v>
      </c>
    </row>
    <row r="2043" spans="1:3" ht="16.5" x14ac:dyDescent="0.2">
      <c r="A2043" s="4" t="s">
        <v>97</v>
      </c>
      <c r="B2043" s="15">
        <v>2043</v>
      </c>
      <c r="C2043">
        <f>MOD(B2043,8)</f>
        <v>3</v>
      </c>
    </row>
    <row r="2044" spans="1:3" ht="16.5" x14ac:dyDescent="0.2">
      <c r="A2044" s="4" t="s">
        <v>97</v>
      </c>
      <c r="B2044">
        <v>2044</v>
      </c>
      <c r="C2044">
        <f>MOD(B2044,8)</f>
        <v>4</v>
      </c>
    </row>
    <row r="2045" spans="1:3" ht="16.5" x14ac:dyDescent="0.2">
      <c r="A2045" s="4" t="s">
        <v>97</v>
      </c>
      <c r="B2045" s="15">
        <v>2045</v>
      </c>
      <c r="C2045">
        <f>MOD(B2045,8)</f>
        <v>5</v>
      </c>
    </row>
    <row r="2046" spans="1:3" ht="16.5" x14ac:dyDescent="0.2">
      <c r="A2046" s="4" t="s">
        <v>97</v>
      </c>
      <c r="B2046">
        <v>2046</v>
      </c>
      <c r="C2046">
        <f>MOD(B2046,8)</f>
        <v>6</v>
      </c>
    </row>
    <row r="2047" spans="1:3" ht="16.5" x14ac:dyDescent="0.2">
      <c r="A2047" s="4" t="s">
        <v>97</v>
      </c>
      <c r="B2047">
        <v>2047</v>
      </c>
      <c r="C2047">
        <f>MOD(B2047,8)</f>
        <v>7</v>
      </c>
    </row>
    <row r="2048" spans="1:3" ht="16.5" x14ac:dyDescent="0.2">
      <c r="A2048" s="4" t="s">
        <v>97</v>
      </c>
      <c r="B2048" s="15">
        <v>2048</v>
      </c>
      <c r="C2048">
        <f>MOD(B2048,8)</f>
        <v>0</v>
      </c>
    </row>
    <row r="2049" spans="1:3" ht="16.5" x14ac:dyDescent="0.2">
      <c r="A2049" s="4" t="s">
        <v>96</v>
      </c>
      <c r="B2049">
        <v>2049</v>
      </c>
      <c r="C2049">
        <f>MOD(B2049,8)</f>
        <v>1</v>
      </c>
    </row>
    <row r="2050" spans="1:3" ht="16.5" x14ac:dyDescent="0.2">
      <c r="A2050" s="4" t="s">
        <v>96</v>
      </c>
      <c r="B2050" s="15">
        <v>2050</v>
      </c>
      <c r="C2050">
        <f>MOD(B2050,8)</f>
        <v>2</v>
      </c>
    </row>
    <row r="2051" spans="1:3" ht="16.5" x14ac:dyDescent="0.2">
      <c r="A2051" s="4" t="s">
        <v>96</v>
      </c>
      <c r="B2051">
        <v>2051</v>
      </c>
      <c r="C2051">
        <f>MOD(B2051,8)</f>
        <v>3</v>
      </c>
    </row>
    <row r="2052" spans="1:3" ht="16.5" x14ac:dyDescent="0.2">
      <c r="A2052" s="4" t="s">
        <v>96</v>
      </c>
      <c r="B2052">
        <v>2052</v>
      </c>
      <c r="C2052">
        <f>MOD(B2052,8)</f>
        <v>4</v>
      </c>
    </row>
    <row r="2053" spans="1:3" ht="16.5" x14ac:dyDescent="0.2">
      <c r="A2053" s="4" t="s">
        <v>96</v>
      </c>
      <c r="B2053" s="15">
        <v>2053</v>
      </c>
      <c r="C2053">
        <f>MOD(B2053,8)</f>
        <v>5</v>
      </c>
    </row>
    <row r="2054" spans="1:3" ht="16.5" x14ac:dyDescent="0.2">
      <c r="A2054" s="4" t="s">
        <v>96</v>
      </c>
      <c r="B2054">
        <v>2054</v>
      </c>
      <c r="C2054">
        <f>MOD(B2054,8)</f>
        <v>6</v>
      </c>
    </row>
    <row r="2055" spans="1:3" ht="16.5" x14ac:dyDescent="0.2">
      <c r="A2055" s="4" t="s">
        <v>96</v>
      </c>
      <c r="B2055" s="15">
        <v>2055</v>
      </c>
      <c r="C2055">
        <f>MOD(B2055,8)</f>
        <v>7</v>
      </c>
    </row>
    <row r="2056" spans="1:3" ht="16.5" x14ac:dyDescent="0.2">
      <c r="A2056" s="4" t="s">
        <v>96</v>
      </c>
      <c r="B2056">
        <v>2056</v>
      </c>
      <c r="C2056">
        <f>MOD(B2056,8)</f>
        <v>0</v>
      </c>
    </row>
    <row r="2057" spans="1:3" ht="16.5" x14ac:dyDescent="0.2">
      <c r="A2057" s="4" t="s">
        <v>95</v>
      </c>
      <c r="B2057">
        <v>2057</v>
      </c>
      <c r="C2057">
        <f>MOD(B2057,8)</f>
        <v>1</v>
      </c>
    </row>
    <row r="2058" spans="1:3" ht="16.5" x14ac:dyDescent="0.2">
      <c r="A2058" s="4" t="s">
        <v>95</v>
      </c>
      <c r="B2058" s="15">
        <v>2058</v>
      </c>
      <c r="C2058">
        <f>MOD(B2058,8)</f>
        <v>2</v>
      </c>
    </row>
    <row r="2059" spans="1:3" ht="16.5" x14ac:dyDescent="0.2">
      <c r="A2059" s="4" t="s">
        <v>95</v>
      </c>
      <c r="B2059">
        <v>2059</v>
      </c>
      <c r="C2059">
        <f>MOD(B2059,8)</f>
        <v>3</v>
      </c>
    </row>
    <row r="2060" spans="1:3" ht="16.5" x14ac:dyDescent="0.2">
      <c r="A2060" s="4" t="s">
        <v>95</v>
      </c>
      <c r="B2060" s="15">
        <v>2060</v>
      </c>
      <c r="C2060">
        <f>MOD(B2060,8)</f>
        <v>4</v>
      </c>
    </row>
    <row r="2061" spans="1:3" ht="16.5" x14ac:dyDescent="0.2">
      <c r="A2061" s="4" t="s">
        <v>95</v>
      </c>
      <c r="B2061">
        <v>2061</v>
      </c>
      <c r="C2061">
        <f>MOD(B2061,8)</f>
        <v>5</v>
      </c>
    </row>
    <row r="2062" spans="1:3" ht="16.5" x14ac:dyDescent="0.2">
      <c r="A2062" s="4" t="s">
        <v>95</v>
      </c>
      <c r="B2062">
        <v>2062</v>
      </c>
      <c r="C2062">
        <f>MOD(B2062,8)</f>
        <v>6</v>
      </c>
    </row>
    <row r="2063" spans="1:3" ht="16.5" x14ac:dyDescent="0.2">
      <c r="A2063" s="4" t="s">
        <v>95</v>
      </c>
      <c r="B2063" s="15">
        <v>2063</v>
      </c>
      <c r="C2063">
        <f>MOD(B2063,8)</f>
        <v>7</v>
      </c>
    </row>
    <row r="2064" spans="1:3" ht="16.5" x14ac:dyDescent="0.2">
      <c r="A2064" s="4" t="s">
        <v>95</v>
      </c>
      <c r="B2064">
        <v>2064</v>
      </c>
      <c r="C2064">
        <f>MOD(B2064,8)</f>
        <v>0</v>
      </c>
    </row>
    <row r="2065" spans="1:3" ht="16.5" x14ac:dyDescent="0.2">
      <c r="A2065" s="4" t="s">
        <v>94</v>
      </c>
      <c r="B2065" s="15">
        <v>2065</v>
      </c>
      <c r="C2065">
        <f>MOD(B2065,8)</f>
        <v>1</v>
      </c>
    </row>
    <row r="2066" spans="1:3" ht="16.5" x14ac:dyDescent="0.2">
      <c r="A2066" s="4" t="s">
        <v>94</v>
      </c>
      <c r="B2066">
        <v>2066</v>
      </c>
      <c r="C2066">
        <f>MOD(B2066,8)</f>
        <v>2</v>
      </c>
    </row>
    <row r="2067" spans="1:3" ht="16.5" x14ac:dyDescent="0.2">
      <c r="A2067" s="4" t="s">
        <v>94</v>
      </c>
      <c r="B2067">
        <v>2067</v>
      </c>
      <c r="C2067">
        <f>MOD(B2067,8)</f>
        <v>3</v>
      </c>
    </row>
    <row r="2068" spans="1:3" ht="16.5" x14ac:dyDescent="0.2">
      <c r="A2068" s="4" t="s">
        <v>94</v>
      </c>
      <c r="B2068" s="15">
        <v>2068</v>
      </c>
      <c r="C2068">
        <f>MOD(B2068,8)</f>
        <v>4</v>
      </c>
    </row>
    <row r="2069" spans="1:3" ht="16.5" x14ac:dyDescent="0.2">
      <c r="A2069" s="4" t="s">
        <v>94</v>
      </c>
      <c r="B2069">
        <v>2069</v>
      </c>
      <c r="C2069">
        <f>MOD(B2069,8)</f>
        <v>5</v>
      </c>
    </row>
    <row r="2070" spans="1:3" ht="16.5" x14ac:dyDescent="0.2">
      <c r="A2070" s="4" t="s">
        <v>94</v>
      </c>
      <c r="B2070" s="15">
        <v>2070</v>
      </c>
      <c r="C2070">
        <f>MOD(B2070,8)</f>
        <v>6</v>
      </c>
    </row>
    <row r="2071" spans="1:3" ht="16.5" x14ac:dyDescent="0.2">
      <c r="A2071" s="4" t="s">
        <v>94</v>
      </c>
      <c r="B2071">
        <v>2071</v>
      </c>
      <c r="C2071">
        <f>MOD(B2071,8)</f>
        <v>7</v>
      </c>
    </row>
    <row r="2072" spans="1:3" ht="16.5" x14ac:dyDescent="0.2">
      <c r="A2072" s="4" t="s">
        <v>94</v>
      </c>
      <c r="B2072">
        <v>2072</v>
      </c>
      <c r="C2072">
        <f>MOD(B2072,8)</f>
        <v>0</v>
      </c>
    </row>
    <row r="2073" spans="1:3" ht="16.5" x14ac:dyDescent="0.2">
      <c r="A2073" s="4" t="s">
        <v>93</v>
      </c>
      <c r="B2073" s="15">
        <v>2073</v>
      </c>
      <c r="C2073">
        <f>MOD(B2073,8)</f>
        <v>1</v>
      </c>
    </row>
    <row r="2074" spans="1:3" ht="16.5" x14ac:dyDescent="0.2">
      <c r="A2074" s="4" t="s">
        <v>93</v>
      </c>
      <c r="B2074">
        <v>2074</v>
      </c>
      <c r="C2074">
        <f>MOD(B2074,8)</f>
        <v>2</v>
      </c>
    </row>
    <row r="2075" spans="1:3" ht="16.5" x14ac:dyDescent="0.2">
      <c r="A2075" s="4" t="s">
        <v>93</v>
      </c>
      <c r="B2075" s="15">
        <v>2075</v>
      </c>
      <c r="C2075">
        <f>MOD(B2075,8)</f>
        <v>3</v>
      </c>
    </row>
    <row r="2076" spans="1:3" ht="16.5" x14ac:dyDescent="0.2">
      <c r="A2076" s="4" t="s">
        <v>93</v>
      </c>
      <c r="B2076">
        <v>2076</v>
      </c>
      <c r="C2076">
        <f>MOD(B2076,8)</f>
        <v>4</v>
      </c>
    </row>
    <row r="2077" spans="1:3" ht="16.5" x14ac:dyDescent="0.2">
      <c r="A2077" s="4" t="s">
        <v>93</v>
      </c>
      <c r="B2077">
        <v>2077</v>
      </c>
      <c r="C2077">
        <f>MOD(B2077,8)</f>
        <v>5</v>
      </c>
    </row>
    <row r="2078" spans="1:3" ht="16.5" x14ac:dyDescent="0.2">
      <c r="A2078" s="4" t="s">
        <v>93</v>
      </c>
      <c r="B2078" s="15">
        <v>2078</v>
      </c>
      <c r="C2078">
        <f>MOD(B2078,8)</f>
        <v>6</v>
      </c>
    </row>
    <row r="2079" spans="1:3" ht="16.5" x14ac:dyDescent="0.2">
      <c r="A2079" s="4" t="s">
        <v>93</v>
      </c>
      <c r="B2079">
        <v>2079</v>
      </c>
      <c r="C2079">
        <f>MOD(B2079,8)</f>
        <v>7</v>
      </c>
    </row>
    <row r="2080" spans="1:3" ht="16.5" x14ac:dyDescent="0.2">
      <c r="A2080" s="4" t="s">
        <v>93</v>
      </c>
      <c r="B2080" s="15">
        <v>2080</v>
      </c>
      <c r="C2080">
        <f>MOD(B2080,8)</f>
        <v>0</v>
      </c>
    </row>
    <row r="2081" spans="1:3" ht="16.5" x14ac:dyDescent="0.2">
      <c r="A2081" s="4" t="s">
        <v>92</v>
      </c>
      <c r="B2081">
        <v>2081</v>
      </c>
      <c r="C2081">
        <f>MOD(B2081,8)</f>
        <v>1</v>
      </c>
    </row>
    <row r="2082" spans="1:3" ht="16.5" x14ac:dyDescent="0.2">
      <c r="A2082" s="4" t="s">
        <v>92</v>
      </c>
      <c r="B2082">
        <v>2082</v>
      </c>
      <c r="C2082">
        <f>MOD(B2082,8)</f>
        <v>2</v>
      </c>
    </row>
    <row r="2083" spans="1:3" ht="16.5" x14ac:dyDescent="0.2">
      <c r="A2083" s="4" t="s">
        <v>92</v>
      </c>
      <c r="B2083" s="15">
        <v>2083</v>
      </c>
      <c r="C2083">
        <f>MOD(B2083,8)</f>
        <v>3</v>
      </c>
    </row>
    <row r="2084" spans="1:3" ht="16.5" x14ac:dyDescent="0.2">
      <c r="A2084" s="4" t="s">
        <v>92</v>
      </c>
      <c r="B2084">
        <v>2084</v>
      </c>
      <c r="C2084">
        <f>MOD(B2084,8)</f>
        <v>4</v>
      </c>
    </row>
    <row r="2085" spans="1:3" ht="16.5" x14ac:dyDescent="0.2">
      <c r="A2085" s="4" t="s">
        <v>92</v>
      </c>
      <c r="B2085" s="15">
        <v>2085</v>
      </c>
      <c r="C2085">
        <f>MOD(B2085,8)</f>
        <v>5</v>
      </c>
    </row>
    <row r="2086" spans="1:3" ht="16.5" x14ac:dyDescent="0.2">
      <c r="A2086" s="4" t="s">
        <v>92</v>
      </c>
      <c r="B2086">
        <v>2086</v>
      </c>
      <c r="C2086">
        <f>MOD(B2086,8)</f>
        <v>6</v>
      </c>
    </row>
    <row r="2087" spans="1:3" ht="16.5" x14ac:dyDescent="0.2">
      <c r="A2087" s="4" t="s">
        <v>92</v>
      </c>
      <c r="B2087">
        <v>2087</v>
      </c>
      <c r="C2087">
        <f>MOD(B2087,8)</f>
        <v>7</v>
      </c>
    </row>
    <row r="2088" spans="1:3" ht="16.5" x14ac:dyDescent="0.2">
      <c r="A2088" s="4" t="s">
        <v>92</v>
      </c>
      <c r="B2088" s="15">
        <v>2088</v>
      </c>
      <c r="C2088">
        <f>MOD(B2088,8)</f>
        <v>0</v>
      </c>
    </row>
    <row r="2089" spans="1:3" ht="16.5" x14ac:dyDescent="0.2">
      <c r="A2089" s="4" t="s">
        <v>91</v>
      </c>
      <c r="B2089">
        <v>2089</v>
      </c>
      <c r="C2089">
        <f>MOD(B2089,8)</f>
        <v>1</v>
      </c>
    </row>
    <row r="2090" spans="1:3" ht="16.5" x14ac:dyDescent="0.2">
      <c r="A2090" s="4" t="s">
        <v>91</v>
      </c>
      <c r="B2090" s="15">
        <v>2090</v>
      </c>
      <c r="C2090">
        <f>MOD(B2090,8)</f>
        <v>2</v>
      </c>
    </row>
    <row r="2091" spans="1:3" ht="16.5" x14ac:dyDescent="0.2">
      <c r="A2091" s="4" t="s">
        <v>91</v>
      </c>
      <c r="B2091">
        <v>2091</v>
      </c>
      <c r="C2091">
        <f>MOD(B2091,8)</f>
        <v>3</v>
      </c>
    </row>
    <row r="2092" spans="1:3" ht="16.5" x14ac:dyDescent="0.2">
      <c r="A2092" s="4" t="s">
        <v>91</v>
      </c>
      <c r="B2092">
        <v>2092</v>
      </c>
      <c r="C2092">
        <f>MOD(B2092,8)</f>
        <v>4</v>
      </c>
    </row>
    <row r="2093" spans="1:3" ht="16.5" x14ac:dyDescent="0.2">
      <c r="A2093" s="4" t="s">
        <v>91</v>
      </c>
      <c r="B2093" s="15">
        <v>2093</v>
      </c>
      <c r="C2093">
        <f>MOD(B2093,8)</f>
        <v>5</v>
      </c>
    </row>
    <row r="2094" spans="1:3" ht="16.5" x14ac:dyDescent="0.2">
      <c r="A2094" s="4" t="s">
        <v>91</v>
      </c>
      <c r="B2094">
        <v>2094</v>
      </c>
      <c r="C2094">
        <f>MOD(B2094,8)</f>
        <v>6</v>
      </c>
    </row>
    <row r="2095" spans="1:3" ht="16.5" x14ac:dyDescent="0.2">
      <c r="A2095" s="4" t="s">
        <v>91</v>
      </c>
      <c r="B2095" s="15">
        <v>2095</v>
      </c>
      <c r="C2095">
        <f>MOD(B2095,8)</f>
        <v>7</v>
      </c>
    </row>
    <row r="2096" spans="1:3" ht="16.5" x14ac:dyDescent="0.2">
      <c r="A2096" s="4" t="s">
        <v>91</v>
      </c>
      <c r="B2096">
        <v>2096</v>
      </c>
      <c r="C2096">
        <f>MOD(B2096,8)</f>
        <v>0</v>
      </c>
    </row>
    <row r="2097" spans="1:3" ht="16.5" x14ac:dyDescent="0.2">
      <c r="A2097" s="4" t="s">
        <v>90</v>
      </c>
      <c r="B2097">
        <v>2097</v>
      </c>
      <c r="C2097">
        <f>MOD(B2097,8)</f>
        <v>1</v>
      </c>
    </row>
    <row r="2098" spans="1:3" ht="16.5" x14ac:dyDescent="0.2">
      <c r="A2098" s="4" t="s">
        <v>90</v>
      </c>
      <c r="B2098" s="15">
        <v>2098</v>
      </c>
      <c r="C2098">
        <f>MOD(B2098,8)</f>
        <v>2</v>
      </c>
    </row>
    <row r="2099" spans="1:3" ht="16.5" x14ac:dyDescent="0.2">
      <c r="A2099" s="4" t="s">
        <v>90</v>
      </c>
      <c r="B2099">
        <v>2099</v>
      </c>
      <c r="C2099">
        <f>MOD(B2099,8)</f>
        <v>3</v>
      </c>
    </row>
    <row r="2100" spans="1:3" ht="16.5" x14ac:dyDescent="0.2">
      <c r="A2100" s="4" t="s">
        <v>90</v>
      </c>
      <c r="B2100" s="15">
        <v>2100</v>
      </c>
      <c r="C2100">
        <f>MOD(B2100,8)</f>
        <v>4</v>
      </c>
    </row>
    <row r="2101" spans="1:3" ht="16.5" x14ac:dyDescent="0.2">
      <c r="A2101" s="4" t="s">
        <v>90</v>
      </c>
      <c r="B2101">
        <v>2101</v>
      </c>
      <c r="C2101">
        <f>MOD(B2101,8)</f>
        <v>5</v>
      </c>
    </row>
    <row r="2102" spans="1:3" ht="16.5" x14ac:dyDescent="0.2">
      <c r="A2102" s="4" t="s">
        <v>90</v>
      </c>
      <c r="B2102">
        <v>2102</v>
      </c>
      <c r="C2102">
        <f>MOD(B2102,8)</f>
        <v>6</v>
      </c>
    </row>
    <row r="2103" spans="1:3" ht="16.5" x14ac:dyDescent="0.2">
      <c r="A2103" s="4" t="s">
        <v>90</v>
      </c>
      <c r="B2103" s="15">
        <v>2103</v>
      </c>
      <c r="C2103">
        <f>MOD(B2103,8)</f>
        <v>7</v>
      </c>
    </row>
    <row r="2104" spans="1:3" ht="16.5" x14ac:dyDescent="0.2">
      <c r="A2104" s="4" t="s">
        <v>90</v>
      </c>
      <c r="B2104">
        <v>2104</v>
      </c>
      <c r="C2104">
        <f>MOD(B2104,8)</f>
        <v>0</v>
      </c>
    </row>
    <row r="2105" spans="1:3" ht="16.5" x14ac:dyDescent="0.2">
      <c r="A2105" s="4" t="s">
        <v>89</v>
      </c>
      <c r="B2105" s="15">
        <v>2105</v>
      </c>
      <c r="C2105">
        <f>MOD(B2105,8)</f>
        <v>1</v>
      </c>
    </row>
    <row r="2106" spans="1:3" ht="16.5" x14ac:dyDescent="0.2">
      <c r="A2106" s="4" t="s">
        <v>89</v>
      </c>
      <c r="B2106">
        <v>2106</v>
      </c>
      <c r="C2106">
        <f>MOD(B2106,8)</f>
        <v>2</v>
      </c>
    </row>
    <row r="2107" spans="1:3" ht="16.5" x14ac:dyDescent="0.2">
      <c r="A2107" s="4" t="s">
        <v>89</v>
      </c>
      <c r="B2107">
        <v>2107</v>
      </c>
      <c r="C2107">
        <f>MOD(B2107,8)</f>
        <v>3</v>
      </c>
    </row>
    <row r="2108" spans="1:3" ht="16.5" x14ac:dyDescent="0.2">
      <c r="A2108" s="4" t="s">
        <v>89</v>
      </c>
      <c r="B2108" s="15">
        <v>2108</v>
      </c>
      <c r="C2108">
        <f>MOD(B2108,8)</f>
        <v>4</v>
      </c>
    </row>
    <row r="2109" spans="1:3" ht="16.5" x14ac:dyDescent="0.2">
      <c r="A2109" s="4" t="s">
        <v>89</v>
      </c>
      <c r="B2109">
        <v>2109</v>
      </c>
      <c r="C2109">
        <f>MOD(B2109,8)</f>
        <v>5</v>
      </c>
    </row>
    <row r="2110" spans="1:3" ht="16.5" x14ac:dyDescent="0.2">
      <c r="A2110" s="4" t="s">
        <v>89</v>
      </c>
      <c r="B2110" s="15">
        <v>2110</v>
      </c>
      <c r="C2110">
        <f>MOD(B2110,8)</f>
        <v>6</v>
      </c>
    </row>
    <row r="2111" spans="1:3" ht="16.5" x14ac:dyDescent="0.2">
      <c r="A2111" s="4" t="s">
        <v>89</v>
      </c>
      <c r="B2111">
        <v>2111</v>
      </c>
      <c r="C2111">
        <f>MOD(B2111,8)</f>
        <v>7</v>
      </c>
    </row>
    <row r="2112" spans="1:3" ht="16.5" x14ac:dyDescent="0.2">
      <c r="A2112" s="4" t="s">
        <v>89</v>
      </c>
      <c r="B2112">
        <v>2112</v>
      </c>
      <c r="C2112">
        <f>MOD(B2112,8)</f>
        <v>0</v>
      </c>
    </row>
    <row r="2113" spans="1:3" ht="16.5" x14ac:dyDescent="0.2">
      <c r="A2113" s="4" t="s">
        <v>88</v>
      </c>
      <c r="B2113" s="15">
        <v>2113</v>
      </c>
      <c r="C2113">
        <f>MOD(B2113,8)</f>
        <v>1</v>
      </c>
    </row>
    <row r="2114" spans="1:3" ht="16.5" x14ac:dyDescent="0.2">
      <c r="A2114" s="4" t="s">
        <v>88</v>
      </c>
      <c r="B2114">
        <v>2114</v>
      </c>
      <c r="C2114">
        <f>MOD(B2114,8)</f>
        <v>2</v>
      </c>
    </row>
    <row r="2115" spans="1:3" ht="16.5" x14ac:dyDescent="0.2">
      <c r="A2115" s="4" t="s">
        <v>88</v>
      </c>
      <c r="B2115" s="15">
        <v>2115</v>
      </c>
      <c r="C2115">
        <f>MOD(B2115,8)</f>
        <v>3</v>
      </c>
    </row>
    <row r="2116" spans="1:3" ht="16.5" x14ac:dyDescent="0.2">
      <c r="A2116" s="4" t="s">
        <v>88</v>
      </c>
      <c r="B2116">
        <v>2116</v>
      </c>
      <c r="C2116">
        <f>MOD(B2116,8)</f>
        <v>4</v>
      </c>
    </row>
    <row r="2117" spans="1:3" ht="16.5" x14ac:dyDescent="0.2">
      <c r="A2117" s="4" t="s">
        <v>88</v>
      </c>
      <c r="B2117">
        <v>2117</v>
      </c>
      <c r="C2117">
        <f>MOD(B2117,8)</f>
        <v>5</v>
      </c>
    </row>
    <row r="2118" spans="1:3" ht="16.5" x14ac:dyDescent="0.2">
      <c r="A2118" s="4" t="s">
        <v>88</v>
      </c>
      <c r="B2118" s="15">
        <v>2118</v>
      </c>
      <c r="C2118">
        <f>MOD(B2118,8)</f>
        <v>6</v>
      </c>
    </row>
    <row r="2119" spans="1:3" ht="16.5" x14ac:dyDescent="0.2">
      <c r="A2119" s="4" t="s">
        <v>88</v>
      </c>
      <c r="B2119">
        <v>2119</v>
      </c>
      <c r="C2119">
        <f>MOD(B2119,8)</f>
        <v>7</v>
      </c>
    </row>
    <row r="2120" spans="1:3" ht="16.5" x14ac:dyDescent="0.2">
      <c r="A2120" s="4" t="s">
        <v>88</v>
      </c>
      <c r="B2120" s="15">
        <v>2120</v>
      </c>
      <c r="C2120">
        <f>MOD(B2120,8)</f>
        <v>0</v>
      </c>
    </row>
    <row r="2121" spans="1:3" ht="16.5" x14ac:dyDescent="0.2">
      <c r="A2121" s="4" t="s">
        <v>87</v>
      </c>
      <c r="B2121">
        <v>2121</v>
      </c>
      <c r="C2121">
        <f>MOD(B2121,8)</f>
        <v>1</v>
      </c>
    </row>
    <row r="2122" spans="1:3" ht="16.5" x14ac:dyDescent="0.2">
      <c r="A2122" s="4" t="s">
        <v>87</v>
      </c>
      <c r="B2122">
        <v>2122</v>
      </c>
      <c r="C2122">
        <f>MOD(B2122,8)</f>
        <v>2</v>
      </c>
    </row>
    <row r="2123" spans="1:3" ht="16.5" x14ac:dyDescent="0.2">
      <c r="A2123" s="4" t="s">
        <v>87</v>
      </c>
      <c r="B2123" s="15">
        <v>2123</v>
      </c>
      <c r="C2123">
        <f>MOD(B2123,8)</f>
        <v>3</v>
      </c>
    </row>
    <row r="2124" spans="1:3" ht="16.5" x14ac:dyDescent="0.2">
      <c r="A2124" s="4" t="s">
        <v>87</v>
      </c>
      <c r="B2124">
        <v>2124</v>
      </c>
      <c r="C2124">
        <f>MOD(B2124,8)</f>
        <v>4</v>
      </c>
    </row>
    <row r="2125" spans="1:3" ht="16.5" x14ac:dyDescent="0.2">
      <c r="A2125" s="4" t="s">
        <v>87</v>
      </c>
      <c r="B2125" s="15">
        <v>2125</v>
      </c>
      <c r="C2125">
        <f>MOD(B2125,8)</f>
        <v>5</v>
      </c>
    </row>
    <row r="2126" spans="1:3" ht="16.5" x14ac:dyDescent="0.2">
      <c r="A2126" s="4" t="s">
        <v>87</v>
      </c>
      <c r="B2126">
        <v>2126</v>
      </c>
      <c r="C2126">
        <f>MOD(B2126,8)</f>
        <v>6</v>
      </c>
    </row>
    <row r="2127" spans="1:3" ht="16.5" x14ac:dyDescent="0.2">
      <c r="A2127" s="4" t="s">
        <v>86</v>
      </c>
      <c r="B2127">
        <v>2127</v>
      </c>
      <c r="C2127">
        <f>MOD(B2127,8)</f>
        <v>7</v>
      </c>
    </row>
    <row r="2128" spans="1:3" ht="16.5" x14ac:dyDescent="0.2">
      <c r="A2128" s="4" t="s">
        <v>86</v>
      </c>
      <c r="B2128" s="15">
        <v>2128</v>
      </c>
      <c r="C2128">
        <f>MOD(B2128,8)</f>
        <v>0</v>
      </c>
    </row>
    <row r="2129" spans="1:3" ht="16.5" x14ac:dyDescent="0.2">
      <c r="A2129" s="4" t="s">
        <v>85</v>
      </c>
      <c r="B2129">
        <v>2129</v>
      </c>
      <c r="C2129">
        <f>MOD(B2129,8)</f>
        <v>1</v>
      </c>
    </row>
    <row r="2130" spans="1:3" ht="16.5" x14ac:dyDescent="0.2">
      <c r="A2130" s="4" t="s">
        <v>85</v>
      </c>
      <c r="B2130" s="15">
        <v>2130</v>
      </c>
      <c r="C2130">
        <f>MOD(B2130,8)</f>
        <v>2</v>
      </c>
    </row>
    <row r="2131" spans="1:3" ht="16.5" x14ac:dyDescent="0.2">
      <c r="A2131" s="4" t="s">
        <v>85</v>
      </c>
      <c r="B2131">
        <v>2131</v>
      </c>
      <c r="C2131">
        <f>MOD(B2131,8)</f>
        <v>3</v>
      </c>
    </row>
    <row r="2132" spans="1:3" ht="16.5" x14ac:dyDescent="0.2">
      <c r="A2132" s="4" t="s">
        <v>85</v>
      </c>
      <c r="B2132">
        <v>2132</v>
      </c>
      <c r="C2132">
        <f>MOD(B2132,8)</f>
        <v>4</v>
      </c>
    </row>
    <row r="2133" spans="1:3" ht="16.5" x14ac:dyDescent="0.2">
      <c r="A2133" s="4" t="s">
        <v>85</v>
      </c>
      <c r="B2133" s="15">
        <v>2133</v>
      </c>
      <c r="C2133">
        <f>MOD(B2133,8)</f>
        <v>5</v>
      </c>
    </row>
    <row r="2134" spans="1:3" ht="16.5" x14ac:dyDescent="0.2">
      <c r="A2134" s="4" t="s">
        <v>85</v>
      </c>
      <c r="B2134">
        <v>2134</v>
      </c>
      <c r="C2134">
        <f>MOD(B2134,8)</f>
        <v>6</v>
      </c>
    </row>
    <row r="2135" spans="1:3" ht="16.5" x14ac:dyDescent="0.2">
      <c r="A2135" s="4" t="s">
        <v>85</v>
      </c>
      <c r="B2135" s="15">
        <v>2135</v>
      </c>
      <c r="C2135">
        <f>MOD(B2135,8)</f>
        <v>7</v>
      </c>
    </row>
    <row r="2136" spans="1:3" ht="16.5" x14ac:dyDescent="0.2">
      <c r="A2136" s="4" t="s">
        <v>85</v>
      </c>
      <c r="B2136">
        <v>2136</v>
      </c>
      <c r="C2136">
        <f>MOD(B2136,8)</f>
        <v>0</v>
      </c>
    </row>
    <row r="2137" spans="1:3" ht="16.5" x14ac:dyDescent="0.2">
      <c r="A2137" s="4" t="s">
        <v>84</v>
      </c>
      <c r="B2137">
        <v>2137</v>
      </c>
      <c r="C2137">
        <f>MOD(B2137,8)</f>
        <v>1</v>
      </c>
    </row>
    <row r="2138" spans="1:3" ht="16.5" x14ac:dyDescent="0.2">
      <c r="A2138" s="4" t="s">
        <v>84</v>
      </c>
      <c r="B2138" s="15">
        <v>2138</v>
      </c>
      <c r="C2138">
        <f>MOD(B2138,8)</f>
        <v>2</v>
      </c>
    </row>
    <row r="2139" spans="1:3" ht="16.5" x14ac:dyDescent="0.2">
      <c r="A2139" s="4" t="s">
        <v>83</v>
      </c>
      <c r="B2139">
        <v>2139</v>
      </c>
      <c r="C2139">
        <f>MOD(B2139,8)</f>
        <v>3</v>
      </c>
    </row>
    <row r="2140" spans="1:3" ht="16.5" x14ac:dyDescent="0.2">
      <c r="A2140" s="4" t="s">
        <v>83</v>
      </c>
      <c r="B2140" s="15">
        <v>2140</v>
      </c>
      <c r="C2140">
        <f>MOD(B2140,8)</f>
        <v>4</v>
      </c>
    </row>
    <row r="2141" spans="1:3" ht="16.5" x14ac:dyDescent="0.2">
      <c r="A2141" s="4" t="s">
        <v>83</v>
      </c>
      <c r="B2141">
        <v>2141</v>
      </c>
      <c r="C2141">
        <f>MOD(B2141,8)</f>
        <v>5</v>
      </c>
    </row>
    <row r="2142" spans="1:3" ht="16.5" x14ac:dyDescent="0.2">
      <c r="A2142" s="4" t="s">
        <v>83</v>
      </c>
      <c r="B2142">
        <v>2142</v>
      </c>
      <c r="C2142">
        <f>MOD(B2142,8)</f>
        <v>6</v>
      </c>
    </row>
    <row r="2143" spans="1:3" ht="16.5" x14ac:dyDescent="0.2">
      <c r="A2143" s="4" t="s">
        <v>83</v>
      </c>
      <c r="B2143" s="15">
        <v>2143</v>
      </c>
      <c r="C2143">
        <f>MOD(B2143,8)</f>
        <v>7</v>
      </c>
    </row>
    <row r="2144" spans="1:3" ht="16.5" x14ac:dyDescent="0.2">
      <c r="A2144" s="4" t="s">
        <v>83</v>
      </c>
      <c r="B2144">
        <v>2144</v>
      </c>
      <c r="C2144">
        <f>MOD(B2144,8)</f>
        <v>0</v>
      </c>
    </row>
    <row r="2145" spans="1:3" ht="16.5" x14ac:dyDescent="0.2">
      <c r="A2145" s="4" t="s">
        <v>82</v>
      </c>
      <c r="B2145" s="15">
        <v>2145</v>
      </c>
      <c r="C2145">
        <f>MOD(B2145,8)</f>
        <v>1</v>
      </c>
    </row>
    <row r="2146" spans="1:3" ht="16.5" x14ac:dyDescent="0.2">
      <c r="A2146" s="4" t="s">
        <v>82</v>
      </c>
      <c r="B2146">
        <v>2146</v>
      </c>
      <c r="C2146">
        <f>MOD(B2146,8)</f>
        <v>2</v>
      </c>
    </row>
    <row r="2147" spans="1:3" ht="16.5" x14ac:dyDescent="0.2">
      <c r="A2147" s="4" t="s">
        <v>82</v>
      </c>
      <c r="B2147">
        <v>2147</v>
      </c>
      <c r="C2147">
        <f>MOD(B2147,8)</f>
        <v>3</v>
      </c>
    </row>
    <row r="2148" spans="1:3" ht="16.5" x14ac:dyDescent="0.2">
      <c r="A2148" s="4" t="s">
        <v>82</v>
      </c>
      <c r="B2148" s="15">
        <v>2148</v>
      </c>
      <c r="C2148">
        <f>MOD(B2148,8)</f>
        <v>4</v>
      </c>
    </row>
    <row r="2149" spans="1:3" ht="16.5" x14ac:dyDescent="0.2">
      <c r="A2149" s="4" t="s">
        <v>82</v>
      </c>
      <c r="B2149">
        <v>2149</v>
      </c>
      <c r="C2149">
        <f>MOD(B2149,8)</f>
        <v>5</v>
      </c>
    </row>
    <row r="2150" spans="1:3" ht="16.5" x14ac:dyDescent="0.2">
      <c r="A2150" s="4" t="s">
        <v>82</v>
      </c>
      <c r="B2150" s="15">
        <v>2150</v>
      </c>
      <c r="C2150">
        <f>MOD(B2150,8)</f>
        <v>6</v>
      </c>
    </row>
    <row r="2151" spans="1:3" ht="16.5" x14ac:dyDescent="0.2">
      <c r="A2151" s="4" t="s">
        <v>82</v>
      </c>
      <c r="B2151">
        <v>2151</v>
      </c>
      <c r="C2151">
        <f>MOD(B2151,8)</f>
        <v>7</v>
      </c>
    </row>
    <row r="2152" spans="1:3" ht="16.5" x14ac:dyDescent="0.2">
      <c r="A2152" s="4" t="s">
        <v>82</v>
      </c>
      <c r="B2152">
        <v>2152</v>
      </c>
      <c r="C2152">
        <f>MOD(B2152,8)</f>
        <v>0</v>
      </c>
    </row>
    <row r="2153" spans="1:3" ht="16.5" x14ac:dyDescent="0.2">
      <c r="A2153" s="4" t="s">
        <v>81</v>
      </c>
      <c r="B2153" s="15">
        <v>2153</v>
      </c>
      <c r="C2153">
        <f>MOD(B2153,8)</f>
        <v>1</v>
      </c>
    </row>
    <row r="2154" spans="1:3" ht="16.5" x14ac:dyDescent="0.2">
      <c r="A2154" s="4" t="s">
        <v>81</v>
      </c>
      <c r="B2154">
        <v>2154</v>
      </c>
      <c r="C2154">
        <f>MOD(B2154,8)</f>
        <v>2</v>
      </c>
    </row>
    <row r="2155" spans="1:3" ht="16.5" x14ac:dyDescent="0.2">
      <c r="A2155" s="4" t="s">
        <v>81</v>
      </c>
      <c r="B2155" s="15">
        <v>2155</v>
      </c>
      <c r="C2155">
        <f>MOD(B2155,8)</f>
        <v>3</v>
      </c>
    </row>
    <row r="2156" spans="1:3" ht="16.5" x14ac:dyDescent="0.2">
      <c r="A2156" s="4" t="s">
        <v>81</v>
      </c>
      <c r="B2156">
        <v>2156</v>
      </c>
      <c r="C2156">
        <f>MOD(B2156,8)</f>
        <v>4</v>
      </c>
    </row>
    <row r="2157" spans="1:3" ht="16.5" x14ac:dyDescent="0.2">
      <c r="A2157" s="4" t="s">
        <v>81</v>
      </c>
      <c r="B2157">
        <v>2157</v>
      </c>
      <c r="C2157">
        <f>MOD(B2157,8)</f>
        <v>5</v>
      </c>
    </row>
    <row r="2158" spans="1:3" ht="16.5" x14ac:dyDescent="0.2">
      <c r="A2158" s="4" t="s">
        <v>81</v>
      </c>
      <c r="B2158" s="15">
        <v>2158</v>
      </c>
      <c r="C2158">
        <f>MOD(B2158,8)</f>
        <v>6</v>
      </c>
    </row>
    <row r="2159" spans="1:3" ht="16.5" x14ac:dyDescent="0.2">
      <c r="A2159" s="4" t="s">
        <v>81</v>
      </c>
      <c r="B2159">
        <v>2159</v>
      </c>
      <c r="C2159">
        <f>MOD(B2159,8)</f>
        <v>7</v>
      </c>
    </row>
    <row r="2160" spans="1:3" ht="16.5" x14ac:dyDescent="0.2">
      <c r="A2160" s="4" t="s">
        <v>81</v>
      </c>
      <c r="B2160" s="15">
        <v>2160</v>
      </c>
      <c r="C2160">
        <f>MOD(B2160,8)</f>
        <v>0</v>
      </c>
    </row>
    <row r="2161" spans="1:3" ht="16.5" x14ac:dyDescent="0.2">
      <c r="A2161" s="4" t="s">
        <v>80</v>
      </c>
      <c r="B2161">
        <v>2161</v>
      </c>
      <c r="C2161">
        <f>MOD(B2161,8)</f>
        <v>1</v>
      </c>
    </row>
    <row r="2162" spans="1:3" ht="16.5" x14ac:dyDescent="0.2">
      <c r="A2162" s="4" t="s">
        <v>80</v>
      </c>
      <c r="B2162">
        <v>2162</v>
      </c>
      <c r="C2162">
        <f>MOD(B2162,8)</f>
        <v>2</v>
      </c>
    </row>
    <row r="2163" spans="1:3" ht="16.5" x14ac:dyDescent="0.2">
      <c r="A2163" s="4" t="s">
        <v>80</v>
      </c>
      <c r="B2163" s="15">
        <v>2163</v>
      </c>
      <c r="C2163">
        <f>MOD(B2163,8)</f>
        <v>3</v>
      </c>
    </row>
    <row r="2164" spans="1:3" ht="16.5" x14ac:dyDescent="0.2">
      <c r="A2164" s="4" t="s">
        <v>80</v>
      </c>
      <c r="B2164">
        <v>2164</v>
      </c>
      <c r="C2164">
        <f>MOD(B2164,8)</f>
        <v>4</v>
      </c>
    </row>
    <row r="2165" spans="1:3" ht="16.5" x14ac:dyDescent="0.2">
      <c r="A2165" s="4" t="s">
        <v>80</v>
      </c>
      <c r="B2165" s="15">
        <v>2165</v>
      </c>
      <c r="C2165">
        <f>MOD(B2165,8)</f>
        <v>5</v>
      </c>
    </row>
    <row r="2166" spans="1:3" ht="16.5" x14ac:dyDescent="0.2">
      <c r="A2166" s="4" t="s">
        <v>80</v>
      </c>
      <c r="B2166">
        <v>2166</v>
      </c>
      <c r="C2166">
        <f>MOD(B2166,8)</f>
        <v>6</v>
      </c>
    </row>
    <row r="2167" spans="1:3" ht="16.5" x14ac:dyDescent="0.2">
      <c r="A2167" s="4" t="s">
        <v>80</v>
      </c>
      <c r="B2167">
        <v>2167</v>
      </c>
      <c r="C2167">
        <f>MOD(B2167,8)</f>
        <v>7</v>
      </c>
    </row>
    <row r="2168" spans="1:3" ht="16.5" x14ac:dyDescent="0.2">
      <c r="A2168" s="4" t="s">
        <v>80</v>
      </c>
      <c r="B2168" s="15">
        <v>2168</v>
      </c>
      <c r="C2168">
        <f>MOD(B2168,8)</f>
        <v>0</v>
      </c>
    </row>
    <row r="2169" spans="1:3" ht="16.5" x14ac:dyDescent="0.2">
      <c r="A2169" s="4" t="s">
        <v>79</v>
      </c>
      <c r="B2169">
        <v>2169</v>
      </c>
      <c r="C2169">
        <f>MOD(B2169,8)</f>
        <v>1</v>
      </c>
    </row>
    <row r="2170" spans="1:3" ht="16.5" x14ac:dyDescent="0.2">
      <c r="A2170" s="4" t="s">
        <v>79</v>
      </c>
      <c r="B2170" s="15">
        <v>2170</v>
      </c>
      <c r="C2170">
        <f>MOD(B2170,8)</f>
        <v>2</v>
      </c>
    </row>
    <row r="2171" spans="1:3" ht="16.5" x14ac:dyDescent="0.2">
      <c r="A2171" s="4" t="s">
        <v>79</v>
      </c>
      <c r="B2171">
        <v>2171</v>
      </c>
      <c r="C2171">
        <f>MOD(B2171,8)</f>
        <v>3</v>
      </c>
    </row>
    <row r="2172" spans="1:3" ht="16.5" x14ac:dyDescent="0.2">
      <c r="A2172" s="4" t="s">
        <v>79</v>
      </c>
      <c r="B2172">
        <v>2172</v>
      </c>
      <c r="C2172">
        <f>MOD(B2172,8)</f>
        <v>4</v>
      </c>
    </row>
    <row r="2173" spans="1:3" ht="16.5" x14ac:dyDescent="0.2">
      <c r="A2173" s="4" t="s">
        <v>79</v>
      </c>
      <c r="B2173" s="15">
        <v>2173</v>
      </c>
      <c r="C2173">
        <f>MOD(B2173,8)</f>
        <v>5</v>
      </c>
    </row>
    <row r="2174" spans="1:3" ht="16.5" x14ac:dyDescent="0.2">
      <c r="A2174" s="4" t="s">
        <v>79</v>
      </c>
      <c r="B2174">
        <v>2174</v>
      </c>
      <c r="C2174">
        <f>MOD(B2174,8)</f>
        <v>6</v>
      </c>
    </row>
    <row r="2175" spans="1:3" ht="16.5" x14ac:dyDescent="0.2">
      <c r="A2175" s="4" t="s">
        <v>79</v>
      </c>
      <c r="B2175" s="15">
        <v>2175</v>
      </c>
      <c r="C2175">
        <f>MOD(B2175,8)</f>
        <v>7</v>
      </c>
    </row>
    <row r="2176" spans="1:3" ht="16.5" x14ac:dyDescent="0.2">
      <c r="A2176" s="4" t="s">
        <v>79</v>
      </c>
      <c r="B2176">
        <v>2176</v>
      </c>
      <c r="C2176">
        <f>MOD(B2176,8)</f>
        <v>0</v>
      </c>
    </row>
    <row r="2177" spans="1:3" ht="16.5" x14ac:dyDescent="0.2">
      <c r="A2177" s="4" t="s">
        <v>78</v>
      </c>
      <c r="B2177">
        <v>2177</v>
      </c>
      <c r="C2177">
        <f>MOD(B2177,8)</f>
        <v>1</v>
      </c>
    </row>
    <row r="2178" spans="1:3" ht="16.5" x14ac:dyDescent="0.2">
      <c r="A2178" s="4" t="s">
        <v>78</v>
      </c>
      <c r="B2178" s="15">
        <v>2178</v>
      </c>
      <c r="C2178">
        <f>MOD(B2178,8)</f>
        <v>2</v>
      </c>
    </row>
    <row r="2179" spans="1:3" ht="16.5" x14ac:dyDescent="0.2">
      <c r="A2179" s="4" t="s">
        <v>78</v>
      </c>
      <c r="B2179">
        <v>2179</v>
      </c>
      <c r="C2179">
        <f>MOD(B2179,8)</f>
        <v>3</v>
      </c>
    </row>
    <row r="2180" spans="1:3" ht="16.5" x14ac:dyDescent="0.2">
      <c r="A2180" s="4" t="s">
        <v>78</v>
      </c>
      <c r="B2180" s="15">
        <v>2180</v>
      </c>
      <c r="C2180">
        <f>MOD(B2180,8)</f>
        <v>4</v>
      </c>
    </row>
    <row r="2181" spans="1:3" ht="16.5" x14ac:dyDescent="0.2">
      <c r="A2181" s="4" t="s">
        <v>78</v>
      </c>
      <c r="B2181">
        <v>2181</v>
      </c>
      <c r="C2181">
        <f>MOD(B2181,8)</f>
        <v>5</v>
      </c>
    </row>
    <row r="2182" spans="1:3" ht="16.5" x14ac:dyDescent="0.2">
      <c r="A2182" s="4" t="s">
        <v>78</v>
      </c>
      <c r="B2182">
        <v>2182</v>
      </c>
      <c r="C2182">
        <f>MOD(B2182,8)</f>
        <v>6</v>
      </c>
    </row>
    <row r="2183" spans="1:3" ht="16.5" x14ac:dyDescent="0.2">
      <c r="A2183" s="4" t="s">
        <v>78</v>
      </c>
      <c r="B2183" s="15">
        <v>2183</v>
      </c>
      <c r="C2183">
        <f>MOD(B2183,8)</f>
        <v>7</v>
      </c>
    </row>
    <row r="2184" spans="1:3" ht="16.5" x14ac:dyDescent="0.2">
      <c r="A2184" s="4" t="s">
        <v>78</v>
      </c>
      <c r="B2184">
        <v>2184</v>
      </c>
      <c r="C2184">
        <f>MOD(B2184,8)</f>
        <v>0</v>
      </c>
    </row>
    <row r="2185" spans="1:3" ht="16.5" x14ac:dyDescent="0.2">
      <c r="A2185" s="4" t="s">
        <v>77</v>
      </c>
      <c r="B2185" s="15">
        <v>2185</v>
      </c>
      <c r="C2185">
        <f>MOD(B2185,8)</f>
        <v>1</v>
      </c>
    </row>
    <row r="2186" spans="1:3" ht="16.5" x14ac:dyDescent="0.2">
      <c r="A2186" s="4" t="s">
        <v>77</v>
      </c>
      <c r="B2186">
        <v>2186</v>
      </c>
      <c r="C2186">
        <f>MOD(B2186,8)</f>
        <v>2</v>
      </c>
    </row>
    <row r="2187" spans="1:3" ht="16.5" x14ac:dyDescent="0.2">
      <c r="A2187" s="4" t="s">
        <v>77</v>
      </c>
      <c r="B2187">
        <v>2187</v>
      </c>
      <c r="C2187">
        <f>MOD(B2187,8)</f>
        <v>3</v>
      </c>
    </row>
    <row r="2188" spans="1:3" ht="16.5" x14ac:dyDescent="0.2">
      <c r="A2188" s="4" t="s">
        <v>77</v>
      </c>
      <c r="B2188" s="15">
        <v>2188</v>
      </c>
      <c r="C2188">
        <f>MOD(B2188,8)</f>
        <v>4</v>
      </c>
    </row>
    <row r="2189" spans="1:3" ht="16.5" x14ac:dyDescent="0.2">
      <c r="A2189" s="4" t="s">
        <v>77</v>
      </c>
      <c r="B2189">
        <v>2189</v>
      </c>
      <c r="C2189">
        <f>MOD(B2189,8)</f>
        <v>5</v>
      </c>
    </row>
    <row r="2190" spans="1:3" ht="16.5" x14ac:dyDescent="0.2">
      <c r="A2190" s="4" t="s">
        <v>77</v>
      </c>
      <c r="B2190" s="15">
        <v>2190</v>
      </c>
      <c r="C2190">
        <f>MOD(B2190,8)</f>
        <v>6</v>
      </c>
    </row>
    <row r="2191" spans="1:3" ht="16.5" x14ac:dyDescent="0.2">
      <c r="A2191" s="4" t="s">
        <v>77</v>
      </c>
      <c r="B2191">
        <v>2191</v>
      </c>
      <c r="C2191">
        <f>MOD(B2191,8)</f>
        <v>7</v>
      </c>
    </row>
    <row r="2192" spans="1:3" ht="16.5" x14ac:dyDescent="0.2">
      <c r="A2192" s="4" t="s">
        <v>77</v>
      </c>
      <c r="B2192">
        <v>2192</v>
      </c>
      <c r="C2192">
        <f>MOD(B2192,8)</f>
        <v>0</v>
      </c>
    </row>
    <row r="2193" spans="1:3" ht="16.5" x14ac:dyDescent="0.2">
      <c r="A2193" s="4" t="s">
        <v>76</v>
      </c>
      <c r="B2193" s="15">
        <v>2193</v>
      </c>
      <c r="C2193">
        <f>MOD(B2193,8)</f>
        <v>1</v>
      </c>
    </row>
    <row r="2194" spans="1:3" ht="16.5" x14ac:dyDescent="0.2">
      <c r="A2194" s="4" t="s">
        <v>76</v>
      </c>
      <c r="B2194">
        <v>2194</v>
      </c>
      <c r="C2194">
        <f>MOD(B2194,8)</f>
        <v>2</v>
      </c>
    </row>
    <row r="2195" spans="1:3" ht="16.5" x14ac:dyDescent="0.2">
      <c r="A2195" s="4" t="s">
        <v>76</v>
      </c>
      <c r="B2195" s="15">
        <v>2195</v>
      </c>
      <c r="C2195">
        <f>MOD(B2195,8)</f>
        <v>3</v>
      </c>
    </row>
    <row r="2196" spans="1:3" ht="16.5" x14ac:dyDescent="0.2">
      <c r="A2196" s="4" t="s">
        <v>76</v>
      </c>
      <c r="B2196">
        <v>2196</v>
      </c>
      <c r="C2196">
        <f>MOD(B2196,8)</f>
        <v>4</v>
      </c>
    </row>
    <row r="2197" spans="1:3" ht="16.5" x14ac:dyDescent="0.2">
      <c r="A2197" s="4" t="s">
        <v>76</v>
      </c>
      <c r="B2197">
        <v>2197</v>
      </c>
      <c r="C2197">
        <f>MOD(B2197,8)</f>
        <v>5</v>
      </c>
    </row>
    <row r="2198" spans="1:3" ht="16.5" x14ac:dyDescent="0.2">
      <c r="A2198" s="4" t="s">
        <v>76</v>
      </c>
      <c r="B2198" s="15">
        <v>2198</v>
      </c>
      <c r="C2198">
        <f>MOD(B2198,8)</f>
        <v>6</v>
      </c>
    </row>
    <row r="2199" spans="1:3" ht="16.5" x14ac:dyDescent="0.2">
      <c r="A2199" s="4" t="s">
        <v>76</v>
      </c>
      <c r="B2199">
        <v>2199</v>
      </c>
      <c r="C2199">
        <f>MOD(B2199,8)</f>
        <v>7</v>
      </c>
    </row>
    <row r="2200" spans="1:3" ht="16.5" x14ac:dyDescent="0.2">
      <c r="A2200" s="4" t="s">
        <v>76</v>
      </c>
      <c r="B2200" s="15">
        <v>2200</v>
      </c>
      <c r="C2200">
        <f>MOD(B2200,8)</f>
        <v>0</v>
      </c>
    </row>
    <row r="2201" spans="1:3" ht="16.5" x14ac:dyDescent="0.2">
      <c r="A2201" s="4" t="s">
        <v>75</v>
      </c>
      <c r="B2201">
        <v>2201</v>
      </c>
      <c r="C2201">
        <f>MOD(B2201,8)</f>
        <v>1</v>
      </c>
    </row>
    <row r="2202" spans="1:3" ht="16.5" x14ac:dyDescent="0.2">
      <c r="A2202" s="4" t="s">
        <v>75</v>
      </c>
      <c r="B2202">
        <v>2202</v>
      </c>
      <c r="C2202">
        <f>MOD(B2202,8)</f>
        <v>2</v>
      </c>
    </row>
    <row r="2203" spans="1:3" ht="16.5" x14ac:dyDescent="0.2">
      <c r="A2203" s="4" t="s">
        <v>75</v>
      </c>
      <c r="B2203" s="15">
        <v>2203</v>
      </c>
      <c r="C2203">
        <f>MOD(B2203,8)</f>
        <v>3</v>
      </c>
    </row>
    <row r="2204" spans="1:3" ht="16.5" x14ac:dyDescent="0.2">
      <c r="A2204" s="4" t="s">
        <v>75</v>
      </c>
      <c r="B2204">
        <v>2204</v>
      </c>
      <c r="C2204">
        <f>MOD(B2204,8)</f>
        <v>4</v>
      </c>
    </row>
    <row r="2205" spans="1:3" ht="16.5" x14ac:dyDescent="0.2">
      <c r="A2205" s="4" t="s">
        <v>75</v>
      </c>
      <c r="B2205" s="15">
        <v>2205</v>
      </c>
      <c r="C2205">
        <f>MOD(B2205,8)</f>
        <v>5</v>
      </c>
    </row>
    <row r="2206" spans="1:3" ht="16.5" x14ac:dyDescent="0.2">
      <c r="A2206" s="4" t="s">
        <v>75</v>
      </c>
      <c r="B2206">
        <v>2206</v>
      </c>
      <c r="C2206">
        <f>MOD(B2206,8)</f>
        <v>6</v>
      </c>
    </row>
    <row r="2207" spans="1:3" ht="16.5" x14ac:dyDescent="0.2">
      <c r="A2207" s="4" t="s">
        <v>75</v>
      </c>
      <c r="B2207">
        <v>2207</v>
      </c>
      <c r="C2207">
        <f>MOD(B2207,8)</f>
        <v>7</v>
      </c>
    </row>
    <row r="2208" spans="1:3" ht="16.5" x14ac:dyDescent="0.2">
      <c r="A2208" s="4" t="s">
        <v>75</v>
      </c>
      <c r="B2208" s="15">
        <v>2208</v>
      </c>
      <c r="C2208">
        <f>MOD(B2208,8)</f>
        <v>0</v>
      </c>
    </row>
    <row r="2209" spans="1:3" ht="16.5" x14ac:dyDescent="0.2">
      <c r="A2209" s="4" t="s">
        <v>74</v>
      </c>
      <c r="B2209">
        <v>2209</v>
      </c>
      <c r="C2209">
        <f>MOD(B2209,8)</f>
        <v>1</v>
      </c>
    </row>
    <row r="2210" spans="1:3" ht="16.5" x14ac:dyDescent="0.2">
      <c r="A2210" s="4" t="s">
        <v>74</v>
      </c>
      <c r="B2210" s="15">
        <v>2210</v>
      </c>
      <c r="C2210">
        <f>MOD(B2210,8)</f>
        <v>2</v>
      </c>
    </row>
    <row r="2211" spans="1:3" ht="16.5" x14ac:dyDescent="0.2">
      <c r="A2211" s="4" t="s">
        <v>74</v>
      </c>
      <c r="B2211">
        <v>2211</v>
      </c>
      <c r="C2211">
        <f>MOD(B2211,8)</f>
        <v>3</v>
      </c>
    </row>
    <row r="2212" spans="1:3" ht="16.5" x14ac:dyDescent="0.2">
      <c r="A2212" s="4" t="s">
        <v>74</v>
      </c>
      <c r="B2212">
        <v>2212</v>
      </c>
      <c r="C2212">
        <f>MOD(B2212,8)</f>
        <v>4</v>
      </c>
    </row>
    <row r="2213" spans="1:3" ht="16.5" x14ac:dyDescent="0.2">
      <c r="A2213" s="4" t="s">
        <v>73</v>
      </c>
      <c r="B2213" s="15">
        <v>2213</v>
      </c>
      <c r="C2213">
        <f>MOD(B2213,8)</f>
        <v>5</v>
      </c>
    </row>
    <row r="2214" spans="1:3" ht="16.5" x14ac:dyDescent="0.2">
      <c r="A2214" s="4" t="s">
        <v>73</v>
      </c>
      <c r="B2214">
        <v>2214</v>
      </c>
      <c r="C2214">
        <f>MOD(B2214,8)</f>
        <v>6</v>
      </c>
    </row>
    <row r="2215" spans="1:3" ht="16.5" x14ac:dyDescent="0.2">
      <c r="A2215" s="4" t="s">
        <v>73</v>
      </c>
      <c r="B2215" s="15">
        <v>2215</v>
      </c>
      <c r="C2215">
        <f>MOD(B2215,8)</f>
        <v>7</v>
      </c>
    </row>
    <row r="2216" spans="1:3" ht="16.5" x14ac:dyDescent="0.2">
      <c r="A2216" s="4" t="s">
        <v>73</v>
      </c>
      <c r="B2216">
        <v>2216</v>
      </c>
      <c r="C2216">
        <f>MOD(B2216,8)</f>
        <v>0</v>
      </c>
    </row>
    <row r="2217" spans="1:3" ht="16.5" x14ac:dyDescent="0.2">
      <c r="A2217" s="4" t="s">
        <v>72</v>
      </c>
      <c r="B2217">
        <v>2217</v>
      </c>
      <c r="C2217">
        <f>MOD(B2217,8)</f>
        <v>1</v>
      </c>
    </row>
    <row r="2218" spans="1:3" ht="16.5" x14ac:dyDescent="0.2">
      <c r="A2218" s="4" t="s">
        <v>72</v>
      </c>
      <c r="B2218" s="15">
        <v>2218</v>
      </c>
      <c r="C2218">
        <f>MOD(B2218,8)</f>
        <v>2</v>
      </c>
    </row>
    <row r="2219" spans="1:3" ht="16.5" x14ac:dyDescent="0.2">
      <c r="A2219" s="4" t="s">
        <v>72</v>
      </c>
      <c r="B2219">
        <v>2219</v>
      </c>
      <c r="C2219">
        <f>MOD(B2219,8)</f>
        <v>3</v>
      </c>
    </row>
    <row r="2220" spans="1:3" ht="16.5" x14ac:dyDescent="0.2">
      <c r="A2220" s="4" t="s">
        <v>72</v>
      </c>
      <c r="B2220" s="15">
        <v>2220</v>
      </c>
      <c r="C2220">
        <f>MOD(B2220,8)</f>
        <v>4</v>
      </c>
    </row>
    <row r="2221" spans="1:3" ht="16.5" x14ac:dyDescent="0.2">
      <c r="A2221" s="4" t="s">
        <v>72</v>
      </c>
      <c r="B2221">
        <v>2221</v>
      </c>
      <c r="C2221">
        <f>MOD(B2221,8)</f>
        <v>5</v>
      </c>
    </row>
    <row r="2222" spans="1:3" ht="16.5" x14ac:dyDescent="0.2">
      <c r="A2222" s="4" t="s">
        <v>72</v>
      </c>
      <c r="B2222">
        <v>2222</v>
      </c>
      <c r="C2222">
        <f>MOD(B2222,8)</f>
        <v>6</v>
      </c>
    </row>
    <row r="2223" spans="1:3" ht="16.5" x14ac:dyDescent="0.2">
      <c r="A2223" s="4" t="s">
        <v>72</v>
      </c>
      <c r="B2223" s="15">
        <v>2223</v>
      </c>
      <c r="C2223">
        <f>MOD(B2223,8)</f>
        <v>7</v>
      </c>
    </row>
    <row r="2224" spans="1:3" ht="16.5" x14ac:dyDescent="0.2">
      <c r="A2224" s="4" t="s">
        <v>72</v>
      </c>
      <c r="B2224">
        <v>2224</v>
      </c>
      <c r="C2224">
        <f>MOD(B2224,8)</f>
        <v>0</v>
      </c>
    </row>
    <row r="2225" spans="1:3" ht="16.5" x14ac:dyDescent="0.2">
      <c r="A2225" s="4" t="s">
        <v>71</v>
      </c>
      <c r="B2225" s="15">
        <v>2225</v>
      </c>
      <c r="C2225">
        <f>MOD(B2225,8)</f>
        <v>1</v>
      </c>
    </row>
    <row r="2226" spans="1:3" ht="16.5" x14ac:dyDescent="0.2">
      <c r="A2226" s="4" t="s">
        <v>71</v>
      </c>
      <c r="B2226">
        <v>2226</v>
      </c>
      <c r="C2226">
        <f>MOD(B2226,8)</f>
        <v>2</v>
      </c>
    </row>
    <row r="2227" spans="1:3" ht="16.5" x14ac:dyDescent="0.2">
      <c r="A2227" s="4" t="s">
        <v>71</v>
      </c>
      <c r="B2227">
        <v>2227</v>
      </c>
      <c r="C2227">
        <f>MOD(B2227,8)</f>
        <v>3</v>
      </c>
    </row>
    <row r="2228" spans="1:3" ht="16.5" x14ac:dyDescent="0.2">
      <c r="A2228" s="4" t="s">
        <v>71</v>
      </c>
      <c r="B2228" s="15">
        <v>2228</v>
      </c>
      <c r="C2228">
        <f>MOD(B2228,8)</f>
        <v>4</v>
      </c>
    </row>
    <row r="2229" spans="1:3" ht="16.5" x14ac:dyDescent="0.2">
      <c r="A2229" s="4" t="s">
        <v>71</v>
      </c>
      <c r="B2229">
        <v>2229</v>
      </c>
      <c r="C2229">
        <f>MOD(B2229,8)</f>
        <v>5</v>
      </c>
    </row>
    <row r="2230" spans="1:3" ht="16.5" x14ac:dyDescent="0.2">
      <c r="A2230" s="4" t="s">
        <v>71</v>
      </c>
      <c r="B2230" s="15">
        <v>2230</v>
      </c>
      <c r="C2230">
        <f>MOD(B2230,8)</f>
        <v>6</v>
      </c>
    </row>
    <row r="2231" spans="1:3" ht="16.5" x14ac:dyDescent="0.2">
      <c r="A2231" s="4" t="s">
        <v>71</v>
      </c>
      <c r="B2231">
        <v>2231</v>
      </c>
      <c r="C2231">
        <f>MOD(B2231,8)</f>
        <v>7</v>
      </c>
    </row>
    <row r="2232" spans="1:3" ht="16.5" x14ac:dyDescent="0.2">
      <c r="A2232" s="4" t="s">
        <v>71</v>
      </c>
      <c r="B2232">
        <v>2232</v>
      </c>
      <c r="C2232">
        <f>MOD(B2232,8)</f>
        <v>0</v>
      </c>
    </row>
    <row r="2233" spans="1:3" ht="16.5" x14ac:dyDescent="0.2">
      <c r="A2233" s="4" t="s">
        <v>70</v>
      </c>
      <c r="B2233" s="15">
        <v>2233</v>
      </c>
      <c r="C2233">
        <f>MOD(B2233,8)</f>
        <v>1</v>
      </c>
    </row>
    <row r="2234" spans="1:3" ht="16.5" x14ac:dyDescent="0.2">
      <c r="A2234" s="4" t="s">
        <v>70</v>
      </c>
      <c r="B2234">
        <v>2234</v>
      </c>
      <c r="C2234">
        <f>MOD(B2234,8)</f>
        <v>2</v>
      </c>
    </row>
    <row r="2235" spans="1:3" ht="16.5" x14ac:dyDescent="0.2">
      <c r="A2235" s="4" t="s">
        <v>70</v>
      </c>
      <c r="B2235" s="15">
        <v>2235</v>
      </c>
      <c r="C2235">
        <f>MOD(B2235,8)</f>
        <v>3</v>
      </c>
    </row>
    <row r="2236" spans="1:3" ht="16.5" x14ac:dyDescent="0.2">
      <c r="A2236" s="4" t="s">
        <v>70</v>
      </c>
      <c r="B2236">
        <v>2236</v>
      </c>
      <c r="C2236">
        <f>MOD(B2236,8)</f>
        <v>4</v>
      </c>
    </row>
    <row r="2237" spans="1:3" ht="16.5" x14ac:dyDescent="0.2">
      <c r="A2237" s="4" t="s">
        <v>70</v>
      </c>
      <c r="B2237">
        <v>2237</v>
      </c>
      <c r="C2237">
        <f>MOD(B2237,8)</f>
        <v>5</v>
      </c>
    </row>
    <row r="2238" spans="1:3" ht="16.5" x14ac:dyDescent="0.2">
      <c r="A2238" s="4" t="s">
        <v>70</v>
      </c>
      <c r="B2238" s="15">
        <v>2238</v>
      </c>
      <c r="C2238">
        <f>MOD(B2238,8)</f>
        <v>6</v>
      </c>
    </row>
    <row r="2239" spans="1:3" ht="16.5" x14ac:dyDescent="0.2">
      <c r="A2239" s="4" t="s">
        <v>70</v>
      </c>
      <c r="B2239">
        <v>2239</v>
      </c>
      <c r="C2239">
        <f>MOD(B2239,8)</f>
        <v>7</v>
      </c>
    </row>
    <row r="2240" spans="1:3" ht="16.5" x14ac:dyDescent="0.2">
      <c r="A2240" s="4" t="s">
        <v>70</v>
      </c>
      <c r="B2240" s="15">
        <v>2240</v>
      </c>
      <c r="C2240">
        <f>MOD(B2240,8)</f>
        <v>0</v>
      </c>
    </row>
    <row r="2241" spans="1:3" ht="16.5" x14ac:dyDescent="0.2">
      <c r="A2241" s="4" t="s">
        <v>69</v>
      </c>
      <c r="B2241">
        <v>2241</v>
      </c>
      <c r="C2241">
        <f>MOD(B2241,8)</f>
        <v>1</v>
      </c>
    </row>
    <row r="2242" spans="1:3" ht="16.5" x14ac:dyDescent="0.2">
      <c r="A2242" s="4" t="s">
        <v>69</v>
      </c>
      <c r="B2242">
        <v>2242</v>
      </c>
      <c r="C2242">
        <f>MOD(B2242,8)</f>
        <v>2</v>
      </c>
    </row>
    <row r="2243" spans="1:3" ht="16.5" x14ac:dyDescent="0.2">
      <c r="A2243" s="4" t="s">
        <v>69</v>
      </c>
      <c r="B2243" s="15">
        <v>2243</v>
      </c>
      <c r="C2243">
        <f>MOD(B2243,8)</f>
        <v>3</v>
      </c>
    </row>
    <row r="2244" spans="1:3" ht="16.5" x14ac:dyDescent="0.2">
      <c r="A2244" s="4" t="s">
        <v>69</v>
      </c>
      <c r="B2244">
        <v>2244</v>
      </c>
      <c r="C2244">
        <f>MOD(B2244,8)</f>
        <v>4</v>
      </c>
    </row>
    <row r="2245" spans="1:3" ht="16.5" x14ac:dyDescent="0.2">
      <c r="A2245" s="4" t="s">
        <v>69</v>
      </c>
      <c r="B2245" s="15">
        <v>2245</v>
      </c>
      <c r="C2245">
        <f>MOD(B2245,8)</f>
        <v>5</v>
      </c>
    </row>
    <row r="2246" spans="1:3" ht="16.5" x14ac:dyDescent="0.2">
      <c r="A2246" s="4" t="s">
        <v>69</v>
      </c>
      <c r="B2246">
        <v>2246</v>
      </c>
      <c r="C2246">
        <f>MOD(B2246,8)</f>
        <v>6</v>
      </c>
    </row>
    <row r="2247" spans="1:3" ht="16.5" x14ac:dyDescent="0.2">
      <c r="A2247" s="4" t="s">
        <v>69</v>
      </c>
      <c r="B2247">
        <v>2247</v>
      </c>
      <c r="C2247">
        <f>MOD(B2247,8)</f>
        <v>7</v>
      </c>
    </row>
    <row r="2248" spans="1:3" ht="16.5" x14ac:dyDescent="0.2">
      <c r="A2248" s="4" t="s">
        <v>69</v>
      </c>
      <c r="B2248" s="15">
        <v>2248</v>
      </c>
      <c r="C2248">
        <f>MOD(B2248,8)</f>
        <v>0</v>
      </c>
    </row>
    <row r="2249" spans="1:3" ht="16.5" x14ac:dyDescent="0.2">
      <c r="A2249" s="4" t="s">
        <v>68</v>
      </c>
      <c r="B2249">
        <v>2249</v>
      </c>
      <c r="C2249">
        <f>MOD(B2249,8)</f>
        <v>1</v>
      </c>
    </row>
    <row r="2250" spans="1:3" ht="16.5" x14ac:dyDescent="0.2">
      <c r="A2250" s="4" t="s">
        <v>68</v>
      </c>
      <c r="B2250" s="15">
        <v>2250</v>
      </c>
      <c r="C2250">
        <f>MOD(B2250,8)</f>
        <v>2</v>
      </c>
    </row>
    <row r="2251" spans="1:3" ht="16.5" x14ac:dyDescent="0.2">
      <c r="A2251" s="4" t="s">
        <v>68</v>
      </c>
      <c r="B2251">
        <v>2251</v>
      </c>
      <c r="C2251">
        <f>MOD(B2251,8)</f>
        <v>3</v>
      </c>
    </row>
    <row r="2252" spans="1:3" ht="16.5" x14ac:dyDescent="0.2">
      <c r="A2252" s="4" t="s">
        <v>68</v>
      </c>
      <c r="B2252">
        <v>2252</v>
      </c>
      <c r="C2252">
        <f>MOD(B2252,8)</f>
        <v>4</v>
      </c>
    </row>
    <row r="2253" spans="1:3" ht="16.5" x14ac:dyDescent="0.2">
      <c r="A2253" s="4" t="s">
        <v>68</v>
      </c>
      <c r="B2253" s="15">
        <v>2253</v>
      </c>
      <c r="C2253">
        <f>MOD(B2253,8)</f>
        <v>5</v>
      </c>
    </row>
    <row r="2254" spans="1:3" ht="16.5" x14ac:dyDescent="0.2">
      <c r="A2254" s="4" t="s">
        <v>68</v>
      </c>
      <c r="B2254">
        <v>2254</v>
      </c>
      <c r="C2254">
        <f>MOD(B2254,8)</f>
        <v>6</v>
      </c>
    </row>
    <row r="2255" spans="1:3" ht="16.5" x14ac:dyDescent="0.2">
      <c r="A2255" s="4" t="s">
        <v>68</v>
      </c>
      <c r="B2255" s="15">
        <v>2255</v>
      </c>
      <c r="C2255">
        <f>MOD(B2255,8)</f>
        <v>7</v>
      </c>
    </row>
    <row r="2256" spans="1:3" ht="16.5" x14ac:dyDescent="0.2">
      <c r="A2256" s="4" t="s">
        <v>68</v>
      </c>
      <c r="B2256">
        <v>2256</v>
      </c>
      <c r="C2256">
        <f>MOD(B2256,8)</f>
        <v>0</v>
      </c>
    </row>
    <row r="2257" spans="1:3" ht="16.5" x14ac:dyDescent="0.2">
      <c r="A2257" s="4" t="s">
        <v>67</v>
      </c>
      <c r="B2257">
        <v>2257</v>
      </c>
      <c r="C2257">
        <f>MOD(B2257,8)</f>
        <v>1</v>
      </c>
    </row>
    <row r="2258" spans="1:3" ht="16.5" x14ac:dyDescent="0.2">
      <c r="A2258" s="4" t="s">
        <v>67</v>
      </c>
      <c r="B2258" s="15">
        <v>2258</v>
      </c>
      <c r="C2258">
        <f>MOD(B2258,8)</f>
        <v>2</v>
      </c>
    </row>
    <row r="2259" spans="1:3" ht="16.5" x14ac:dyDescent="0.2">
      <c r="A2259" s="4" t="s">
        <v>67</v>
      </c>
      <c r="B2259">
        <v>2259</v>
      </c>
      <c r="C2259">
        <f>MOD(B2259,8)</f>
        <v>3</v>
      </c>
    </row>
    <row r="2260" spans="1:3" ht="16.5" x14ac:dyDescent="0.2">
      <c r="A2260" s="4" t="s">
        <v>67</v>
      </c>
      <c r="B2260" s="15">
        <v>2260</v>
      </c>
      <c r="C2260">
        <f>MOD(B2260,8)</f>
        <v>4</v>
      </c>
    </row>
    <row r="2261" spans="1:3" ht="16.5" x14ac:dyDescent="0.2">
      <c r="A2261" s="4" t="s">
        <v>67</v>
      </c>
      <c r="B2261">
        <v>2261</v>
      </c>
      <c r="C2261">
        <f>MOD(B2261,8)</f>
        <v>5</v>
      </c>
    </row>
    <row r="2262" spans="1:3" ht="16.5" x14ac:dyDescent="0.2">
      <c r="A2262" s="4" t="s">
        <v>67</v>
      </c>
      <c r="B2262">
        <v>2262</v>
      </c>
      <c r="C2262">
        <f>MOD(B2262,8)</f>
        <v>6</v>
      </c>
    </row>
    <row r="2263" spans="1:3" ht="16.5" x14ac:dyDescent="0.2">
      <c r="A2263" s="4" t="s">
        <v>67</v>
      </c>
      <c r="B2263" s="15">
        <v>2263</v>
      </c>
      <c r="C2263">
        <f>MOD(B2263,8)</f>
        <v>7</v>
      </c>
    </row>
    <row r="2264" spans="1:3" ht="16.5" x14ac:dyDescent="0.2">
      <c r="A2264" s="4" t="s">
        <v>67</v>
      </c>
      <c r="B2264">
        <v>2264</v>
      </c>
      <c r="C2264">
        <f>MOD(B2264,8)</f>
        <v>0</v>
      </c>
    </row>
    <row r="2265" spans="1:3" ht="16.5" x14ac:dyDescent="0.2">
      <c r="A2265" s="4" t="s">
        <v>66</v>
      </c>
      <c r="B2265" s="15">
        <v>2265</v>
      </c>
      <c r="C2265">
        <f>MOD(B2265,8)</f>
        <v>1</v>
      </c>
    </row>
    <row r="2266" spans="1:3" ht="16.5" x14ac:dyDescent="0.2">
      <c r="A2266" s="4" t="s">
        <v>66</v>
      </c>
      <c r="B2266">
        <v>2266</v>
      </c>
      <c r="C2266">
        <f>MOD(B2266,8)</f>
        <v>2</v>
      </c>
    </row>
    <row r="2267" spans="1:3" ht="16.5" x14ac:dyDescent="0.2">
      <c r="A2267" s="4" t="s">
        <v>66</v>
      </c>
      <c r="B2267">
        <v>2267</v>
      </c>
      <c r="C2267">
        <f>MOD(B2267,8)</f>
        <v>3</v>
      </c>
    </row>
    <row r="2268" spans="1:3" ht="16.5" x14ac:dyDescent="0.2">
      <c r="A2268" s="4" t="s">
        <v>66</v>
      </c>
      <c r="B2268" s="15">
        <v>2268</v>
      </c>
      <c r="C2268">
        <f>MOD(B2268,8)</f>
        <v>4</v>
      </c>
    </row>
    <row r="2269" spans="1:3" ht="16.5" x14ac:dyDescent="0.2">
      <c r="A2269" s="4" t="s">
        <v>66</v>
      </c>
      <c r="B2269">
        <v>2269</v>
      </c>
      <c r="C2269">
        <f>MOD(B2269,8)</f>
        <v>5</v>
      </c>
    </row>
    <row r="2270" spans="1:3" ht="16.5" x14ac:dyDescent="0.2">
      <c r="A2270" s="4" t="s">
        <v>66</v>
      </c>
      <c r="B2270" s="15">
        <v>2270</v>
      </c>
      <c r="C2270">
        <f>MOD(B2270,8)</f>
        <v>6</v>
      </c>
    </row>
    <row r="2271" spans="1:3" ht="16.5" x14ac:dyDescent="0.2">
      <c r="A2271" s="4" t="s">
        <v>66</v>
      </c>
      <c r="B2271">
        <v>2271</v>
      </c>
      <c r="C2271">
        <f>MOD(B2271,8)</f>
        <v>7</v>
      </c>
    </row>
    <row r="2272" spans="1:3" ht="16.5" x14ac:dyDescent="0.2">
      <c r="A2272" s="4" t="s">
        <v>66</v>
      </c>
      <c r="B2272">
        <v>2272</v>
      </c>
      <c r="C2272">
        <f>MOD(B2272,8)</f>
        <v>0</v>
      </c>
    </row>
    <row r="2273" spans="1:3" ht="16.5" x14ac:dyDescent="0.2">
      <c r="A2273" s="4" t="s">
        <v>65</v>
      </c>
      <c r="B2273" s="15">
        <v>2273</v>
      </c>
      <c r="C2273">
        <f>MOD(B2273,8)</f>
        <v>1</v>
      </c>
    </row>
    <row r="2274" spans="1:3" ht="16.5" x14ac:dyDescent="0.2">
      <c r="A2274" s="4" t="s">
        <v>65</v>
      </c>
      <c r="B2274">
        <v>2274</v>
      </c>
      <c r="C2274">
        <f>MOD(B2274,8)</f>
        <v>2</v>
      </c>
    </row>
    <row r="2275" spans="1:3" ht="16.5" x14ac:dyDescent="0.2">
      <c r="A2275" s="4" t="s">
        <v>65</v>
      </c>
      <c r="B2275" s="15">
        <v>2275</v>
      </c>
      <c r="C2275">
        <f>MOD(B2275,8)</f>
        <v>3</v>
      </c>
    </row>
    <row r="2276" spans="1:3" ht="16.5" x14ac:dyDescent="0.2">
      <c r="A2276" s="4" t="s">
        <v>65</v>
      </c>
      <c r="B2276">
        <v>2276</v>
      </c>
      <c r="C2276">
        <f>MOD(B2276,8)</f>
        <v>4</v>
      </c>
    </row>
    <row r="2277" spans="1:3" ht="16.5" x14ac:dyDescent="0.2">
      <c r="A2277" s="4" t="s">
        <v>65</v>
      </c>
      <c r="B2277">
        <v>2277</v>
      </c>
      <c r="C2277">
        <f>MOD(B2277,8)</f>
        <v>5</v>
      </c>
    </row>
    <row r="2278" spans="1:3" ht="16.5" x14ac:dyDescent="0.2">
      <c r="A2278" s="4" t="s">
        <v>65</v>
      </c>
      <c r="B2278" s="15">
        <v>2278</v>
      </c>
      <c r="C2278">
        <f>MOD(B2278,8)</f>
        <v>6</v>
      </c>
    </row>
    <row r="2279" spans="1:3" ht="16.5" x14ac:dyDescent="0.2">
      <c r="A2279" s="4" t="s">
        <v>65</v>
      </c>
      <c r="B2279">
        <v>2279</v>
      </c>
      <c r="C2279">
        <f>MOD(B2279,8)</f>
        <v>7</v>
      </c>
    </row>
    <row r="2280" spans="1:3" ht="16.5" x14ac:dyDescent="0.2">
      <c r="A2280" s="4" t="s">
        <v>65</v>
      </c>
      <c r="B2280" s="15">
        <v>2280</v>
      </c>
      <c r="C2280">
        <f>MOD(B2280,8)</f>
        <v>0</v>
      </c>
    </row>
    <row r="2281" spans="1:3" ht="16.5" x14ac:dyDescent="0.2">
      <c r="A2281" s="4" t="s">
        <v>64</v>
      </c>
      <c r="B2281">
        <v>2281</v>
      </c>
      <c r="C2281">
        <f>MOD(B2281,8)</f>
        <v>1</v>
      </c>
    </row>
    <row r="2282" spans="1:3" ht="16.5" x14ac:dyDescent="0.2">
      <c r="A2282" s="4" t="s">
        <v>64</v>
      </c>
      <c r="B2282">
        <v>2282</v>
      </c>
      <c r="C2282">
        <f>MOD(B2282,8)</f>
        <v>2</v>
      </c>
    </row>
    <row r="2283" spans="1:3" ht="16.5" x14ac:dyDescent="0.2">
      <c r="A2283" s="4" t="s">
        <v>64</v>
      </c>
      <c r="B2283" s="15">
        <v>2283</v>
      </c>
      <c r="C2283">
        <f>MOD(B2283,8)</f>
        <v>3</v>
      </c>
    </row>
    <row r="2284" spans="1:3" ht="16.5" x14ac:dyDescent="0.2">
      <c r="A2284" s="4" t="s">
        <v>64</v>
      </c>
      <c r="B2284">
        <v>2284</v>
      </c>
      <c r="C2284">
        <f>MOD(B2284,8)</f>
        <v>4</v>
      </c>
    </row>
    <row r="2285" spans="1:3" ht="16.5" x14ac:dyDescent="0.2">
      <c r="A2285" s="4" t="s">
        <v>64</v>
      </c>
      <c r="B2285" s="15">
        <v>2285</v>
      </c>
      <c r="C2285">
        <f>MOD(B2285,8)</f>
        <v>5</v>
      </c>
    </row>
    <row r="2286" spans="1:3" ht="16.5" x14ac:dyDescent="0.2">
      <c r="A2286" s="4" t="s">
        <v>64</v>
      </c>
      <c r="B2286">
        <v>2286</v>
      </c>
      <c r="C2286">
        <f>MOD(B2286,8)</f>
        <v>6</v>
      </c>
    </row>
    <row r="2287" spans="1:3" ht="16.5" x14ac:dyDescent="0.2">
      <c r="A2287" s="4" t="s">
        <v>64</v>
      </c>
      <c r="B2287">
        <v>2287</v>
      </c>
      <c r="C2287">
        <f>MOD(B2287,8)</f>
        <v>7</v>
      </c>
    </row>
    <row r="2288" spans="1:3" ht="16.5" x14ac:dyDescent="0.2">
      <c r="A2288" s="4" t="s">
        <v>64</v>
      </c>
      <c r="B2288" s="15">
        <v>2288</v>
      </c>
      <c r="C2288">
        <f>MOD(B2288,8)</f>
        <v>0</v>
      </c>
    </row>
    <row r="2289" spans="1:3" ht="16.5" x14ac:dyDescent="0.2">
      <c r="A2289" s="4" t="s">
        <v>63</v>
      </c>
      <c r="B2289">
        <v>2289</v>
      </c>
      <c r="C2289">
        <f>MOD(B2289,8)</f>
        <v>1</v>
      </c>
    </row>
    <row r="2290" spans="1:3" ht="16.5" x14ac:dyDescent="0.2">
      <c r="A2290" s="4" t="s">
        <v>63</v>
      </c>
      <c r="B2290" s="15">
        <v>2290</v>
      </c>
      <c r="C2290">
        <f>MOD(B2290,8)</f>
        <v>2</v>
      </c>
    </row>
    <row r="2291" spans="1:3" ht="16.5" x14ac:dyDescent="0.2">
      <c r="A2291" s="4" t="s">
        <v>63</v>
      </c>
      <c r="B2291">
        <v>2291</v>
      </c>
      <c r="C2291">
        <f>MOD(B2291,8)</f>
        <v>3</v>
      </c>
    </row>
    <row r="2292" spans="1:3" ht="16.5" x14ac:dyDescent="0.2">
      <c r="A2292" s="4" t="s">
        <v>63</v>
      </c>
      <c r="B2292">
        <v>2292</v>
      </c>
      <c r="C2292">
        <f>MOD(B2292,8)</f>
        <v>4</v>
      </c>
    </row>
    <row r="2293" spans="1:3" ht="16.5" x14ac:dyDescent="0.2">
      <c r="A2293" s="4" t="s">
        <v>63</v>
      </c>
      <c r="B2293" s="15">
        <v>2293</v>
      </c>
      <c r="C2293">
        <f>MOD(B2293,8)</f>
        <v>5</v>
      </c>
    </row>
    <row r="2294" spans="1:3" ht="16.5" x14ac:dyDescent="0.2">
      <c r="A2294" s="4" t="s">
        <v>63</v>
      </c>
      <c r="B2294">
        <v>2294</v>
      </c>
      <c r="C2294">
        <f>MOD(B2294,8)</f>
        <v>6</v>
      </c>
    </row>
    <row r="2295" spans="1:3" ht="16.5" x14ac:dyDescent="0.2">
      <c r="A2295" s="4" t="s">
        <v>63</v>
      </c>
      <c r="B2295" s="15">
        <v>2295</v>
      </c>
      <c r="C2295">
        <f>MOD(B2295,8)</f>
        <v>7</v>
      </c>
    </row>
    <row r="2296" spans="1:3" ht="16.5" x14ac:dyDescent="0.2">
      <c r="A2296" s="4" t="s">
        <v>63</v>
      </c>
      <c r="B2296">
        <v>2296</v>
      </c>
      <c r="C2296">
        <f>MOD(B2296,8)</f>
        <v>0</v>
      </c>
    </row>
    <row r="2297" spans="1:3" ht="16.5" x14ac:dyDescent="0.2">
      <c r="A2297" s="4" t="s">
        <v>62</v>
      </c>
      <c r="B2297">
        <v>2297</v>
      </c>
      <c r="C2297">
        <f>MOD(B2297,8)</f>
        <v>1</v>
      </c>
    </row>
    <row r="2298" spans="1:3" ht="16.5" x14ac:dyDescent="0.2">
      <c r="A2298" s="4" t="s">
        <v>62</v>
      </c>
      <c r="B2298" s="15">
        <v>2298</v>
      </c>
      <c r="C2298">
        <f>MOD(B2298,8)</f>
        <v>2</v>
      </c>
    </row>
    <row r="2299" spans="1:3" ht="16.5" x14ac:dyDescent="0.2">
      <c r="A2299" s="4" t="s">
        <v>62</v>
      </c>
      <c r="B2299">
        <v>2299</v>
      </c>
      <c r="C2299">
        <f>MOD(B2299,8)</f>
        <v>3</v>
      </c>
    </row>
    <row r="2300" spans="1:3" ht="16.5" x14ac:dyDescent="0.2">
      <c r="A2300" s="4" t="s">
        <v>61</v>
      </c>
      <c r="B2300" s="15">
        <v>2300</v>
      </c>
      <c r="C2300">
        <f>MOD(B2300,8)</f>
        <v>4</v>
      </c>
    </row>
    <row r="2301" spans="1:3" ht="16.5" x14ac:dyDescent="0.2">
      <c r="A2301" s="4" t="s">
        <v>61</v>
      </c>
      <c r="B2301">
        <v>2301</v>
      </c>
      <c r="C2301">
        <f>MOD(B2301,8)</f>
        <v>5</v>
      </c>
    </row>
    <row r="2302" spans="1:3" ht="16.5" x14ac:dyDescent="0.2">
      <c r="A2302" s="4" t="s">
        <v>61</v>
      </c>
      <c r="B2302">
        <v>2302</v>
      </c>
      <c r="C2302">
        <f>MOD(B2302,8)</f>
        <v>6</v>
      </c>
    </row>
    <row r="2303" spans="1:3" ht="16.5" x14ac:dyDescent="0.2">
      <c r="A2303" s="4" t="s">
        <v>60</v>
      </c>
      <c r="B2303" s="15">
        <v>2303</v>
      </c>
      <c r="C2303">
        <f>MOD(B2303,8)</f>
        <v>7</v>
      </c>
    </row>
    <row r="2304" spans="1:3" ht="16.5" x14ac:dyDescent="0.2">
      <c r="A2304" s="4" t="s">
        <v>60</v>
      </c>
      <c r="B2304">
        <v>2304</v>
      </c>
      <c r="C2304">
        <f>MOD(B2304,8)</f>
        <v>0</v>
      </c>
    </row>
    <row r="2305" spans="1:3" ht="16.5" x14ac:dyDescent="0.2">
      <c r="A2305" s="4" t="s">
        <v>59</v>
      </c>
      <c r="B2305" s="15">
        <v>2305</v>
      </c>
      <c r="C2305">
        <f>MOD(B2305,8)</f>
        <v>1</v>
      </c>
    </row>
    <row r="2306" spans="1:3" ht="16.5" x14ac:dyDescent="0.2">
      <c r="A2306" s="4" t="s">
        <v>59</v>
      </c>
      <c r="B2306">
        <v>2306</v>
      </c>
      <c r="C2306">
        <f>MOD(B2306,8)</f>
        <v>2</v>
      </c>
    </row>
    <row r="2307" spans="1:3" ht="16.5" x14ac:dyDescent="0.2">
      <c r="A2307" s="4" t="s">
        <v>59</v>
      </c>
      <c r="B2307">
        <v>2307</v>
      </c>
      <c r="C2307">
        <f>MOD(B2307,8)</f>
        <v>3</v>
      </c>
    </row>
    <row r="2308" spans="1:3" ht="16.5" x14ac:dyDescent="0.2">
      <c r="A2308" s="4" t="s">
        <v>59</v>
      </c>
      <c r="B2308" s="15">
        <v>2308</v>
      </c>
      <c r="C2308">
        <f>MOD(B2308,8)</f>
        <v>4</v>
      </c>
    </row>
    <row r="2309" spans="1:3" ht="16.5" x14ac:dyDescent="0.2">
      <c r="A2309" s="4" t="s">
        <v>59</v>
      </c>
      <c r="B2309">
        <v>2309</v>
      </c>
      <c r="C2309">
        <f>MOD(B2309,8)</f>
        <v>5</v>
      </c>
    </row>
    <row r="2310" spans="1:3" ht="16.5" x14ac:dyDescent="0.2">
      <c r="A2310" s="4" t="s">
        <v>58</v>
      </c>
      <c r="B2310" s="15">
        <v>2310</v>
      </c>
      <c r="C2310">
        <f>MOD(B2310,8)</f>
        <v>6</v>
      </c>
    </row>
    <row r="2311" spans="1:3" ht="16.5" x14ac:dyDescent="0.2">
      <c r="A2311" s="4" t="s">
        <v>58</v>
      </c>
      <c r="B2311">
        <v>2311</v>
      </c>
      <c r="C2311">
        <f>MOD(B2311,8)</f>
        <v>7</v>
      </c>
    </row>
    <row r="2312" spans="1:3" ht="16.5" x14ac:dyDescent="0.2">
      <c r="A2312" s="4" t="s">
        <v>58</v>
      </c>
      <c r="B2312">
        <v>2312</v>
      </c>
      <c r="C2312">
        <f>MOD(B2312,8)</f>
        <v>0</v>
      </c>
    </row>
    <row r="2313" spans="1:3" ht="16.5" x14ac:dyDescent="0.2">
      <c r="A2313" s="4" t="s">
        <v>58</v>
      </c>
      <c r="B2313" s="15">
        <v>2313</v>
      </c>
      <c r="C2313">
        <f>MOD(B2313,8)</f>
        <v>1</v>
      </c>
    </row>
    <row r="2314" spans="1:3" ht="16.5" x14ac:dyDescent="0.2">
      <c r="A2314" s="4" t="s">
        <v>58</v>
      </c>
      <c r="B2314">
        <v>2314</v>
      </c>
      <c r="C2314">
        <f>MOD(B2314,8)</f>
        <v>2</v>
      </c>
    </row>
    <row r="2315" spans="1:3" ht="16.5" x14ac:dyDescent="0.2">
      <c r="A2315" s="4" t="s">
        <v>58</v>
      </c>
      <c r="B2315" s="15">
        <v>2315</v>
      </c>
      <c r="C2315">
        <f>MOD(B2315,8)</f>
        <v>3</v>
      </c>
    </row>
    <row r="2316" spans="1:3" ht="16.5" x14ac:dyDescent="0.2">
      <c r="A2316" s="4" t="s">
        <v>58</v>
      </c>
      <c r="B2316">
        <v>2316</v>
      </c>
      <c r="C2316">
        <f>MOD(B2316,8)</f>
        <v>4</v>
      </c>
    </row>
    <row r="2317" spans="1:3" ht="16.5" x14ac:dyDescent="0.2">
      <c r="A2317" s="4" t="s">
        <v>58</v>
      </c>
      <c r="B2317">
        <v>2317</v>
      </c>
      <c r="C2317">
        <f>MOD(B2317,8)</f>
        <v>5</v>
      </c>
    </row>
    <row r="2318" spans="1:3" ht="16.5" x14ac:dyDescent="0.2">
      <c r="A2318" s="4" t="s">
        <v>57</v>
      </c>
      <c r="B2318" s="15">
        <v>2318</v>
      </c>
      <c r="C2318">
        <f>MOD(B2318,8)</f>
        <v>6</v>
      </c>
    </row>
    <row r="2319" spans="1:3" ht="16.5" x14ac:dyDescent="0.2">
      <c r="A2319" s="4" t="s">
        <v>57</v>
      </c>
      <c r="B2319">
        <v>2319</v>
      </c>
      <c r="C2319">
        <f>MOD(B2319,8)</f>
        <v>7</v>
      </c>
    </row>
    <row r="2320" spans="1:3" ht="16.5" x14ac:dyDescent="0.2">
      <c r="A2320" s="4" t="s">
        <v>57</v>
      </c>
      <c r="B2320" s="15">
        <v>2320</v>
      </c>
      <c r="C2320">
        <f>MOD(B2320,8)</f>
        <v>0</v>
      </c>
    </row>
    <row r="2321" spans="1:3" ht="16.5" x14ac:dyDescent="0.2">
      <c r="A2321" s="4" t="s">
        <v>57</v>
      </c>
      <c r="B2321">
        <v>2321</v>
      </c>
      <c r="C2321">
        <f>MOD(B2321,8)</f>
        <v>1</v>
      </c>
    </row>
    <row r="2322" spans="1:3" ht="16.5" x14ac:dyDescent="0.2">
      <c r="A2322" s="4" t="s">
        <v>57</v>
      </c>
      <c r="B2322">
        <v>2322</v>
      </c>
      <c r="C2322">
        <f>MOD(B2322,8)</f>
        <v>2</v>
      </c>
    </row>
    <row r="2323" spans="1:3" ht="16.5" x14ac:dyDescent="0.2">
      <c r="A2323" s="4" t="s">
        <v>56</v>
      </c>
      <c r="B2323" s="15">
        <v>2323</v>
      </c>
      <c r="C2323">
        <f>MOD(B2323,8)</f>
        <v>3</v>
      </c>
    </row>
    <row r="2324" spans="1:3" ht="16.5" x14ac:dyDescent="0.2">
      <c r="A2324" s="4" t="s">
        <v>56</v>
      </c>
      <c r="B2324">
        <v>2324</v>
      </c>
      <c r="C2324">
        <f>MOD(B2324,8)</f>
        <v>4</v>
      </c>
    </row>
    <row r="2325" spans="1:3" ht="16.5" x14ac:dyDescent="0.2">
      <c r="A2325" s="4" t="s">
        <v>56</v>
      </c>
      <c r="B2325" s="15">
        <v>2325</v>
      </c>
      <c r="C2325">
        <f>MOD(B2325,8)</f>
        <v>5</v>
      </c>
    </row>
    <row r="2326" spans="1:3" ht="16.5" x14ac:dyDescent="0.2">
      <c r="A2326" s="4" t="s">
        <v>56</v>
      </c>
      <c r="B2326">
        <v>2326</v>
      </c>
      <c r="C2326">
        <f>MOD(B2326,8)</f>
        <v>6</v>
      </c>
    </row>
    <row r="2327" spans="1:3" ht="16.5" x14ac:dyDescent="0.2">
      <c r="A2327" s="4" t="s">
        <v>56</v>
      </c>
      <c r="B2327">
        <v>2327</v>
      </c>
      <c r="C2327">
        <f>MOD(B2327,8)</f>
        <v>7</v>
      </c>
    </row>
    <row r="2328" spans="1:3" ht="16.5" x14ac:dyDescent="0.2">
      <c r="A2328" s="4" t="s">
        <v>56</v>
      </c>
      <c r="B2328" s="15">
        <v>2328</v>
      </c>
      <c r="C2328">
        <f>MOD(B2328,8)</f>
        <v>0</v>
      </c>
    </row>
    <row r="2329" spans="1:3" ht="16.5" x14ac:dyDescent="0.2">
      <c r="A2329" s="4" t="s">
        <v>56</v>
      </c>
      <c r="B2329">
        <v>2329</v>
      </c>
      <c r="C2329">
        <f>MOD(B2329,8)</f>
        <v>1</v>
      </c>
    </row>
    <row r="2330" spans="1:3" ht="16.5" x14ac:dyDescent="0.2">
      <c r="A2330" s="4" t="s">
        <v>56</v>
      </c>
      <c r="B2330" s="15">
        <v>2330</v>
      </c>
      <c r="C2330">
        <f>MOD(B2330,8)</f>
        <v>2</v>
      </c>
    </row>
    <row r="2331" spans="1:3" ht="16.5" x14ac:dyDescent="0.2">
      <c r="A2331" s="4" t="s">
        <v>55</v>
      </c>
      <c r="B2331">
        <v>2331</v>
      </c>
      <c r="C2331">
        <f>MOD(B2331,8)</f>
        <v>3</v>
      </c>
    </row>
    <row r="2332" spans="1:3" ht="16.5" x14ac:dyDescent="0.2">
      <c r="A2332" s="4" t="s">
        <v>55</v>
      </c>
      <c r="B2332">
        <v>2332</v>
      </c>
      <c r="C2332">
        <f>MOD(B2332,8)</f>
        <v>4</v>
      </c>
    </row>
    <row r="2333" spans="1:3" ht="16.5" x14ac:dyDescent="0.2">
      <c r="A2333" s="4" t="s">
        <v>55</v>
      </c>
      <c r="B2333" s="15">
        <v>2333</v>
      </c>
      <c r="C2333">
        <f>MOD(B2333,8)</f>
        <v>5</v>
      </c>
    </row>
    <row r="2334" spans="1:3" ht="16.5" x14ac:dyDescent="0.2">
      <c r="A2334" s="4" t="s">
        <v>55</v>
      </c>
      <c r="B2334">
        <v>2334</v>
      </c>
      <c r="C2334">
        <f>MOD(B2334,8)</f>
        <v>6</v>
      </c>
    </row>
    <row r="2335" spans="1:3" ht="16.5" x14ac:dyDescent="0.2">
      <c r="A2335" s="4" t="s">
        <v>55</v>
      </c>
      <c r="B2335" s="15">
        <v>2335</v>
      </c>
      <c r="C2335">
        <f>MOD(B2335,8)</f>
        <v>7</v>
      </c>
    </row>
    <row r="2336" spans="1:3" ht="16.5" x14ac:dyDescent="0.2">
      <c r="A2336" s="4" t="s">
        <v>55</v>
      </c>
      <c r="B2336">
        <v>2336</v>
      </c>
      <c r="C2336">
        <f>MOD(B2336,8)</f>
        <v>0</v>
      </c>
    </row>
    <row r="2337" spans="1:3" ht="16.5" x14ac:dyDescent="0.2">
      <c r="A2337" s="4" t="s">
        <v>55</v>
      </c>
      <c r="B2337">
        <v>2337</v>
      </c>
      <c r="C2337">
        <f>MOD(B2337,8)</f>
        <v>1</v>
      </c>
    </row>
    <row r="2338" spans="1:3" ht="16.5" x14ac:dyDescent="0.2">
      <c r="A2338" s="4" t="s">
        <v>55</v>
      </c>
      <c r="B2338" s="15">
        <v>2338</v>
      </c>
      <c r="C2338">
        <f>MOD(B2338,8)</f>
        <v>2</v>
      </c>
    </row>
    <row r="2339" spans="1:3" ht="16.5" x14ac:dyDescent="0.2">
      <c r="A2339" s="4" t="s">
        <v>54</v>
      </c>
      <c r="B2339">
        <v>2339</v>
      </c>
      <c r="C2339">
        <f>MOD(B2339,8)</f>
        <v>3</v>
      </c>
    </row>
    <row r="2340" spans="1:3" ht="16.5" x14ac:dyDescent="0.2">
      <c r="A2340" s="4" t="s">
        <v>54</v>
      </c>
      <c r="B2340" s="15">
        <v>2340</v>
      </c>
      <c r="C2340">
        <f>MOD(B2340,8)</f>
        <v>4</v>
      </c>
    </row>
    <row r="2341" spans="1:3" ht="16.5" x14ac:dyDescent="0.2">
      <c r="A2341" s="4" t="s">
        <v>54</v>
      </c>
      <c r="B2341">
        <v>2341</v>
      </c>
      <c r="C2341">
        <f>MOD(B2341,8)</f>
        <v>5</v>
      </c>
    </row>
    <row r="2342" spans="1:3" ht="16.5" x14ac:dyDescent="0.2">
      <c r="A2342" s="4" t="s">
        <v>54</v>
      </c>
      <c r="B2342">
        <v>2342</v>
      </c>
      <c r="C2342">
        <f>MOD(B2342,8)</f>
        <v>6</v>
      </c>
    </row>
    <row r="2343" spans="1:3" ht="16.5" x14ac:dyDescent="0.2">
      <c r="A2343" s="4" t="s">
        <v>54</v>
      </c>
      <c r="B2343" s="15">
        <v>2343</v>
      </c>
      <c r="C2343">
        <f>MOD(B2343,8)</f>
        <v>7</v>
      </c>
    </row>
    <row r="2344" spans="1:3" ht="16.5" x14ac:dyDescent="0.2">
      <c r="A2344" s="4" t="s">
        <v>54</v>
      </c>
      <c r="B2344">
        <v>2344</v>
      </c>
      <c r="C2344">
        <f>MOD(B2344,8)</f>
        <v>0</v>
      </c>
    </row>
    <row r="2345" spans="1:3" ht="16.5" x14ac:dyDescent="0.2">
      <c r="A2345" s="4" t="s">
        <v>53</v>
      </c>
      <c r="B2345" s="15">
        <v>2345</v>
      </c>
      <c r="C2345">
        <f>MOD(B2345,8)</f>
        <v>1</v>
      </c>
    </row>
    <row r="2346" spans="1:3" ht="16.5" x14ac:dyDescent="0.2">
      <c r="A2346" s="4" t="s">
        <v>53</v>
      </c>
      <c r="B2346">
        <v>2346</v>
      </c>
      <c r="C2346">
        <f>MOD(B2346,8)</f>
        <v>2</v>
      </c>
    </row>
    <row r="2347" spans="1:3" ht="16.5" x14ac:dyDescent="0.2">
      <c r="A2347" s="4" t="s">
        <v>53</v>
      </c>
      <c r="B2347">
        <v>2347</v>
      </c>
      <c r="C2347">
        <f>MOD(B2347,8)</f>
        <v>3</v>
      </c>
    </row>
    <row r="2348" spans="1:3" ht="16.5" x14ac:dyDescent="0.2">
      <c r="A2348" s="4" t="s">
        <v>53</v>
      </c>
      <c r="B2348" s="15">
        <v>2348</v>
      </c>
      <c r="C2348">
        <f>MOD(B2348,8)</f>
        <v>4</v>
      </c>
    </row>
    <row r="2349" spans="1:3" ht="16.5" x14ac:dyDescent="0.2">
      <c r="A2349" s="4" t="s">
        <v>53</v>
      </c>
      <c r="B2349">
        <v>2349</v>
      </c>
      <c r="C2349">
        <f>MOD(B2349,8)</f>
        <v>5</v>
      </c>
    </row>
    <row r="2350" spans="1:3" ht="16.5" x14ac:dyDescent="0.2">
      <c r="A2350" s="4" t="s">
        <v>53</v>
      </c>
      <c r="B2350" s="15">
        <v>2350</v>
      </c>
      <c r="C2350">
        <f>MOD(B2350,8)</f>
        <v>6</v>
      </c>
    </row>
    <row r="2351" spans="1:3" ht="16.5" x14ac:dyDescent="0.2">
      <c r="A2351" s="4" t="s">
        <v>53</v>
      </c>
      <c r="B2351">
        <v>2351</v>
      </c>
      <c r="C2351">
        <f>MOD(B2351,8)</f>
        <v>7</v>
      </c>
    </row>
    <row r="2352" spans="1:3" ht="16.5" x14ac:dyDescent="0.2">
      <c r="A2352" s="4" t="s">
        <v>53</v>
      </c>
      <c r="B2352">
        <v>2352</v>
      </c>
      <c r="C2352">
        <f>MOD(B2352,8)</f>
        <v>0</v>
      </c>
    </row>
    <row r="2353" spans="1:3" ht="16.5" x14ac:dyDescent="0.2">
      <c r="A2353" s="4" t="s">
        <v>52</v>
      </c>
      <c r="B2353" s="15">
        <v>2353</v>
      </c>
      <c r="C2353">
        <f>MOD(B2353,8)</f>
        <v>1</v>
      </c>
    </row>
    <row r="2354" spans="1:3" ht="16.5" x14ac:dyDescent="0.2">
      <c r="A2354" s="4" t="s">
        <v>52</v>
      </c>
      <c r="B2354">
        <v>2354</v>
      </c>
      <c r="C2354">
        <f>MOD(B2354,8)</f>
        <v>2</v>
      </c>
    </row>
    <row r="2355" spans="1:3" ht="16.5" x14ac:dyDescent="0.2">
      <c r="A2355" s="4" t="s">
        <v>52</v>
      </c>
      <c r="B2355" s="15">
        <v>2355</v>
      </c>
      <c r="C2355">
        <f>MOD(B2355,8)</f>
        <v>3</v>
      </c>
    </row>
    <row r="2356" spans="1:3" ht="16.5" x14ac:dyDescent="0.2">
      <c r="A2356" s="4" t="s">
        <v>52</v>
      </c>
      <c r="B2356">
        <v>2356</v>
      </c>
      <c r="C2356">
        <f>MOD(B2356,8)</f>
        <v>4</v>
      </c>
    </row>
    <row r="2357" spans="1:3" ht="16.5" x14ac:dyDescent="0.2">
      <c r="A2357" s="4" t="s">
        <v>52</v>
      </c>
      <c r="B2357">
        <v>2357</v>
      </c>
      <c r="C2357">
        <f>MOD(B2357,8)</f>
        <v>5</v>
      </c>
    </row>
    <row r="2358" spans="1:3" ht="16.5" x14ac:dyDescent="0.2">
      <c r="A2358" s="4" t="s">
        <v>52</v>
      </c>
      <c r="B2358" s="15">
        <v>2358</v>
      </c>
      <c r="C2358">
        <f>MOD(B2358,8)</f>
        <v>6</v>
      </c>
    </row>
    <row r="2359" spans="1:3" ht="16.5" x14ac:dyDescent="0.2">
      <c r="A2359" s="4" t="s">
        <v>52</v>
      </c>
      <c r="B2359">
        <v>2359</v>
      </c>
      <c r="C2359">
        <f>MOD(B2359,8)</f>
        <v>7</v>
      </c>
    </row>
    <row r="2360" spans="1:3" ht="16.5" x14ac:dyDescent="0.2">
      <c r="A2360" s="4" t="s">
        <v>52</v>
      </c>
      <c r="B2360" s="15">
        <v>2360</v>
      </c>
      <c r="C2360">
        <f>MOD(B2360,8)</f>
        <v>0</v>
      </c>
    </row>
    <row r="2361" spans="1:3" ht="16.5" x14ac:dyDescent="0.2">
      <c r="A2361" s="4" t="s">
        <v>51</v>
      </c>
      <c r="B2361">
        <v>2361</v>
      </c>
      <c r="C2361">
        <f>MOD(B2361,8)</f>
        <v>1</v>
      </c>
    </row>
    <row r="2362" spans="1:3" ht="16.5" x14ac:dyDescent="0.2">
      <c r="A2362" s="4" t="s">
        <v>51</v>
      </c>
      <c r="B2362">
        <v>2362</v>
      </c>
      <c r="C2362">
        <f>MOD(B2362,8)</f>
        <v>2</v>
      </c>
    </row>
    <row r="2363" spans="1:3" ht="16.5" x14ac:dyDescent="0.2">
      <c r="A2363" s="4" t="s">
        <v>51</v>
      </c>
      <c r="B2363" s="15">
        <v>2363</v>
      </c>
      <c r="C2363">
        <f>MOD(B2363,8)</f>
        <v>3</v>
      </c>
    </row>
    <row r="2364" spans="1:3" ht="16.5" x14ac:dyDescent="0.2">
      <c r="A2364" s="4" t="s">
        <v>51</v>
      </c>
      <c r="B2364">
        <v>2364</v>
      </c>
      <c r="C2364">
        <f>MOD(B2364,8)</f>
        <v>4</v>
      </c>
    </row>
    <row r="2365" spans="1:3" ht="16.5" x14ac:dyDescent="0.2">
      <c r="A2365" s="4" t="s">
        <v>51</v>
      </c>
      <c r="B2365" s="15">
        <v>2365</v>
      </c>
      <c r="C2365">
        <f>MOD(B2365,8)</f>
        <v>5</v>
      </c>
    </row>
    <row r="2366" spans="1:3" ht="16.5" x14ac:dyDescent="0.2">
      <c r="A2366" s="4" t="s">
        <v>51</v>
      </c>
      <c r="B2366">
        <v>2366</v>
      </c>
      <c r="C2366">
        <f>MOD(B2366,8)</f>
        <v>6</v>
      </c>
    </row>
    <row r="2367" spans="1:3" ht="16.5" x14ac:dyDescent="0.2">
      <c r="A2367" s="4" t="s">
        <v>51</v>
      </c>
      <c r="B2367">
        <v>2367</v>
      </c>
      <c r="C2367">
        <f>MOD(B2367,8)</f>
        <v>7</v>
      </c>
    </row>
    <row r="2368" spans="1:3" ht="16.5" x14ac:dyDescent="0.2">
      <c r="A2368" s="4" t="s">
        <v>51</v>
      </c>
      <c r="B2368" s="15">
        <v>2368</v>
      </c>
      <c r="C2368">
        <f>MOD(B2368,8)</f>
        <v>0</v>
      </c>
    </row>
    <row r="2369" spans="1:3" ht="16.5" x14ac:dyDescent="0.2">
      <c r="A2369" s="4" t="s">
        <v>50</v>
      </c>
      <c r="B2369">
        <v>2369</v>
      </c>
      <c r="C2369">
        <f>MOD(B2369,8)</f>
        <v>1</v>
      </c>
    </row>
    <row r="2370" spans="1:3" ht="16.5" x14ac:dyDescent="0.2">
      <c r="A2370" s="4" t="s">
        <v>50</v>
      </c>
      <c r="B2370" s="15">
        <v>2370</v>
      </c>
      <c r="C2370">
        <f>MOD(B2370,8)</f>
        <v>2</v>
      </c>
    </row>
    <row r="2371" spans="1:3" ht="16.5" x14ac:dyDescent="0.2">
      <c r="A2371" s="4" t="s">
        <v>50</v>
      </c>
      <c r="B2371">
        <v>2371</v>
      </c>
      <c r="C2371">
        <f>MOD(B2371,8)</f>
        <v>3</v>
      </c>
    </row>
    <row r="2372" spans="1:3" ht="16.5" x14ac:dyDescent="0.2">
      <c r="A2372" s="4" t="s">
        <v>50</v>
      </c>
      <c r="B2372">
        <v>2372</v>
      </c>
      <c r="C2372">
        <f>MOD(B2372,8)</f>
        <v>4</v>
      </c>
    </row>
    <row r="2373" spans="1:3" ht="16.5" x14ac:dyDescent="0.2">
      <c r="A2373" s="4" t="s">
        <v>50</v>
      </c>
      <c r="B2373" s="15">
        <v>2373</v>
      </c>
      <c r="C2373">
        <f>MOD(B2373,8)</f>
        <v>5</v>
      </c>
    </row>
    <row r="2374" spans="1:3" ht="16.5" x14ac:dyDescent="0.2">
      <c r="A2374" s="4" t="s">
        <v>50</v>
      </c>
      <c r="B2374">
        <v>2374</v>
      </c>
      <c r="C2374">
        <f>MOD(B2374,8)</f>
        <v>6</v>
      </c>
    </row>
    <row r="2375" spans="1:3" ht="16.5" x14ac:dyDescent="0.2">
      <c r="A2375" s="4" t="s">
        <v>50</v>
      </c>
      <c r="B2375" s="15">
        <v>2375</v>
      </c>
      <c r="C2375">
        <f>MOD(B2375,8)</f>
        <v>7</v>
      </c>
    </row>
    <row r="2376" spans="1:3" ht="16.5" x14ac:dyDescent="0.2">
      <c r="A2376" s="4" t="s">
        <v>50</v>
      </c>
      <c r="B2376">
        <v>2376</v>
      </c>
      <c r="C2376">
        <f>MOD(B2376,8)</f>
        <v>0</v>
      </c>
    </row>
    <row r="2377" spans="1:3" ht="16.5" x14ac:dyDescent="0.2">
      <c r="A2377" s="4" t="s">
        <v>49</v>
      </c>
      <c r="B2377">
        <v>2377</v>
      </c>
      <c r="C2377">
        <f>MOD(B2377,8)</f>
        <v>1</v>
      </c>
    </row>
    <row r="2378" spans="1:3" ht="16.5" x14ac:dyDescent="0.2">
      <c r="A2378" s="4" t="s">
        <v>49</v>
      </c>
      <c r="B2378" s="15">
        <v>2378</v>
      </c>
      <c r="C2378">
        <f>MOD(B2378,8)</f>
        <v>2</v>
      </c>
    </row>
    <row r="2379" spans="1:3" ht="16.5" x14ac:dyDescent="0.2">
      <c r="A2379" s="4" t="s">
        <v>49</v>
      </c>
      <c r="B2379">
        <v>2379</v>
      </c>
      <c r="C2379">
        <f>MOD(B2379,8)</f>
        <v>3</v>
      </c>
    </row>
    <row r="2380" spans="1:3" ht="16.5" x14ac:dyDescent="0.2">
      <c r="A2380" s="4" t="s">
        <v>49</v>
      </c>
      <c r="B2380" s="15">
        <v>2380</v>
      </c>
      <c r="C2380">
        <f>MOD(B2380,8)</f>
        <v>4</v>
      </c>
    </row>
    <row r="2381" spans="1:3" ht="16.5" x14ac:dyDescent="0.2">
      <c r="A2381" s="4" t="s">
        <v>49</v>
      </c>
      <c r="B2381">
        <v>2381</v>
      </c>
      <c r="C2381">
        <f>MOD(B2381,8)</f>
        <v>5</v>
      </c>
    </row>
    <row r="2382" spans="1:3" ht="16.5" x14ac:dyDescent="0.2">
      <c r="A2382" s="4" t="s">
        <v>49</v>
      </c>
      <c r="B2382">
        <v>2382</v>
      </c>
      <c r="C2382">
        <f>MOD(B2382,8)</f>
        <v>6</v>
      </c>
    </row>
    <row r="2383" spans="1:3" ht="16.5" x14ac:dyDescent="0.2">
      <c r="A2383" s="4" t="s">
        <v>49</v>
      </c>
      <c r="B2383" s="15">
        <v>2383</v>
      </c>
      <c r="C2383">
        <f>MOD(B2383,8)</f>
        <v>7</v>
      </c>
    </row>
    <row r="2384" spans="1:3" ht="16.5" x14ac:dyDescent="0.2">
      <c r="A2384" s="4" t="s">
        <v>49</v>
      </c>
      <c r="B2384">
        <v>2384</v>
      </c>
      <c r="C2384">
        <f>MOD(B2384,8)</f>
        <v>0</v>
      </c>
    </row>
    <row r="2385" spans="1:3" ht="16.5" x14ac:dyDescent="0.2">
      <c r="A2385" s="4" t="s">
        <v>48</v>
      </c>
      <c r="B2385" s="15">
        <v>2385</v>
      </c>
      <c r="C2385">
        <f>MOD(B2385,8)</f>
        <v>1</v>
      </c>
    </row>
    <row r="2386" spans="1:3" ht="16.5" x14ac:dyDescent="0.2">
      <c r="A2386" s="4" t="s">
        <v>48</v>
      </c>
      <c r="B2386">
        <v>2386</v>
      </c>
      <c r="C2386">
        <f>MOD(B2386,8)</f>
        <v>2</v>
      </c>
    </row>
    <row r="2387" spans="1:3" ht="16.5" x14ac:dyDescent="0.2">
      <c r="A2387" s="4" t="s">
        <v>48</v>
      </c>
      <c r="B2387">
        <v>2387</v>
      </c>
      <c r="C2387">
        <f>MOD(B2387,8)</f>
        <v>3</v>
      </c>
    </row>
    <row r="2388" spans="1:3" ht="16.5" x14ac:dyDescent="0.2">
      <c r="A2388" s="4" t="s">
        <v>48</v>
      </c>
      <c r="B2388" s="15">
        <v>2388</v>
      </c>
      <c r="C2388">
        <f>MOD(B2388,8)</f>
        <v>4</v>
      </c>
    </row>
    <row r="2389" spans="1:3" ht="16.5" x14ac:dyDescent="0.2">
      <c r="A2389" s="4" t="s">
        <v>48</v>
      </c>
      <c r="B2389">
        <v>2389</v>
      </c>
      <c r="C2389">
        <f>MOD(B2389,8)</f>
        <v>5</v>
      </c>
    </row>
    <row r="2390" spans="1:3" ht="16.5" x14ac:dyDescent="0.2">
      <c r="A2390" s="4" t="s">
        <v>48</v>
      </c>
      <c r="B2390" s="15">
        <v>2390</v>
      </c>
      <c r="C2390">
        <f>MOD(B2390,8)</f>
        <v>6</v>
      </c>
    </row>
    <row r="2391" spans="1:3" ht="16.5" x14ac:dyDescent="0.2">
      <c r="A2391" s="4" t="s">
        <v>48</v>
      </c>
      <c r="B2391">
        <v>2391</v>
      </c>
      <c r="C2391">
        <f>MOD(B2391,8)</f>
        <v>7</v>
      </c>
    </row>
    <row r="2392" spans="1:3" ht="16.5" x14ac:dyDescent="0.2">
      <c r="A2392" s="4" t="s">
        <v>48</v>
      </c>
      <c r="B2392">
        <v>2392</v>
      </c>
      <c r="C2392">
        <f>MOD(B2392,8)</f>
        <v>0</v>
      </c>
    </row>
    <row r="2393" spans="1:3" ht="16.5" x14ac:dyDescent="0.2">
      <c r="A2393" s="4" t="s">
        <v>47</v>
      </c>
      <c r="B2393" s="15">
        <v>2393</v>
      </c>
      <c r="C2393">
        <f>MOD(B2393,8)</f>
        <v>1</v>
      </c>
    </row>
    <row r="2394" spans="1:3" ht="16.5" x14ac:dyDescent="0.2">
      <c r="A2394" s="4" t="s">
        <v>47</v>
      </c>
      <c r="B2394">
        <v>2394</v>
      </c>
      <c r="C2394">
        <f>MOD(B2394,8)</f>
        <v>2</v>
      </c>
    </row>
    <row r="2395" spans="1:3" ht="16.5" x14ac:dyDescent="0.2">
      <c r="A2395" s="4" t="s">
        <v>47</v>
      </c>
      <c r="B2395" s="15">
        <v>2395</v>
      </c>
      <c r="C2395">
        <f>MOD(B2395,8)</f>
        <v>3</v>
      </c>
    </row>
    <row r="2396" spans="1:3" ht="16.5" x14ac:dyDescent="0.2">
      <c r="A2396" s="4" t="s">
        <v>47</v>
      </c>
      <c r="B2396">
        <v>2396</v>
      </c>
      <c r="C2396">
        <f>MOD(B2396,8)</f>
        <v>4</v>
      </c>
    </row>
    <row r="2397" spans="1:3" ht="16.5" x14ac:dyDescent="0.2">
      <c r="A2397" s="4" t="s">
        <v>47</v>
      </c>
      <c r="B2397">
        <v>2397</v>
      </c>
      <c r="C2397">
        <f>MOD(B2397,8)</f>
        <v>5</v>
      </c>
    </row>
    <row r="2398" spans="1:3" ht="16.5" x14ac:dyDescent="0.2">
      <c r="A2398" s="4" t="s">
        <v>47</v>
      </c>
      <c r="B2398" s="15">
        <v>2398</v>
      </c>
      <c r="C2398">
        <f>MOD(B2398,8)</f>
        <v>6</v>
      </c>
    </row>
    <row r="2399" spans="1:3" ht="16.5" x14ac:dyDescent="0.2">
      <c r="A2399" s="4" t="s">
        <v>47</v>
      </c>
      <c r="B2399">
        <v>2399</v>
      </c>
      <c r="C2399">
        <f>MOD(B2399,8)</f>
        <v>7</v>
      </c>
    </row>
    <row r="2400" spans="1:3" ht="16.5" x14ac:dyDescent="0.2">
      <c r="A2400" s="4" t="s">
        <v>47</v>
      </c>
      <c r="B2400" s="15">
        <v>2400</v>
      </c>
      <c r="C2400">
        <f>MOD(B2400,8)</f>
        <v>0</v>
      </c>
    </row>
    <row r="2401" spans="1:3" ht="16.5" x14ac:dyDescent="0.2">
      <c r="A2401" s="4" t="s">
        <v>46</v>
      </c>
      <c r="B2401">
        <v>2401</v>
      </c>
      <c r="C2401">
        <f>MOD(B2401,8)</f>
        <v>1</v>
      </c>
    </row>
    <row r="2402" spans="1:3" ht="16.5" x14ac:dyDescent="0.2">
      <c r="A2402" s="4" t="s">
        <v>46</v>
      </c>
      <c r="B2402">
        <v>2402</v>
      </c>
      <c r="C2402">
        <f>MOD(B2402,8)</f>
        <v>2</v>
      </c>
    </row>
    <row r="2403" spans="1:3" ht="16.5" x14ac:dyDescent="0.2">
      <c r="A2403" s="4" t="s">
        <v>46</v>
      </c>
      <c r="B2403" s="15">
        <v>2403</v>
      </c>
      <c r="C2403">
        <f>MOD(B2403,8)</f>
        <v>3</v>
      </c>
    </row>
    <row r="2404" spans="1:3" ht="16.5" x14ac:dyDescent="0.2">
      <c r="A2404" s="4" t="s">
        <v>46</v>
      </c>
      <c r="B2404">
        <v>2404</v>
      </c>
      <c r="C2404">
        <f>MOD(B2404,8)</f>
        <v>4</v>
      </c>
    </row>
    <row r="2405" spans="1:3" ht="16.5" x14ac:dyDescent="0.2">
      <c r="A2405" s="4" t="s">
        <v>46</v>
      </c>
      <c r="B2405" s="15">
        <v>2405</v>
      </c>
      <c r="C2405">
        <f>MOD(B2405,8)</f>
        <v>5</v>
      </c>
    </row>
    <row r="2406" spans="1:3" ht="16.5" x14ac:dyDescent="0.2">
      <c r="A2406" s="4" t="s">
        <v>46</v>
      </c>
      <c r="B2406">
        <v>2406</v>
      </c>
      <c r="C2406">
        <f>MOD(B2406,8)</f>
        <v>6</v>
      </c>
    </row>
    <row r="2407" spans="1:3" ht="16.5" x14ac:dyDescent="0.2">
      <c r="A2407" s="4" t="s">
        <v>46</v>
      </c>
      <c r="B2407">
        <v>2407</v>
      </c>
      <c r="C2407">
        <f>MOD(B2407,8)</f>
        <v>7</v>
      </c>
    </row>
    <row r="2408" spans="1:3" ht="16.5" x14ac:dyDescent="0.2">
      <c r="A2408" s="4" t="s">
        <v>46</v>
      </c>
      <c r="B2408" s="15">
        <v>2408</v>
      </c>
      <c r="C2408">
        <f>MOD(B2408,8)</f>
        <v>0</v>
      </c>
    </row>
    <row r="2409" spans="1:3" ht="16.5" x14ac:dyDescent="0.2">
      <c r="A2409" s="4" t="s">
        <v>45</v>
      </c>
      <c r="B2409">
        <v>2409</v>
      </c>
      <c r="C2409">
        <f>MOD(B2409,8)</f>
        <v>1</v>
      </c>
    </row>
    <row r="2410" spans="1:3" ht="16.5" x14ac:dyDescent="0.2">
      <c r="A2410" s="4" t="s">
        <v>45</v>
      </c>
      <c r="B2410" s="15">
        <v>2410</v>
      </c>
      <c r="C2410">
        <f>MOD(B2410,8)</f>
        <v>2</v>
      </c>
    </row>
    <row r="2411" spans="1:3" ht="16.5" x14ac:dyDescent="0.2">
      <c r="A2411" s="4" t="s">
        <v>45</v>
      </c>
      <c r="B2411">
        <v>2411</v>
      </c>
      <c r="C2411">
        <f>MOD(B2411,8)</f>
        <v>3</v>
      </c>
    </row>
    <row r="2412" spans="1:3" ht="16.5" x14ac:dyDescent="0.2">
      <c r="A2412" s="4" t="s">
        <v>45</v>
      </c>
      <c r="B2412">
        <v>2412</v>
      </c>
      <c r="C2412">
        <f>MOD(B2412,8)</f>
        <v>4</v>
      </c>
    </row>
    <row r="2413" spans="1:3" ht="16.5" x14ac:dyDescent="0.2">
      <c r="A2413" s="4" t="s">
        <v>45</v>
      </c>
      <c r="B2413" s="15">
        <v>2413</v>
      </c>
      <c r="C2413">
        <f>MOD(B2413,8)</f>
        <v>5</v>
      </c>
    </row>
    <row r="2414" spans="1:3" ht="16.5" x14ac:dyDescent="0.2">
      <c r="A2414" s="4" t="s">
        <v>45</v>
      </c>
      <c r="B2414">
        <v>2414</v>
      </c>
      <c r="C2414">
        <f>MOD(B2414,8)</f>
        <v>6</v>
      </c>
    </row>
    <row r="2415" spans="1:3" ht="16.5" x14ac:dyDescent="0.2">
      <c r="A2415" s="4" t="s">
        <v>45</v>
      </c>
      <c r="B2415" s="15">
        <v>2415</v>
      </c>
      <c r="C2415">
        <f>MOD(B2415,8)</f>
        <v>7</v>
      </c>
    </row>
    <row r="2416" spans="1:3" ht="16.5" x14ac:dyDescent="0.2">
      <c r="A2416" s="4" t="s">
        <v>45</v>
      </c>
      <c r="B2416">
        <v>2416</v>
      </c>
      <c r="C2416">
        <f>MOD(B2416,8)</f>
        <v>0</v>
      </c>
    </row>
    <row r="2417" spans="1:3" ht="16.5" x14ac:dyDescent="0.2">
      <c r="A2417" s="4" t="s">
        <v>44</v>
      </c>
      <c r="B2417">
        <v>2417</v>
      </c>
      <c r="C2417">
        <f>MOD(B2417,8)</f>
        <v>1</v>
      </c>
    </row>
    <row r="2418" spans="1:3" ht="16.5" x14ac:dyDescent="0.2">
      <c r="A2418" s="4" t="s">
        <v>44</v>
      </c>
      <c r="B2418" s="15">
        <v>2418</v>
      </c>
      <c r="C2418">
        <f>MOD(B2418,8)</f>
        <v>2</v>
      </c>
    </row>
    <row r="2419" spans="1:3" ht="16.5" x14ac:dyDescent="0.2">
      <c r="A2419" s="4" t="s">
        <v>44</v>
      </c>
      <c r="B2419">
        <v>2419</v>
      </c>
      <c r="C2419">
        <f>MOD(B2419,8)</f>
        <v>3</v>
      </c>
    </row>
    <row r="2420" spans="1:3" ht="16.5" x14ac:dyDescent="0.2">
      <c r="A2420" s="4" t="s">
        <v>44</v>
      </c>
      <c r="B2420" s="15">
        <v>2420</v>
      </c>
      <c r="C2420">
        <f>MOD(B2420,8)</f>
        <v>4</v>
      </c>
    </row>
    <row r="2421" spans="1:3" ht="16.5" x14ac:dyDescent="0.2">
      <c r="A2421" s="4" t="s">
        <v>44</v>
      </c>
      <c r="B2421">
        <v>2421</v>
      </c>
      <c r="C2421">
        <f>MOD(B2421,8)</f>
        <v>5</v>
      </c>
    </row>
    <row r="2422" spans="1:3" ht="16.5" x14ac:dyDescent="0.2">
      <c r="A2422" s="4" t="s">
        <v>44</v>
      </c>
      <c r="B2422">
        <v>2422</v>
      </c>
      <c r="C2422">
        <f>MOD(B2422,8)</f>
        <v>6</v>
      </c>
    </row>
    <row r="2423" spans="1:3" ht="16.5" x14ac:dyDescent="0.2">
      <c r="A2423" s="4" t="s">
        <v>44</v>
      </c>
      <c r="B2423" s="15">
        <v>2423</v>
      </c>
      <c r="C2423">
        <f>MOD(B2423,8)</f>
        <v>7</v>
      </c>
    </row>
    <row r="2424" spans="1:3" ht="16.5" x14ac:dyDescent="0.2">
      <c r="A2424" s="4" t="s">
        <v>44</v>
      </c>
      <c r="B2424">
        <v>2424</v>
      </c>
      <c r="C2424">
        <f>MOD(B2424,8)</f>
        <v>0</v>
      </c>
    </row>
    <row r="2425" spans="1:3" ht="16.5" x14ac:dyDescent="0.2">
      <c r="A2425" s="4" t="s">
        <v>43</v>
      </c>
      <c r="B2425" s="15">
        <v>2425</v>
      </c>
      <c r="C2425">
        <f>MOD(B2425,8)</f>
        <v>1</v>
      </c>
    </row>
    <row r="2426" spans="1:3" ht="16.5" x14ac:dyDescent="0.2">
      <c r="A2426" s="4" t="s">
        <v>43</v>
      </c>
      <c r="B2426">
        <v>2426</v>
      </c>
      <c r="C2426">
        <f>MOD(B2426,8)</f>
        <v>2</v>
      </c>
    </row>
    <row r="2427" spans="1:3" ht="16.5" x14ac:dyDescent="0.2">
      <c r="A2427" s="4" t="s">
        <v>43</v>
      </c>
      <c r="B2427">
        <v>2427</v>
      </c>
      <c r="C2427">
        <f>MOD(B2427,8)</f>
        <v>3</v>
      </c>
    </row>
    <row r="2428" spans="1:3" ht="16.5" x14ac:dyDescent="0.2">
      <c r="A2428" s="4" t="s">
        <v>43</v>
      </c>
      <c r="B2428" s="15">
        <v>2428</v>
      </c>
      <c r="C2428">
        <f>MOD(B2428,8)</f>
        <v>4</v>
      </c>
    </row>
    <row r="2429" spans="1:3" ht="16.5" x14ac:dyDescent="0.2">
      <c r="A2429" s="4" t="s">
        <v>43</v>
      </c>
      <c r="B2429">
        <v>2429</v>
      </c>
      <c r="C2429">
        <f>MOD(B2429,8)</f>
        <v>5</v>
      </c>
    </row>
    <row r="2430" spans="1:3" ht="16.5" x14ac:dyDescent="0.2">
      <c r="A2430" s="4" t="s">
        <v>43</v>
      </c>
      <c r="B2430" s="15">
        <v>2430</v>
      </c>
      <c r="C2430">
        <f>MOD(B2430,8)</f>
        <v>6</v>
      </c>
    </row>
    <row r="2431" spans="1:3" ht="16.5" x14ac:dyDescent="0.2">
      <c r="A2431" s="4" t="s">
        <v>43</v>
      </c>
      <c r="B2431">
        <v>2431</v>
      </c>
      <c r="C2431">
        <f>MOD(B2431,8)</f>
        <v>7</v>
      </c>
    </row>
    <row r="2432" spans="1:3" ht="16.5" x14ac:dyDescent="0.2">
      <c r="A2432" s="4" t="s">
        <v>43</v>
      </c>
      <c r="B2432">
        <v>2432</v>
      </c>
      <c r="C2432">
        <f>MOD(B2432,8)</f>
        <v>0</v>
      </c>
    </row>
    <row r="2433" spans="1:3" ht="16.5" x14ac:dyDescent="0.2">
      <c r="A2433" s="4" t="s">
        <v>42</v>
      </c>
      <c r="B2433" s="15">
        <v>2433</v>
      </c>
      <c r="C2433">
        <f>MOD(B2433,8)</f>
        <v>1</v>
      </c>
    </row>
    <row r="2434" spans="1:3" ht="16.5" x14ac:dyDescent="0.2">
      <c r="A2434" s="4" t="s">
        <v>42</v>
      </c>
      <c r="B2434">
        <v>2434</v>
      </c>
      <c r="C2434">
        <f>MOD(B2434,8)</f>
        <v>2</v>
      </c>
    </row>
    <row r="2435" spans="1:3" ht="16.5" x14ac:dyDescent="0.2">
      <c r="A2435" s="4" t="s">
        <v>42</v>
      </c>
      <c r="B2435" s="15">
        <v>2435</v>
      </c>
      <c r="C2435">
        <f>MOD(B2435,8)</f>
        <v>3</v>
      </c>
    </row>
    <row r="2436" spans="1:3" ht="16.5" x14ac:dyDescent="0.2">
      <c r="A2436" s="4" t="s">
        <v>42</v>
      </c>
      <c r="B2436">
        <v>2436</v>
      </c>
      <c r="C2436">
        <f>MOD(B2436,8)</f>
        <v>4</v>
      </c>
    </row>
    <row r="2437" spans="1:3" ht="16.5" x14ac:dyDescent="0.2">
      <c r="A2437" s="4" t="s">
        <v>42</v>
      </c>
      <c r="B2437">
        <v>2437</v>
      </c>
      <c r="C2437">
        <f>MOD(B2437,8)</f>
        <v>5</v>
      </c>
    </row>
    <row r="2438" spans="1:3" ht="16.5" x14ac:dyDescent="0.2">
      <c r="A2438" s="4" t="s">
        <v>42</v>
      </c>
      <c r="B2438" s="15">
        <v>2438</v>
      </c>
      <c r="C2438">
        <f>MOD(B2438,8)</f>
        <v>6</v>
      </c>
    </row>
    <row r="2439" spans="1:3" ht="16.5" x14ac:dyDescent="0.2">
      <c r="A2439" s="4" t="s">
        <v>42</v>
      </c>
      <c r="B2439">
        <v>2439</v>
      </c>
      <c r="C2439">
        <f>MOD(B2439,8)</f>
        <v>7</v>
      </c>
    </row>
    <row r="2440" spans="1:3" ht="16.5" x14ac:dyDescent="0.2">
      <c r="A2440" s="4" t="s">
        <v>42</v>
      </c>
      <c r="B2440" s="15">
        <v>2440</v>
      </c>
      <c r="C2440">
        <f>MOD(B2440,8)</f>
        <v>0</v>
      </c>
    </row>
    <row r="2441" spans="1:3" ht="16.5" x14ac:dyDescent="0.2">
      <c r="A2441" s="4" t="s">
        <v>41</v>
      </c>
      <c r="B2441">
        <v>2441</v>
      </c>
      <c r="C2441">
        <f>MOD(B2441,8)</f>
        <v>1</v>
      </c>
    </row>
    <row r="2442" spans="1:3" ht="16.5" x14ac:dyDescent="0.2">
      <c r="A2442" s="4" t="s">
        <v>41</v>
      </c>
      <c r="B2442">
        <v>2442</v>
      </c>
      <c r="C2442">
        <f>MOD(B2442,8)</f>
        <v>2</v>
      </c>
    </row>
    <row r="2443" spans="1:3" ht="16.5" x14ac:dyDescent="0.2">
      <c r="A2443" s="4" t="s">
        <v>41</v>
      </c>
      <c r="B2443" s="15">
        <v>2443</v>
      </c>
      <c r="C2443">
        <f>MOD(B2443,8)</f>
        <v>3</v>
      </c>
    </row>
    <row r="2444" spans="1:3" ht="16.5" x14ac:dyDescent="0.2">
      <c r="A2444" s="4" t="s">
        <v>41</v>
      </c>
      <c r="B2444">
        <v>2444</v>
      </c>
      <c r="C2444">
        <f>MOD(B2444,8)</f>
        <v>4</v>
      </c>
    </row>
    <row r="2445" spans="1:3" ht="16.5" x14ac:dyDescent="0.2">
      <c r="A2445" s="4" t="s">
        <v>41</v>
      </c>
      <c r="B2445" s="15">
        <v>2445</v>
      </c>
      <c r="C2445">
        <f>MOD(B2445,8)</f>
        <v>5</v>
      </c>
    </row>
    <row r="2446" spans="1:3" ht="16.5" x14ac:dyDescent="0.2">
      <c r="A2446" s="4" t="s">
        <v>41</v>
      </c>
      <c r="B2446">
        <v>2446</v>
      </c>
      <c r="C2446">
        <f>MOD(B2446,8)</f>
        <v>6</v>
      </c>
    </row>
    <row r="2447" spans="1:3" ht="16.5" x14ac:dyDescent="0.2">
      <c r="A2447" s="4" t="s">
        <v>41</v>
      </c>
      <c r="B2447">
        <v>2447</v>
      </c>
      <c r="C2447">
        <f>MOD(B2447,8)</f>
        <v>7</v>
      </c>
    </row>
    <row r="2448" spans="1:3" ht="16.5" x14ac:dyDescent="0.2">
      <c r="A2448" s="4" t="s">
        <v>41</v>
      </c>
      <c r="B2448" s="15">
        <v>2448</v>
      </c>
      <c r="C2448">
        <f>MOD(B2448,8)</f>
        <v>0</v>
      </c>
    </row>
    <row r="2449" spans="1:3" ht="16.5" x14ac:dyDescent="0.2">
      <c r="A2449" s="4" t="s">
        <v>40</v>
      </c>
      <c r="B2449">
        <v>2449</v>
      </c>
      <c r="C2449">
        <f>MOD(B2449,8)</f>
        <v>1</v>
      </c>
    </row>
    <row r="2450" spans="1:3" ht="16.5" x14ac:dyDescent="0.2">
      <c r="A2450" s="4" t="s">
        <v>40</v>
      </c>
      <c r="B2450" s="15">
        <v>2450</v>
      </c>
      <c r="C2450">
        <f>MOD(B2450,8)</f>
        <v>2</v>
      </c>
    </row>
    <row r="2451" spans="1:3" ht="16.5" x14ac:dyDescent="0.2">
      <c r="A2451" s="4" t="s">
        <v>40</v>
      </c>
      <c r="B2451">
        <v>2451</v>
      </c>
      <c r="C2451">
        <f>MOD(B2451,8)</f>
        <v>3</v>
      </c>
    </row>
    <row r="2452" spans="1:3" ht="16.5" x14ac:dyDescent="0.2">
      <c r="A2452" s="4" t="s">
        <v>40</v>
      </c>
      <c r="B2452">
        <v>2452</v>
      </c>
      <c r="C2452">
        <f>MOD(B2452,8)</f>
        <v>4</v>
      </c>
    </row>
    <row r="2453" spans="1:3" ht="16.5" x14ac:dyDescent="0.2">
      <c r="A2453" s="4" t="s">
        <v>40</v>
      </c>
      <c r="B2453" s="15">
        <v>2453</v>
      </c>
      <c r="C2453">
        <f>MOD(B2453,8)</f>
        <v>5</v>
      </c>
    </row>
    <row r="2454" spans="1:3" ht="16.5" x14ac:dyDescent="0.2">
      <c r="A2454" s="4" t="s">
        <v>40</v>
      </c>
      <c r="B2454">
        <v>2454</v>
      </c>
      <c r="C2454">
        <f>MOD(B2454,8)</f>
        <v>6</v>
      </c>
    </row>
    <row r="2455" spans="1:3" ht="16.5" x14ac:dyDescent="0.2">
      <c r="A2455" s="4" t="s">
        <v>40</v>
      </c>
      <c r="B2455" s="15">
        <v>2455</v>
      </c>
      <c r="C2455">
        <f>MOD(B2455,8)</f>
        <v>7</v>
      </c>
    </row>
    <row r="2456" spans="1:3" ht="16.5" x14ac:dyDescent="0.2">
      <c r="A2456" s="4" t="s">
        <v>40</v>
      </c>
      <c r="B2456">
        <v>2456</v>
      </c>
      <c r="C2456">
        <f>MOD(B2456,8)</f>
        <v>0</v>
      </c>
    </row>
    <row r="2457" spans="1:3" ht="16.5" x14ac:dyDescent="0.2">
      <c r="A2457" s="4" t="s">
        <v>39</v>
      </c>
      <c r="B2457">
        <v>2457</v>
      </c>
      <c r="C2457">
        <f>MOD(B2457,8)</f>
        <v>1</v>
      </c>
    </row>
    <row r="2458" spans="1:3" ht="16.5" x14ac:dyDescent="0.2">
      <c r="A2458" s="4" t="s">
        <v>39</v>
      </c>
      <c r="B2458" s="15">
        <v>2458</v>
      </c>
      <c r="C2458">
        <f>MOD(B2458,8)</f>
        <v>2</v>
      </c>
    </row>
    <row r="2459" spans="1:3" ht="16.5" x14ac:dyDescent="0.2">
      <c r="A2459" s="4" t="s">
        <v>39</v>
      </c>
      <c r="B2459">
        <v>2459</v>
      </c>
      <c r="C2459">
        <f>MOD(B2459,8)</f>
        <v>3</v>
      </c>
    </row>
    <row r="2460" spans="1:3" ht="16.5" x14ac:dyDescent="0.2">
      <c r="A2460" s="4" t="s">
        <v>39</v>
      </c>
      <c r="B2460" s="15">
        <v>2460</v>
      </c>
      <c r="C2460">
        <f>MOD(B2460,8)</f>
        <v>4</v>
      </c>
    </row>
    <row r="2461" spans="1:3" ht="16.5" x14ac:dyDescent="0.2">
      <c r="A2461" s="4" t="s">
        <v>39</v>
      </c>
      <c r="B2461">
        <v>2461</v>
      </c>
      <c r="C2461">
        <f>MOD(B2461,8)</f>
        <v>5</v>
      </c>
    </row>
    <row r="2462" spans="1:3" ht="16.5" x14ac:dyDescent="0.2">
      <c r="A2462" s="4" t="s">
        <v>39</v>
      </c>
      <c r="B2462">
        <v>2462</v>
      </c>
      <c r="C2462">
        <f>MOD(B2462,8)</f>
        <v>6</v>
      </c>
    </row>
    <row r="2463" spans="1:3" ht="16.5" x14ac:dyDescent="0.2">
      <c r="A2463" s="4" t="s">
        <v>39</v>
      </c>
      <c r="B2463" s="15">
        <v>2463</v>
      </c>
      <c r="C2463">
        <f>MOD(B2463,8)</f>
        <v>7</v>
      </c>
    </row>
    <row r="2464" spans="1:3" ht="16.5" x14ac:dyDescent="0.2">
      <c r="A2464" s="4" t="s">
        <v>39</v>
      </c>
      <c r="B2464">
        <v>2464</v>
      </c>
      <c r="C2464">
        <f>MOD(B2464,8)</f>
        <v>0</v>
      </c>
    </row>
    <row r="2465" spans="1:3" ht="16.5" x14ac:dyDescent="0.2">
      <c r="A2465" s="4" t="s">
        <v>38</v>
      </c>
      <c r="B2465" s="15">
        <v>2465</v>
      </c>
      <c r="C2465">
        <f>MOD(B2465,8)</f>
        <v>1</v>
      </c>
    </row>
    <row r="2466" spans="1:3" ht="16.5" x14ac:dyDescent="0.2">
      <c r="A2466" s="4" t="s">
        <v>38</v>
      </c>
      <c r="B2466">
        <v>2466</v>
      </c>
      <c r="C2466">
        <f>MOD(B2466,8)</f>
        <v>2</v>
      </c>
    </row>
    <row r="2467" spans="1:3" ht="16.5" x14ac:dyDescent="0.2">
      <c r="A2467" s="4" t="s">
        <v>38</v>
      </c>
      <c r="B2467">
        <v>2467</v>
      </c>
      <c r="C2467">
        <f>MOD(B2467,8)</f>
        <v>3</v>
      </c>
    </row>
    <row r="2468" spans="1:3" ht="16.5" x14ac:dyDescent="0.2">
      <c r="A2468" s="4" t="s">
        <v>38</v>
      </c>
      <c r="B2468" s="15">
        <v>2468</v>
      </c>
      <c r="C2468">
        <f>MOD(B2468,8)</f>
        <v>4</v>
      </c>
    </row>
    <row r="2469" spans="1:3" ht="16.5" x14ac:dyDescent="0.2">
      <c r="A2469" s="4" t="s">
        <v>38</v>
      </c>
      <c r="B2469">
        <v>2469</v>
      </c>
      <c r="C2469">
        <f>MOD(B2469,8)</f>
        <v>5</v>
      </c>
    </row>
    <row r="2470" spans="1:3" ht="16.5" x14ac:dyDescent="0.2">
      <c r="A2470" s="4" t="s">
        <v>38</v>
      </c>
      <c r="B2470" s="15">
        <v>2470</v>
      </c>
      <c r="C2470">
        <f>MOD(B2470,8)</f>
        <v>6</v>
      </c>
    </row>
    <row r="2471" spans="1:3" ht="16.5" x14ac:dyDescent="0.2">
      <c r="A2471" s="4" t="s">
        <v>38</v>
      </c>
      <c r="B2471">
        <v>2471</v>
      </c>
      <c r="C2471">
        <f>MOD(B2471,8)</f>
        <v>7</v>
      </c>
    </row>
    <row r="2472" spans="1:3" ht="16.5" x14ac:dyDescent="0.2">
      <c r="A2472" s="4" t="s">
        <v>38</v>
      </c>
      <c r="B2472">
        <v>2472</v>
      </c>
      <c r="C2472">
        <f>MOD(B2472,8)</f>
        <v>0</v>
      </c>
    </row>
    <row r="2473" spans="1:3" ht="16.5" x14ac:dyDescent="0.2">
      <c r="A2473" s="4" t="s">
        <v>37</v>
      </c>
      <c r="B2473" s="15">
        <v>2473</v>
      </c>
      <c r="C2473">
        <f>MOD(B2473,8)</f>
        <v>1</v>
      </c>
    </row>
    <row r="2474" spans="1:3" ht="16.5" x14ac:dyDescent="0.2">
      <c r="A2474" s="4" t="s">
        <v>37</v>
      </c>
      <c r="B2474">
        <v>2474</v>
      </c>
      <c r="C2474">
        <f>MOD(B2474,8)</f>
        <v>2</v>
      </c>
    </row>
    <row r="2475" spans="1:3" ht="16.5" x14ac:dyDescent="0.2">
      <c r="A2475" s="4" t="s">
        <v>37</v>
      </c>
      <c r="B2475" s="15">
        <v>2475</v>
      </c>
      <c r="C2475">
        <f>MOD(B2475,8)</f>
        <v>3</v>
      </c>
    </row>
    <row r="2476" spans="1:3" ht="16.5" x14ac:dyDescent="0.2">
      <c r="A2476" s="4" t="s">
        <v>37</v>
      </c>
      <c r="B2476">
        <v>2476</v>
      </c>
      <c r="C2476">
        <f>MOD(B2476,8)</f>
        <v>4</v>
      </c>
    </row>
    <row r="2477" spans="1:3" ht="16.5" x14ac:dyDescent="0.2">
      <c r="A2477" s="4" t="s">
        <v>37</v>
      </c>
      <c r="B2477">
        <v>2477</v>
      </c>
      <c r="C2477">
        <f>MOD(B2477,8)</f>
        <v>5</v>
      </c>
    </row>
    <row r="2478" spans="1:3" ht="16.5" x14ac:dyDescent="0.2">
      <c r="A2478" s="4" t="s">
        <v>37</v>
      </c>
      <c r="B2478" s="15">
        <v>2478</v>
      </c>
      <c r="C2478">
        <f>MOD(B2478,8)</f>
        <v>6</v>
      </c>
    </row>
    <row r="2479" spans="1:3" ht="16.5" x14ac:dyDescent="0.2">
      <c r="A2479" s="4" t="s">
        <v>37</v>
      </c>
      <c r="B2479">
        <v>2479</v>
      </c>
      <c r="C2479">
        <f>MOD(B2479,8)</f>
        <v>7</v>
      </c>
    </row>
    <row r="2480" spans="1:3" ht="16.5" x14ac:dyDescent="0.2">
      <c r="A2480" s="4" t="s">
        <v>37</v>
      </c>
      <c r="B2480" s="15">
        <v>2480</v>
      </c>
      <c r="C2480">
        <f>MOD(B2480,8)</f>
        <v>0</v>
      </c>
    </row>
    <row r="2481" spans="1:3" ht="16.5" x14ac:dyDescent="0.2">
      <c r="A2481" s="4" t="s">
        <v>36</v>
      </c>
      <c r="B2481">
        <v>2481</v>
      </c>
      <c r="C2481">
        <f>MOD(B2481,8)</f>
        <v>1</v>
      </c>
    </row>
    <row r="2482" spans="1:3" ht="16.5" x14ac:dyDescent="0.2">
      <c r="A2482" s="4" t="s">
        <v>36</v>
      </c>
      <c r="B2482">
        <v>2482</v>
      </c>
      <c r="C2482">
        <f>MOD(B2482,8)</f>
        <v>2</v>
      </c>
    </row>
    <row r="2483" spans="1:3" ht="16.5" x14ac:dyDescent="0.2">
      <c r="A2483" s="4" t="s">
        <v>36</v>
      </c>
      <c r="B2483" s="15">
        <v>2483</v>
      </c>
      <c r="C2483">
        <f>MOD(B2483,8)</f>
        <v>3</v>
      </c>
    </row>
    <row r="2484" spans="1:3" ht="16.5" x14ac:dyDescent="0.2">
      <c r="A2484" s="4" t="s">
        <v>36</v>
      </c>
      <c r="B2484">
        <v>2484</v>
      </c>
      <c r="C2484">
        <f>MOD(B2484,8)</f>
        <v>4</v>
      </c>
    </row>
    <row r="2485" spans="1:3" ht="16.5" x14ac:dyDescent="0.2">
      <c r="A2485" s="4" t="s">
        <v>36</v>
      </c>
      <c r="B2485" s="15">
        <v>2485</v>
      </c>
      <c r="C2485">
        <f>MOD(B2485,8)</f>
        <v>5</v>
      </c>
    </row>
    <row r="2486" spans="1:3" ht="16.5" x14ac:dyDescent="0.2">
      <c r="A2486" s="4" t="s">
        <v>36</v>
      </c>
      <c r="B2486">
        <v>2486</v>
      </c>
      <c r="C2486">
        <f>MOD(B2486,8)</f>
        <v>6</v>
      </c>
    </row>
    <row r="2487" spans="1:3" ht="16.5" x14ac:dyDescent="0.2">
      <c r="A2487" s="4" t="s">
        <v>36</v>
      </c>
      <c r="B2487">
        <v>2487</v>
      </c>
      <c r="C2487">
        <f>MOD(B2487,8)</f>
        <v>7</v>
      </c>
    </row>
    <row r="2488" spans="1:3" ht="16.5" x14ac:dyDescent="0.2">
      <c r="A2488" s="4" t="s">
        <v>36</v>
      </c>
      <c r="B2488" s="15">
        <v>2488</v>
      </c>
      <c r="C2488">
        <f>MOD(B2488,8)</f>
        <v>0</v>
      </c>
    </row>
    <row r="2489" spans="1:3" ht="16.5" x14ac:dyDescent="0.2">
      <c r="A2489" s="4" t="s">
        <v>35</v>
      </c>
      <c r="B2489">
        <v>2489</v>
      </c>
      <c r="C2489">
        <f>MOD(B2489,8)</f>
        <v>1</v>
      </c>
    </row>
    <row r="2490" spans="1:3" ht="16.5" x14ac:dyDescent="0.2">
      <c r="A2490" s="4" t="s">
        <v>35</v>
      </c>
      <c r="B2490" s="15">
        <v>2490</v>
      </c>
      <c r="C2490">
        <f>MOD(B2490,8)</f>
        <v>2</v>
      </c>
    </row>
    <row r="2491" spans="1:3" ht="16.5" x14ac:dyDescent="0.2">
      <c r="A2491" s="4" t="s">
        <v>35</v>
      </c>
      <c r="B2491">
        <v>2491</v>
      </c>
      <c r="C2491">
        <f>MOD(B2491,8)</f>
        <v>3</v>
      </c>
    </row>
    <row r="2492" spans="1:3" ht="16.5" x14ac:dyDescent="0.2">
      <c r="A2492" s="4" t="s">
        <v>35</v>
      </c>
      <c r="B2492">
        <v>2492</v>
      </c>
      <c r="C2492">
        <f>MOD(B2492,8)</f>
        <v>4</v>
      </c>
    </row>
    <row r="2493" spans="1:3" ht="16.5" x14ac:dyDescent="0.2">
      <c r="A2493" s="4" t="s">
        <v>35</v>
      </c>
      <c r="B2493" s="15">
        <v>2493</v>
      </c>
      <c r="C2493">
        <f>MOD(B2493,8)</f>
        <v>5</v>
      </c>
    </row>
    <row r="2494" spans="1:3" ht="16.5" x14ac:dyDescent="0.2">
      <c r="A2494" s="4" t="s">
        <v>35</v>
      </c>
      <c r="B2494">
        <v>2494</v>
      </c>
      <c r="C2494">
        <f>MOD(B2494,8)</f>
        <v>6</v>
      </c>
    </row>
    <row r="2495" spans="1:3" ht="16.5" x14ac:dyDescent="0.2">
      <c r="A2495" s="4" t="s">
        <v>35</v>
      </c>
      <c r="B2495" s="15">
        <v>2495</v>
      </c>
      <c r="C2495">
        <f>MOD(B2495,8)</f>
        <v>7</v>
      </c>
    </row>
    <row r="2496" spans="1:3" ht="16.5" x14ac:dyDescent="0.2">
      <c r="A2496" s="4" t="s">
        <v>35</v>
      </c>
      <c r="B2496">
        <v>2496</v>
      </c>
      <c r="C2496">
        <f>MOD(B2496,8)</f>
        <v>0</v>
      </c>
    </row>
    <row r="2497" spans="1:3" ht="16.5" x14ac:dyDescent="0.2">
      <c r="A2497" s="4" t="s">
        <v>34</v>
      </c>
      <c r="B2497">
        <v>2497</v>
      </c>
      <c r="C2497">
        <f>MOD(B2497,8)</f>
        <v>1</v>
      </c>
    </row>
    <row r="2498" spans="1:3" ht="16.5" x14ac:dyDescent="0.2">
      <c r="A2498" s="4" t="s">
        <v>34</v>
      </c>
      <c r="B2498" s="15">
        <v>2498</v>
      </c>
      <c r="C2498">
        <f>MOD(B2498,8)</f>
        <v>2</v>
      </c>
    </row>
    <row r="2499" spans="1:3" ht="16.5" x14ac:dyDescent="0.2">
      <c r="A2499" s="4" t="s">
        <v>34</v>
      </c>
      <c r="B2499">
        <v>2499</v>
      </c>
      <c r="C2499">
        <f>MOD(B2499,8)</f>
        <v>3</v>
      </c>
    </row>
    <row r="2500" spans="1:3" ht="16.5" x14ac:dyDescent="0.2">
      <c r="A2500" s="4" t="s">
        <v>34</v>
      </c>
      <c r="B2500" s="15">
        <v>2500</v>
      </c>
      <c r="C2500">
        <f>MOD(B2500,8)</f>
        <v>4</v>
      </c>
    </row>
    <row r="2501" spans="1:3" ht="16.5" x14ac:dyDescent="0.2">
      <c r="A2501" s="4" t="s">
        <v>34</v>
      </c>
      <c r="B2501">
        <v>2501</v>
      </c>
      <c r="C2501">
        <f>MOD(B2501,8)</f>
        <v>5</v>
      </c>
    </row>
    <row r="2502" spans="1:3" ht="16.5" x14ac:dyDescent="0.2">
      <c r="A2502" s="4" t="s">
        <v>34</v>
      </c>
      <c r="B2502">
        <v>2502</v>
      </c>
      <c r="C2502">
        <f>MOD(B2502,8)</f>
        <v>6</v>
      </c>
    </row>
    <row r="2503" spans="1:3" ht="16.5" x14ac:dyDescent="0.2">
      <c r="A2503" s="4" t="s">
        <v>34</v>
      </c>
      <c r="B2503" s="15">
        <v>2503</v>
      </c>
      <c r="C2503">
        <f>MOD(B2503,8)</f>
        <v>7</v>
      </c>
    </row>
    <row r="2504" spans="1:3" ht="16.5" x14ac:dyDescent="0.2">
      <c r="A2504" s="4" t="s">
        <v>34</v>
      </c>
      <c r="B2504">
        <v>2504</v>
      </c>
      <c r="C2504">
        <f>MOD(B2504,8)</f>
        <v>0</v>
      </c>
    </row>
    <row r="2505" spans="1:3" ht="16.5" x14ac:dyDescent="0.2">
      <c r="A2505" s="4" t="s">
        <v>33</v>
      </c>
      <c r="B2505" s="15">
        <v>2505</v>
      </c>
      <c r="C2505">
        <f>MOD(B2505,8)</f>
        <v>1</v>
      </c>
    </row>
    <row r="2506" spans="1:3" ht="16.5" x14ac:dyDescent="0.2">
      <c r="A2506" s="4" t="s">
        <v>33</v>
      </c>
      <c r="B2506">
        <v>2506</v>
      </c>
      <c r="C2506">
        <f>MOD(B2506,8)</f>
        <v>2</v>
      </c>
    </row>
    <row r="2507" spans="1:3" ht="16.5" x14ac:dyDescent="0.2">
      <c r="A2507" s="4" t="s">
        <v>33</v>
      </c>
      <c r="B2507">
        <v>2507</v>
      </c>
      <c r="C2507">
        <f>MOD(B2507,8)</f>
        <v>3</v>
      </c>
    </row>
    <row r="2508" spans="1:3" ht="16.5" x14ac:dyDescent="0.2">
      <c r="A2508" s="4" t="s">
        <v>33</v>
      </c>
      <c r="B2508" s="15">
        <v>2508</v>
      </c>
      <c r="C2508">
        <f>MOD(B2508,8)</f>
        <v>4</v>
      </c>
    </row>
    <row r="2509" spans="1:3" ht="16.5" x14ac:dyDescent="0.2">
      <c r="A2509" s="4" t="s">
        <v>33</v>
      </c>
      <c r="B2509">
        <v>2509</v>
      </c>
      <c r="C2509">
        <f>MOD(B2509,8)</f>
        <v>5</v>
      </c>
    </row>
    <row r="2510" spans="1:3" ht="16.5" x14ac:dyDescent="0.2">
      <c r="A2510" s="4" t="s">
        <v>33</v>
      </c>
      <c r="B2510" s="15">
        <v>2510</v>
      </c>
      <c r="C2510">
        <f>MOD(B2510,8)</f>
        <v>6</v>
      </c>
    </row>
    <row r="2511" spans="1:3" ht="16.5" x14ac:dyDescent="0.2">
      <c r="A2511" s="4" t="s">
        <v>33</v>
      </c>
      <c r="B2511">
        <v>2511</v>
      </c>
      <c r="C2511">
        <f>MOD(B2511,8)</f>
        <v>7</v>
      </c>
    </row>
    <row r="2512" spans="1:3" ht="16.5" x14ac:dyDescent="0.2">
      <c r="A2512" s="4" t="s">
        <v>33</v>
      </c>
      <c r="B2512">
        <v>2512</v>
      </c>
      <c r="C2512">
        <f>MOD(B2512,8)</f>
        <v>0</v>
      </c>
    </row>
    <row r="2513" spans="1:3" ht="16.5" x14ac:dyDescent="0.2">
      <c r="A2513" s="4" t="s">
        <v>32</v>
      </c>
      <c r="B2513" s="15">
        <v>2513</v>
      </c>
      <c r="C2513">
        <f>MOD(B2513,8)</f>
        <v>1</v>
      </c>
    </row>
    <row r="2514" spans="1:3" ht="16.5" x14ac:dyDescent="0.2">
      <c r="A2514" s="4" t="s">
        <v>32</v>
      </c>
      <c r="B2514">
        <v>2514</v>
      </c>
      <c r="C2514">
        <f>MOD(B2514,8)</f>
        <v>2</v>
      </c>
    </row>
    <row r="2515" spans="1:3" ht="16.5" x14ac:dyDescent="0.2">
      <c r="A2515" s="4" t="s">
        <v>32</v>
      </c>
      <c r="B2515" s="15">
        <v>2515</v>
      </c>
      <c r="C2515">
        <f>MOD(B2515,8)</f>
        <v>3</v>
      </c>
    </row>
    <row r="2516" spans="1:3" ht="16.5" x14ac:dyDescent="0.2">
      <c r="A2516" s="4" t="s">
        <v>32</v>
      </c>
      <c r="B2516">
        <v>2516</v>
      </c>
      <c r="C2516">
        <f>MOD(B2516,8)</f>
        <v>4</v>
      </c>
    </row>
    <row r="2517" spans="1:3" ht="16.5" x14ac:dyDescent="0.2">
      <c r="A2517" s="4" t="s">
        <v>32</v>
      </c>
      <c r="B2517">
        <v>2517</v>
      </c>
      <c r="C2517">
        <f>MOD(B2517,8)</f>
        <v>5</v>
      </c>
    </row>
    <row r="2518" spans="1:3" ht="16.5" x14ac:dyDescent="0.2">
      <c r="A2518" s="4" t="s">
        <v>32</v>
      </c>
      <c r="B2518" s="15">
        <v>2518</v>
      </c>
      <c r="C2518">
        <f>MOD(B2518,8)</f>
        <v>6</v>
      </c>
    </row>
    <row r="2519" spans="1:3" ht="16.5" x14ac:dyDescent="0.2">
      <c r="A2519" s="4" t="s">
        <v>32</v>
      </c>
      <c r="B2519">
        <v>2519</v>
      </c>
      <c r="C2519">
        <f>MOD(B2519,8)</f>
        <v>7</v>
      </c>
    </row>
    <row r="2520" spans="1:3" ht="16.5" x14ac:dyDescent="0.2">
      <c r="A2520" s="4" t="s">
        <v>32</v>
      </c>
      <c r="B2520" s="15">
        <v>2520</v>
      </c>
      <c r="C2520">
        <f>MOD(B2520,8)</f>
        <v>0</v>
      </c>
    </row>
    <row r="2521" spans="1:3" ht="16.5" x14ac:dyDescent="0.2">
      <c r="A2521" s="4" t="s">
        <v>31</v>
      </c>
      <c r="B2521">
        <v>2521</v>
      </c>
      <c r="C2521">
        <f>MOD(B2521,8)</f>
        <v>1</v>
      </c>
    </row>
    <row r="2522" spans="1:3" ht="16.5" x14ac:dyDescent="0.2">
      <c r="A2522" s="4" t="s">
        <v>31</v>
      </c>
      <c r="B2522">
        <v>2522</v>
      </c>
      <c r="C2522">
        <f>MOD(B2522,8)</f>
        <v>2</v>
      </c>
    </row>
    <row r="2523" spans="1:3" ht="16.5" x14ac:dyDescent="0.2">
      <c r="A2523" s="4" t="s">
        <v>31</v>
      </c>
      <c r="B2523" s="15">
        <v>2523</v>
      </c>
      <c r="C2523">
        <f>MOD(B2523,8)</f>
        <v>3</v>
      </c>
    </row>
    <row r="2524" spans="1:3" ht="16.5" x14ac:dyDescent="0.2">
      <c r="A2524" s="4" t="s">
        <v>31</v>
      </c>
      <c r="B2524">
        <v>2524</v>
      </c>
      <c r="C2524">
        <f>MOD(B2524,8)</f>
        <v>4</v>
      </c>
    </row>
    <row r="2525" spans="1:3" ht="16.5" x14ac:dyDescent="0.2">
      <c r="A2525" s="4" t="s">
        <v>31</v>
      </c>
      <c r="B2525" s="15">
        <v>2525</v>
      </c>
      <c r="C2525">
        <f>MOD(B2525,8)</f>
        <v>5</v>
      </c>
    </row>
    <row r="2526" spans="1:3" ht="16.5" x14ac:dyDescent="0.2">
      <c r="A2526" s="4" t="s">
        <v>31</v>
      </c>
      <c r="B2526">
        <v>2526</v>
      </c>
      <c r="C2526">
        <f>MOD(B2526,8)</f>
        <v>6</v>
      </c>
    </row>
    <row r="2527" spans="1:3" ht="16.5" x14ac:dyDescent="0.2">
      <c r="A2527" s="4" t="s">
        <v>31</v>
      </c>
      <c r="B2527">
        <v>2527</v>
      </c>
      <c r="C2527">
        <f>MOD(B2527,8)</f>
        <v>7</v>
      </c>
    </row>
    <row r="2528" spans="1:3" ht="16.5" x14ac:dyDescent="0.2">
      <c r="A2528" s="4" t="s">
        <v>31</v>
      </c>
      <c r="B2528" s="15">
        <v>2528</v>
      </c>
      <c r="C2528">
        <f>MOD(B2528,8)</f>
        <v>0</v>
      </c>
    </row>
    <row r="2529" spans="1:3" ht="16.5" x14ac:dyDescent="0.2">
      <c r="A2529" s="4" t="s">
        <v>30</v>
      </c>
      <c r="B2529">
        <v>2529</v>
      </c>
      <c r="C2529">
        <f>MOD(B2529,8)</f>
        <v>1</v>
      </c>
    </row>
    <row r="2530" spans="1:3" ht="16.5" x14ac:dyDescent="0.2">
      <c r="A2530" s="4" t="s">
        <v>30</v>
      </c>
      <c r="B2530" s="15">
        <v>2530</v>
      </c>
      <c r="C2530">
        <f>MOD(B2530,8)</f>
        <v>2</v>
      </c>
    </row>
    <row r="2531" spans="1:3" ht="16.5" x14ac:dyDescent="0.2">
      <c r="A2531" s="4" t="s">
        <v>30</v>
      </c>
      <c r="B2531">
        <v>2531</v>
      </c>
      <c r="C2531">
        <f>MOD(B2531,8)</f>
        <v>3</v>
      </c>
    </row>
    <row r="2532" spans="1:3" ht="16.5" x14ac:dyDescent="0.2">
      <c r="A2532" s="4" t="s">
        <v>30</v>
      </c>
      <c r="B2532">
        <v>2532</v>
      </c>
      <c r="C2532">
        <f>MOD(B2532,8)</f>
        <v>4</v>
      </c>
    </row>
    <row r="2533" spans="1:3" ht="16.5" x14ac:dyDescent="0.2">
      <c r="A2533" s="4" t="s">
        <v>30</v>
      </c>
      <c r="B2533" s="15">
        <v>2533</v>
      </c>
      <c r="C2533">
        <f>MOD(B2533,8)</f>
        <v>5</v>
      </c>
    </row>
    <row r="2534" spans="1:3" ht="16.5" x14ac:dyDescent="0.2">
      <c r="A2534" s="4" t="s">
        <v>30</v>
      </c>
      <c r="B2534">
        <v>2534</v>
      </c>
      <c r="C2534">
        <f>MOD(B2534,8)</f>
        <v>6</v>
      </c>
    </row>
    <row r="2535" spans="1:3" ht="16.5" x14ac:dyDescent="0.2">
      <c r="A2535" s="4" t="s">
        <v>30</v>
      </c>
      <c r="B2535" s="15">
        <v>2535</v>
      </c>
      <c r="C2535">
        <f>MOD(B2535,8)</f>
        <v>7</v>
      </c>
    </row>
    <row r="2536" spans="1:3" ht="16.5" x14ac:dyDescent="0.2">
      <c r="A2536" s="4" t="s">
        <v>30</v>
      </c>
      <c r="B2536">
        <v>2536</v>
      </c>
      <c r="C2536">
        <f>MOD(B2536,8)</f>
        <v>0</v>
      </c>
    </row>
    <row r="2537" spans="1:3" ht="16.5" x14ac:dyDescent="0.2">
      <c r="A2537" s="4" t="s">
        <v>29</v>
      </c>
      <c r="B2537">
        <v>2537</v>
      </c>
      <c r="C2537">
        <f>MOD(B2537,8)</f>
        <v>1</v>
      </c>
    </row>
    <row r="2538" spans="1:3" ht="16.5" x14ac:dyDescent="0.2">
      <c r="A2538" s="4" t="s">
        <v>29</v>
      </c>
      <c r="B2538" s="15">
        <v>2538</v>
      </c>
      <c r="C2538">
        <f>MOD(B2538,8)</f>
        <v>2</v>
      </c>
    </row>
    <row r="2539" spans="1:3" ht="16.5" x14ac:dyDescent="0.2">
      <c r="A2539" s="4" t="s">
        <v>29</v>
      </c>
      <c r="B2539">
        <v>2539</v>
      </c>
      <c r="C2539">
        <f>MOD(B2539,8)</f>
        <v>3</v>
      </c>
    </row>
    <row r="2540" spans="1:3" ht="16.5" x14ac:dyDescent="0.2">
      <c r="A2540" s="4" t="s">
        <v>29</v>
      </c>
      <c r="B2540" s="15">
        <v>2540</v>
      </c>
      <c r="C2540">
        <f>MOD(B2540,8)</f>
        <v>4</v>
      </c>
    </row>
    <row r="2541" spans="1:3" ht="16.5" x14ac:dyDescent="0.2">
      <c r="A2541" s="4" t="s">
        <v>29</v>
      </c>
      <c r="B2541">
        <v>2541</v>
      </c>
      <c r="C2541">
        <f>MOD(B2541,8)</f>
        <v>5</v>
      </c>
    </row>
    <row r="2542" spans="1:3" ht="16.5" x14ac:dyDescent="0.2">
      <c r="A2542" s="4" t="s">
        <v>29</v>
      </c>
      <c r="B2542">
        <v>2542</v>
      </c>
      <c r="C2542">
        <f>MOD(B2542,8)</f>
        <v>6</v>
      </c>
    </row>
    <row r="2543" spans="1:3" ht="16.5" x14ac:dyDescent="0.2">
      <c r="A2543" s="4" t="s">
        <v>29</v>
      </c>
      <c r="B2543" s="15">
        <v>2543</v>
      </c>
      <c r="C2543">
        <f>MOD(B2543,8)</f>
        <v>7</v>
      </c>
    </row>
    <row r="2544" spans="1:3" ht="16.5" x14ac:dyDescent="0.2">
      <c r="A2544" s="4" t="s">
        <v>29</v>
      </c>
      <c r="B2544">
        <v>2544</v>
      </c>
      <c r="C2544">
        <f>MOD(B2544,8)</f>
        <v>0</v>
      </c>
    </row>
    <row r="2545" spans="1:3" ht="16.5" x14ac:dyDescent="0.2">
      <c r="A2545" s="4" t="s">
        <v>28</v>
      </c>
      <c r="B2545" s="15">
        <v>2545</v>
      </c>
      <c r="C2545">
        <f>MOD(B2545,8)</f>
        <v>1</v>
      </c>
    </row>
    <row r="2546" spans="1:3" ht="16.5" x14ac:dyDescent="0.2">
      <c r="A2546" s="4" t="s">
        <v>28</v>
      </c>
      <c r="B2546">
        <v>2546</v>
      </c>
      <c r="C2546">
        <f>MOD(B2546,8)</f>
        <v>2</v>
      </c>
    </row>
    <row r="2547" spans="1:3" ht="16.5" x14ac:dyDescent="0.2">
      <c r="A2547" s="4" t="s">
        <v>28</v>
      </c>
      <c r="B2547">
        <v>2547</v>
      </c>
      <c r="C2547">
        <f>MOD(B2547,8)</f>
        <v>3</v>
      </c>
    </row>
    <row r="2548" spans="1:3" ht="16.5" x14ac:dyDescent="0.2">
      <c r="A2548" s="4" t="s">
        <v>28</v>
      </c>
      <c r="B2548" s="15">
        <v>2548</v>
      </c>
      <c r="C2548">
        <f>MOD(B2548,8)</f>
        <v>4</v>
      </c>
    </row>
    <row r="2549" spans="1:3" ht="16.5" x14ac:dyDescent="0.2">
      <c r="A2549" s="4" t="s">
        <v>28</v>
      </c>
      <c r="B2549">
        <v>2549</v>
      </c>
      <c r="C2549">
        <f>MOD(B2549,8)</f>
        <v>5</v>
      </c>
    </row>
    <row r="2550" spans="1:3" ht="16.5" x14ac:dyDescent="0.2">
      <c r="A2550" s="4" t="s">
        <v>28</v>
      </c>
      <c r="B2550" s="15">
        <v>2550</v>
      </c>
      <c r="C2550">
        <f>MOD(B2550,8)</f>
        <v>6</v>
      </c>
    </row>
    <row r="2551" spans="1:3" ht="16.5" x14ac:dyDescent="0.2">
      <c r="A2551" s="4" t="s">
        <v>28</v>
      </c>
      <c r="B2551">
        <v>2551</v>
      </c>
      <c r="C2551">
        <f>MOD(B2551,8)</f>
        <v>7</v>
      </c>
    </row>
    <row r="2552" spans="1:3" ht="16.5" x14ac:dyDescent="0.2">
      <c r="A2552" s="4" t="s">
        <v>28</v>
      </c>
      <c r="B2552">
        <v>2552</v>
      </c>
      <c r="C2552">
        <f>MOD(B2552,8)</f>
        <v>0</v>
      </c>
    </row>
    <row r="2553" spans="1:3" ht="16.5" x14ac:dyDescent="0.2">
      <c r="A2553" s="4" t="s">
        <v>27</v>
      </c>
      <c r="B2553" s="15">
        <v>2553</v>
      </c>
      <c r="C2553">
        <f>MOD(B2553,8)</f>
        <v>1</v>
      </c>
    </row>
    <row r="2554" spans="1:3" ht="16.5" x14ac:dyDescent="0.2">
      <c r="A2554" s="4" t="s">
        <v>27</v>
      </c>
      <c r="B2554">
        <v>2554</v>
      </c>
      <c r="C2554">
        <f>MOD(B2554,8)</f>
        <v>2</v>
      </c>
    </row>
    <row r="2555" spans="1:3" ht="16.5" x14ac:dyDescent="0.2">
      <c r="A2555" s="4" t="s">
        <v>27</v>
      </c>
      <c r="B2555" s="15">
        <v>2555</v>
      </c>
      <c r="C2555">
        <f>MOD(B2555,8)</f>
        <v>3</v>
      </c>
    </row>
    <row r="2556" spans="1:3" ht="16.5" x14ac:dyDescent="0.2">
      <c r="A2556" s="4" t="s">
        <v>27</v>
      </c>
      <c r="B2556">
        <v>2556</v>
      </c>
      <c r="C2556">
        <f>MOD(B2556,8)</f>
        <v>4</v>
      </c>
    </row>
    <row r="2557" spans="1:3" ht="16.5" x14ac:dyDescent="0.2">
      <c r="A2557" s="4" t="s">
        <v>27</v>
      </c>
      <c r="B2557">
        <v>2557</v>
      </c>
      <c r="C2557">
        <f>MOD(B2557,8)</f>
        <v>5</v>
      </c>
    </row>
    <row r="2558" spans="1:3" ht="16.5" x14ac:dyDescent="0.2">
      <c r="A2558" s="4" t="s">
        <v>27</v>
      </c>
      <c r="B2558" s="15">
        <v>2558</v>
      </c>
      <c r="C2558">
        <f>MOD(B2558,8)</f>
        <v>6</v>
      </c>
    </row>
    <row r="2559" spans="1:3" ht="16.5" x14ac:dyDescent="0.2">
      <c r="A2559" s="4" t="s">
        <v>27</v>
      </c>
      <c r="B2559">
        <v>2559</v>
      </c>
      <c r="C2559">
        <f>MOD(B2559,8)</f>
        <v>7</v>
      </c>
    </row>
    <row r="2560" spans="1:3" ht="16.5" x14ac:dyDescent="0.2">
      <c r="A2560" s="4" t="s">
        <v>27</v>
      </c>
      <c r="B2560" s="15">
        <v>2560</v>
      </c>
      <c r="C2560">
        <f>MOD(B2560,8)</f>
        <v>0</v>
      </c>
    </row>
    <row r="2561" spans="1:3" ht="16.5" x14ac:dyDescent="0.2">
      <c r="A2561" s="4" t="s">
        <v>26</v>
      </c>
      <c r="B2561">
        <v>2561</v>
      </c>
      <c r="C2561">
        <f>MOD(B2561,8)</f>
        <v>1</v>
      </c>
    </row>
    <row r="2562" spans="1:3" ht="16.5" x14ac:dyDescent="0.2">
      <c r="A2562" s="4" t="s">
        <v>26</v>
      </c>
      <c r="B2562">
        <v>2562</v>
      </c>
      <c r="C2562">
        <f>MOD(B2562,8)</f>
        <v>2</v>
      </c>
    </row>
    <row r="2563" spans="1:3" ht="16.5" x14ac:dyDescent="0.2">
      <c r="A2563" s="4" t="s">
        <v>26</v>
      </c>
      <c r="B2563" s="15">
        <v>2563</v>
      </c>
      <c r="C2563">
        <f>MOD(B2563,8)</f>
        <v>3</v>
      </c>
    </row>
    <row r="2564" spans="1:3" ht="16.5" x14ac:dyDescent="0.2">
      <c r="A2564" s="4" t="s">
        <v>26</v>
      </c>
      <c r="B2564">
        <v>2564</v>
      </c>
      <c r="C2564">
        <f>MOD(B2564,8)</f>
        <v>4</v>
      </c>
    </row>
    <row r="2565" spans="1:3" ht="16.5" x14ac:dyDescent="0.2">
      <c r="A2565" s="4" t="s">
        <v>25</v>
      </c>
      <c r="B2565" s="15">
        <v>2565</v>
      </c>
      <c r="C2565">
        <f>MOD(B2565,8)</f>
        <v>5</v>
      </c>
    </row>
    <row r="2566" spans="1:3" ht="16.5" x14ac:dyDescent="0.2">
      <c r="A2566" s="4" t="s">
        <v>25</v>
      </c>
      <c r="B2566">
        <v>2566</v>
      </c>
      <c r="C2566">
        <f>MOD(B2566,8)</f>
        <v>6</v>
      </c>
    </row>
    <row r="2567" spans="1:3" ht="16.5" x14ac:dyDescent="0.2">
      <c r="A2567" s="4" t="s">
        <v>25</v>
      </c>
      <c r="B2567">
        <v>2567</v>
      </c>
      <c r="C2567">
        <f>MOD(B2567,8)</f>
        <v>7</v>
      </c>
    </row>
    <row r="2568" spans="1:3" ht="16.5" x14ac:dyDescent="0.2">
      <c r="A2568" s="4" t="s">
        <v>25</v>
      </c>
      <c r="B2568" s="15">
        <v>2568</v>
      </c>
      <c r="C2568">
        <f>MOD(B2568,8)</f>
        <v>0</v>
      </c>
    </row>
    <row r="2569" spans="1:3" ht="16.5" x14ac:dyDescent="0.2">
      <c r="A2569" s="4" t="s">
        <v>24</v>
      </c>
      <c r="B2569">
        <v>2569</v>
      </c>
      <c r="C2569">
        <f>MOD(B2569,8)</f>
        <v>1</v>
      </c>
    </row>
    <row r="2570" spans="1:3" ht="16.5" x14ac:dyDescent="0.2">
      <c r="A2570" s="4" t="s">
        <v>24</v>
      </c>
      <c r="B2570" s="15">
        <v>2570</v>
      </c>
      <c r="C2570">
        <f>MOD(B2570,8)</f>
        <v>2</v>
      </c>
    </row>
    <row r="2571" spans="1:3" ht="16.5" x14ac:dyDescent="0.2">
      <c r="A2571" s="4" t="s">
        <v>24</v>
      </c>
      <c r="B2571">
        <v>2571</v>
      </c>
      <c r="C2571">
        <f>MOD(B2571,8)</f>
        <v>3</v>
      </c>
    </row>
    <row r="2572" spans="1:3" ht="16.5" x14ac:dyDescent="0.2">
      <c r="A2572" s="4" t="s">
        <v>24</v>
      </c>
      <c r="B2572">
        <v>2572</v>
      </c>
      <c r="C2572">
        <f>MOD(B2572,8)</f>
        <v>4</v>
      </c>
    </row>
    <row r="2573" spans="1:3" ht="16.5" x14ac:dyDescent="0.2">
      <c r="A2573" s="4" t="s">
        <v>24</v>
      </c>
      <c r="B2573" s="15">
        <v>2573</v>
      </c>
      <c r="C2573">
        <f>MOD(B2573,8)</f>
        <v>5</v>
      </c>
    </row>
    <row r="2574" spans="1:3" ht="16.5" x14ac:dyDescent="0.2">
      <c r="A2574" s="4" t="s">
        <v>24</v>
      </c>
      <c r="B2574">
        <v>2574</v>
      </c>
      <c r="C2574">
        <f>MOD(B2574,8)</f>
        <v>6</v>
      </c>
    </row>
    <row r="2575" spans="1:3" ht="16.5" x14ac:dyDescent="0.2">
      <c r="A2575" s="4" t="s">
        <v>24</v>
      </c>
      <c r="B2575" s="15">
        <v>2575</v>
      </c>
      <c r="C2575">
        <f>MOD(B2575,8)</f>
        <v>7</v>
      </c>
    </row>
    <row r="2576" spans="1:3" ht="16.5" x14ac:dyDescent="0.2">
      <c r="A2576" s="4" t="s">
        <v>24</v>
      </c>
      <c r="B2576">
        <v>2576</v>
      </c>
      <c r="C2576">
        <f>MOD(B2576,8)</f>
        <v>0</v>
      </c>
    </row>
    <row r="2577" spans="1:3" ht="16.5" x14ac:dyDescent="0.2">
      <c r="A2577" s="4" t="s">
        <v>23</v>
      </c>
      <c r="B2577">
        <v>2577</v>
      </c>
      <c r="C2577">
        <f>MOD(B2577,8)</f>
        <v>1</v>
      </c>
    </row>
    <row r="2578" spans="1:3" ht="16.5" x14ac:dyDescent="0.2">
      <c r="A2578" s="4" t="s">
        <v>23</v>
      </c>
      <c r="B2578" s="15">
        <v>2578</v>
      </c>
      <c r="C2578">
        <f>MOD(B2578,8)</f>
        <v>2</v>
      </c>
    </row>
    <row r="2579" spans="1:3" ht="16.5" x14ac:dyDescent="0.2">
      <c r="A2579" s="4" t="s">
        <v>23</v>
      </c>
      <c r="B2579">
        <v>2579</v>
      </c>
      <c r="C2579">
        <f>MOD(B2579,8)</f>
        <v>3</v>
      </c>
    </row>
    <row r="2580" spans="1:3" ht="16.5" x14ac:dyDescent="0.2">
      <c r="A2580" s="4" t="s">
        <v>23</v>
      </c>
      <c r="B2580" s="15">
        <v>2580</v>
      </c>
      <c r="C2580">
        <f>MOD(B2580,8)</f>
        <v>4</v>
      </c>
    </row>
    <row r="2581" spans="1:3" ht="16.5" x14ac:dyDescent="0.2">
      <c r="A2581" s="4" t="s">
        <v>23</v>
      </c>
      <c r="B2581">
        <v>2581</v>
      </c>
      <c r="C2581">
        <f>MOD(B2581,8)</f>
        <v>5</v>
      </c>
    </row>
    <row r="2582" spans="1:3" ht="16.5" x14ac:dyDescent="0.2">
      <c r="A2582" s="4" t="s">
        <v>23</v>
      </c>
      <c r="B2582">
        <v>2582</v>
      </c>
      <c r="C2582">
        <f>MOD(B2582,8)</f>
        <v>6</v>
      </c>
    </row>
    <row r="2583" spans="1:3" ht="16.5" x14ac:dyDescent="0.2">
      <c r="A2583" s="4" t="s">
        <v>23</v>
      </c>
      <c r="B2583" s="15">
        <v>2583</v>
      </c>
      <c r="C2583">
        <f>MOD(B2583,8)</f>
        <v>7</v>
      </c>
    </row>
    <row r="2584" spans="1:3" ht="16.5" x14ac:dyDescent="0.2">
      <c r="A2584" s="4" t="s">
        <v>23</v>
      </c>
      <c r="B2584">
        <v>2584</v>
      </c>
      <c r="C2584">
        <f>MOD(B2584,8)</f>
        <v>0</v>
      </c>
    </row>
    <row r="2585" spans="1:3" ht="16.5" x14ac:dyDescent="0.2">
      <c r="A2585" s="4" t="s">
        <v>22</v>
      </c>
      <c r="B2585" s="15">
        <v>2585</v>
      </c>
      <c r="C2585">
        <f>MOD(B2585,8)</f>
        <v>1</v>
      </c>
    </row>
    <row r="2586" spans="1:3" ht="16.5" x14ac:dyDescent="0.2">
      <c r="A2586" s="4" t="s">
        <v>22</v>
      </c>
      <c r="B2586">
        <v>2586</v>
      </c>
      <c r="C2586">
        <f>MOD(B2586,8)</f>
        <v>2</v>
      </c>
    </row>
    <row r="2587" spans="1:3" ht="16.5" x14ac:dyDescent="0.2">
      <c r="A2587" s="4" t="s">
        <v>22</v>
      </c>
      <c r="B2587">
        <v>2587</v>
      </c>
      <c r="C2587">
        <f>MOD(B2587,8)</f>
        <v>3</v>
      </c>
    </row>
    <row r="2588" spans="1:3" ht="16.5" x14ac:dyDescent="0.2">
      <c r="A2588" s="4" t="s">
        <v>22</v>
      </c>
      <c r="B2588" s="15">
        <v>2588</v>
      </c>
      <c r="C2588">
        <f>MOD(B2588,8)</f>
        <v>4</v>
      </c>
    </row>
    <row r="2589" spans="1:3" ht="16.5" x14ac:dyDescent="0.2">
      <c r="A2589" s="4" t="s">
        <v>22</v>
      </c>
      <c r="B2589">
        <v>2589</v>
      </c>
      <c r="C2589">
        <f>MOD(B2589,8)</f>
        <v>5</v>
      </c>
    </row>
    <row r="2590" spans="1:3" ht="16.5" x14ac:dyDescent="0.2">
      <c r="A2590" s="4" t="s">
        <v>22</v>
      </c>
      <c r="B2590" s="15">
        <v>2590</v>
      </c>
      <c r="C2590">
        <f>MOD(B2590,8)</f>
        <v>6</v>
      </c>
    </row>
    <row r="2591" spans="1:3" ht="16.5" x14ac:dyDescent="0.2">
      <c r="A2591" s="4" t="s">
        <v>22</v>
      </c>
      <c r="B2591">
        <v>2591</v>
      </c>
      <c r="C2591">
        <f>MOD(B2591,8)</f>
        <v>7</v>
      </c>
    </row>
    <row r="2592" spans="1:3" ht="16.5" x14ac:dyDescent="0.2">
      <c r="A2592" s="4" t="s">
        <v>22</v>
      </c>
      <c r="B2592">
        <v>2592</v>
      </c>
      <c r="C2592">
        <f>MOD(B2592,8)</f>
        <v>0</v>
      </c>
    </row>
    <row r="2593" spans="1:3" ht="16.5" x14ac:dyDescent="0.2">
      <c r="A2593" s="4" t="s">
        <v>21</v>
      </c>
      <c r="B2593" s="15">
        <v>2593</v>
      </c>
      <c r="C2593">
        <f>MOD(B2593,8)</f>
        <v>1</v>
      </c>
    </row>
    <row r="2594" spans="1:3" ht="16.5" x14ac:dyDescent="0.2">
      <c r="A2594" s="4" t="s">
        <v>21</v>
      </c>
      <c r="B2594">
        <v>2594</v>
      </c>
      <c r="C2594">
        <f>MOD(B2594,8)</f>
        <v>2</v>
      </c>
    </row>
    <row r="2595" spans="1:3" ht="16.5" x14ac:dyDescent="0.2">
      <c r="A2595" s="4" t="s">
        <v>21</v>
      </c>
      <c r="B2595" s="15">
        <v>2595</v>
      </c>
      <c r="C2595">
        <f>MOD(B2595,8)</f>
        <v>3</v>
      </c>
    </row>
    <row r="2596" spans="1:3" ht="16.5" x14ac:dyDescent="0.2">
      <c r="A2596" s="4" t="s">
        <v>21</v>
      </c>
      <c r="B2596">
        <v>2596</v>
      </c>
      <c r="C2596">
        <f>MOD(B2596,8)</f>
        <v>4</v>
      </c>
    </row>
    <row r="2597" spans="1:3" ht="16.5" x14ac:dyDescent="0.2">
      <c r="A2597" s="4" t="s">
        <v>21</v>
      </c>
      <c r="B2597">
        <v>2597</v>
      </c>
      <c r="C2597">
        <f>MOD(B2597,8)</f>
        <v>5</v>
      </c>
    </row>
    <row r="2598" spans="1:3" ht="16.5" x14ac:dyDescent="0.2">
      <c r="A2598" s="4" t="s">
        <v>21</v>
      </c>
      <c r="B2598" s="15">
        <v>2598</v>
      </c>
      <c r="C2598">
        <f>MOD(B2598,8)</f>
        <v>6</v>
      </c>
    </row>
    <row r="2599" spans="1:3" ht="16.5" x14ac:dyDescent="0.2">
      <c r="A2599" s="4" t="s">
        <v>21</v>
      </c>
      <c r="B2599">
        <v>2599</v>
      </c>
      <c r="C2599">
        <f>MOD(B2599,8)</f>
        <v>7</v>
      </c>
    </row>
    <row r="2600" spans="1:3" ht="16.5" x14ac:dyDescent="0.2">
      <c r="A2600" s="4" t="s">
        <v>21</v>
      </c>
      <c r="B2600" s="15">
        <v>2600</v>
      </c>
      <c r="C2600">
        <f>MOD(B2600,8)</f>
        <v>0</v>
      </c>
    </row>
    <row r="2601" spans="1:3" ht="16.5" x14ac:dyDescent="0.2">
      <c r="A2601" s="4" t="s">
        <v>20</v>
      </c>
      <c r="B2601">
        <v>2601</v>
      </c>
      <c r="C2601">
        <f>MOD(B2601,8)</f>
        <v>1</v>
      </c>
    </row>
    <row r="2602" spans="1:3" ht="16.5" x14ac:dyDescent="0.2">
      <c r="A2602" s="4" t="s">
        <v>20</v>
      </c>
      <c r="B2602">
        <v>2602</v>
      </c>
      <c r="C2602">
        <f>MOD(B2602,8)</f>
        <v>2</v>
      </c>
    </row>
    <row r="2603" spans="1:3" ht="16.5" x14ac:dyDescent="0.2">
      <c r="A2603" s="4" t="s">
        <v>20</v>
      </c>
      <c r="B2603" s="15">
        <v>2603</v>
      </c>
      <c r="C2603">
        <f>MOD(B2603,8)</f>
        <v>3</v>
      </c>
    </row>
    <row r="2604" spans="1:3" ht="16.5" x14ac:dyDescent="0.2">
      <c r="A2604" s="4" t="s">
        <v>20</v>
      </c>
      <c r="B2604">
        <v>2604</v>
      </c>
      <c r="C2604">
        <f>MOD(B2604,8)</f>
        <v>4</v>
      </c>
    </row>
    <row r="2605" spans="1:3" ht="16.5" x14ac:dyDescent="0.2">
      <c r="A2605" s="4" t="s">
        <v>20</v>
      </c>
      <c r="B2605" s="15">
        <v>2605</v>
      </c>
      <c r="C2605">
        <f>MOD(B2605,8)</f>
        <v>5</v>
      </c>
    </row>
    <row r="2606" spans="1:3" ht="16.5" x14ac:dyDescent="0.2">
      <c r="A2606" s="4" t="s">
        <v>20</v>
      </c>
      <c r="B2606">
        <v>2606</v>
      </c>
      <c r="C2606">
        <f>MOD(B2606,8)</f>
        <v>6</v>
      </c>
    </row>
    <row r="2607" spans="1:3" ht="16.5" x14ac:dyDescent="0.2">
      <c r="A2607" s="4" t="s">
        <v>20</v>
      </c>
      <c r="B2607">
        <v>2607</v>
      </c>
      <c r="C2607">
        <f>MOD(B2607,8)</f>
        <v>7</v>
      </c>
    </row>
    <row r="2608" spans="1:3" ht="16.5" x14ac:dyDescent="0.2">
      <c r="A2608" s="4" t="s">
        <v>20</v>
      </c>
      <c r="B2608" s="15">
        <v>2608</v>
      </c>
      <c r="C2608">
        <f>MOD(B2608,8)</f>
        <v>0</v>
      </c>
    </row>
    <row r="2609" spans="1:3" ht="16.5" x14ac:dyDescent="0.2">
      <c r="A2609" s="4" t="s">
        <v>19</v>
      </c>
      <c r="B2609">
        <v>2609</v>
      </c>
      <c r="C2609">
        <f>MOD(B2609,8)</f>
        <v>1</v>
      </c>
    </row>
    <row r="2610" spans="1:3" ht="16.5" x14ac:dyDescent="0.2">
      <c r="A2610" s="4" t="s">
        <v>19</v>
      </c>
      <c r="B2610" s="15">
        <v>2610</v>
      </c>
      <c r="C2610">
        <f>MOD(B2610,8)</f>
        <v>2</v>
      </c>
    </row>
    <row r="2611" spans="1:3" ht="16.5" x14ac:dyDescent="0.2">
      <c r="A2611" s="4" t="s">
        <v>19</v>
      </c>
      <c r="B2611">
        <v>2611</v>
      </c>
      <c r="C2611">
        <f>MOD(B2611,8)</f>
        <v>3</v>
      </c>
    </row>
    <row r="2612" spans="1:3" ht="16.5" x14ac:dyDescent="0.2">
      <c r="A2612" s="4" t="s">
        <v>19</v>
      </c>
      <c r="B2612">
        <v>2612</v>
      </c>
      <c r="C2612">
        <f>MOD(B2612,8)</f>
        <v>4</v>
      </c>
    </row>
    <row r="2613" spans="1:3" ht="16.5" x14ac:dyDescent="0.2">
      <c r="A2613" s="4" t="s">
        <v>19</v>
      </c>
      <c r="B2613" s="15">
        <v>2613</v>
      </c>
      <c r="C2613">
        <f>MOD(B2613,8)</f>
        <v>5</v>
      </c>
    </row>
    <row r="2614" spans="1:3" ht="16.5" x14ac:dyDescent="0.2">
      <c r="A2614" s="4" t="s">
        <v>19</v>
      </c>
      <c r="B2614">
        <v>2614</v>
      </c>
      <c r="C2614">
        <f>MOD(B2614,8)</f>
        <v>6</v>
      </c>
    </row>
    <row r="2615" spans="1:3" ht="16.5" x14ac:dyDescent="0.2">
      <c r="A2615" s="4" t="s">
        <v>19</v>
      </c>
      <c r="B2615" s="15">
        <v>2615</v>
      </c>
      <c r="C2615">
        <f>MOD(B2615,8)</f>
        <v>7</v>
      </c>
    </row>
    <row r="2616" spans="1:3" ht="16.5" x14ac:dyDescent="0.2">
      <c r="A2616" s="4" t="s">
        <v>19</v>
      </c>
      <c r="B2616">
        <v>2616</v>
      </c>
      <c r="C2616">
        <f>MOD(B2616,8)</f>
        <v>0</v>
      </c>
    </row>
    <row r="2617" spans="1:3" ht="16.5" x14ac:dyDescent="0.2">
      <c r="A2617" s="4" t="s">
        <v>18</v>
      </c>
      <c r="B2617">
        <v>2617</v>
      </c>
      <c r="C2617">
        <f>MOD(B2617,8)</f>
        <v>1</v>
      </c>
    </row>
    <row r="2618" spans="1:3" ht="16.5" x14ac:dyDescent="0.2">
      <c r="A2618" s="4" t="s">
        <v>18</v>
      </c>
      <c r="B2618" s="15">
        <v>2618</v>
      </c>
      <c r="C2618">
        <f>MOD(B2618,8)</f>
        <v>2</v>
      </c>
    </row>
    <row r="2619" spans="1:3" ht="16.5" x14ac:dyDescent="0.2">
      <c r="A2619" s="4" t="s">
        <v>18</v>
      </c>
      <c r="B2619">
        <v>2619</v>
      </c>
      <c r="C2619">
        <f>MOD(B2619,8)</f>
        <v>3</v>
      </c>
    </row>
    <row r="2620" spans="1:3" ht="16.5" x14ac:dyDescent="0.2">
      <c r="A2620" s="4" t="s">
        <v>18</v>
      </c>
      <c r="B2620" s="15">
        <v>2620</v>
      </c>
      <c r="C2620">
        <f>MOD(B2620,8)</f>
        <v>4</v>
      </c>
    </row>
    <row r="2621" spans="1:3" ht="16.5" x14ac:dyDescent="0.2">
      <c r="A2621" s="4" t="s">
        <v>18</v>
      </c>
      <c r="B2621">
        <v>2621</v>
      </c>
      <c r="C2621">
        <f>MOD(B2621,8)</f>
        <v>5</v>
      </c>
    </row>
    <row r="2622" spans="1:3" ht="16.5" x14ac:dyDescent="0.2">
      <c r="A2622" s="4" t="s">
        <v>18</v>
      </c>
      <c r="B2622">
        <v>2622</v>
      </c>
      <c r="C2622">
        <f>MOD(B2622,8)</f>
        <v>6</v>
      </c>
    </row>
    <row r="2623" spans="1:3" ht="16.5" x14ac:dyDescent="0.2">
      <c r="A2623" s="4" t="s">
        <v>18</v>
      </c>
      <c r="B2623" s="15">
        <v>2623</v>
      </c>
      <c r="C2623">
        <f>MOD(B2623,8)</f>
        <v>7</v>
      </c>
    </row>
    <row r="2624" spans="1:3" ht="16.5" x14ac:dyDescent="0.2">
      <c r="A2624" s="4" t="s">
        <v>18</v>
      </c>
      <c r="B2624">
        <v>2624</v>
      </c>
      <c r="C2624">
        <f>MOD(B2624,8)</f>
        <v>0</v>
      </c>
    </row>
    <row r="2625" spans="1:3" ht="16.5" x14ac:dyDescent="0.2">
      <c r="A2625" s="4" t="s">
        <v>17</v>
      </c>
      <c r="B2625" s="15">
        <v>2625</v>
      </c>
      <c r="C2625">
        <f>MOD(B2625,8)</f>
        <v>1</v>
      </c>
    </row>
    <row r="2626" spans="1:3" ht="16.5" x14ac:dyDescent="0.2">
      <c r="A2626" s="4" t="s">
        <v>17</v>
      </c>
      <c r="B2626">
        <v>2626</v>
      </c>
      <c r="C2626">
        <f>MOD(B2626,8)</f>
        <v>2</v>
      </c>
    </row>
    <row r="2627" spans="1:3" ht="16.5" x14ac:dyDescent="0.2">
      <c r="A2627" s="4" t="s">
        <v>17</v>
      </c>
      <c r="B2627">
        <v>2627</v>
      </c>
      <c r="C2627">
        <f>MOD(B2627,8)</f>
        <v>3</v>
      </c>
    </row>
    <row r="2628" spans="1:3" ht="16.5" x14ac:dyDescent="0.2">
      <c r="A2628" s="4" t="s">
        <v>17</v>
      </c>
      <c r="B2628" s="15">
        <v>2628</v>
      </c>
      <c r="C2628">
        <f>MOD(B2628,8)</f>
        <v>4</v>
      </c>
    </row>
    <row r="2629" spans="1:3" ht="16.5" x14ac:dyDescent="0.2">
      <c r="A2629" s="4" t="s">
        <v>17</v>
      </c>
      <c r="B2629">
        <v>2629</v>
      </c>
      <c r="C2629">
        <f>MOD(B2629,8)</f>
        <v>5</v>
      </c>
    </row>
    <row r="2630" spans="1:3" ht="16.5" x14ac:dyDescent="0.2">
      <c r="A2630" s="4" t="s">
        <v>17</v>
      </c>
      <c r="B2630" s="15">
        <v>2630</v>
      </c>
      <c r="C2630">
        <f>MOD(B2630,8)</f>
        <v>6</v>
      </c>
    </row>
    <row r="2631" spans="1:3" ht="16.5" x14ac:dyDescent="0.2">
      <c r="A2631" s="4" t="s">
        <v>17</v>
      </c>
      <c r="B2631">
        <v>2631</v>
      </c>
      <c r="C2631">
        <f>MOD(B2631,8)</f>
        <v>7</v>
      </c>
    </row>
    <row r="2632" spans="1:3" ht="16.5" x14ac:dyDescent="0.2">
      <c r="A2632" s="4" t="s">
        <v>17</v>
      </c>
      <c r="B2632">
        <v>2632</v>
      </c>
      <c r="C2632">
        <f>MOD(B2632,8)</f>
        <v>0</v>
      </c>
    </row>
    <row r="2633" spans="1:3" ht="16.5" x14ac:dyDescent="0.2">
      <c r="A2633" s="4" t="s">
        <v>16</v>
      </c>
      <c r="B2633" s="15">
        <v>2633</v>
      </c>
      <c r="C2633">
        <f>MOD(B2633,8)</f>
        <v>1</v>
      </c>
    </row>
    <row r="2634" spans="1:3" ht="16.5" x14ac:dyDescent="0.2">
      <c r="A2634" s="4" t="s">
        <v>16</v>
      </c>
      <c r="B2634">
        <v>2634</v>
      </c>
      <c r="C2634">
        <f>MOD(B2634,8)</f>
        <v>2</v>
      </c>
    </row>
    <row r="2635" spans="1:3" ht="16.5" x14ac:dyDescent="0.2">
      <c r="A2635" s="4" t="s">
        <v>16</v>
      </c>
      <c r="B2635" s="15">
        <v>2635</v>
      </c>
      <c r="C2635">
        <f>MOD(B2635,8)</f>
        <v>3</v>
      </c>
    </row>
    <row r="2636" spans="1:3" ht="16.5" x14ac:dyDescent="0.2">
      <c r="A2636" s="4" t="s">
        <v>16</v>
      </c>
      <c r="B2636">
        <v>2636</v>
      </c>
      <c r="C2636">
        <f>MOD(B2636,8)</f>
        <v>4</v>
      </c>
    </row>
    <row r="2637" spans="1:3" ht="16.5" x14ac:dyDescent="0.2">
      <c r="A2637" s="4" t="s">
        <v>16</v>
      </c>
      <c r="B2637">
        <v>2637</v>
      </c>
      <c r="C2637">
        <f>MOD(B2637,8)</f>
        <v>5</v>
      </c>
    </row>
    <row r="2638" spans="1:3" ht="16.5" x14ac:dyDescent="0.2">
      <c r="A2638" s="4" t="s">
        <v>16</v>
      </c>
      <c r="B2638" s="15">
        <v>2638</v>
      </c>
      <c r="C2638">
        <f>MOD(B2638,8)</f>
        <v>6</v>
      </c>
    </row>
    <row r="2639" spans="1:3" ht="16.5" x14ac:dyDescent="0.2">
      <c r="A2639" s="4" t="s">
        <v>16</v>
      </c>
      <c r="B2639">
        <v>2639</v>
      </c>
      <c r="C2639">
        <f>MOD(B2639,8)</f>
        <v>7</v>
      </c>
    </row>
    <row r="2640" spans="1:3" ht="16.5" x14ac:dyDescent="0.2">
      <c r="A2640" s="4" t="s">
        <v>16</v>
      </c>
      <c r="B2640" s="15">
        <v>2640</v>
      </c>
      <c r="C2640">
        <f>MOD(B2640,8)</f>
        <v>0</v>
      </c>
    </row>
    <row r="2641" spans="1:3" ht="16.5" x14ac:dyDescent="0.2">
      <c r="A2641" s="4" t="s">
        <v>15</v>
      </c>
      <c r="B2641">
        <v>2641</v>
      </c>
      <c r="C2641">
        <f>MOD(B2641,8)</f>
        <v>1</v>
      </c>
    </row>
    <row r="2642" spans="1:3" ht="16.5" x14ac:dyDescent="0.2">
      <c r="A2642" s="4" t="s">
        <v>15</v>
      </c>
      <c r="B2642">
        <v>2642</v>
      </c>
      <c r="C2642">
        <f>MOD(B2642,8)</f>
        <v>2</v>
      </c>
    </row>
    <row r="2643" spans="1:3" ht="16.5" x14ac:dyDescent="0.2">
      <c r="A2643" s="4" t="s">
        <v>15</v>
      </c>
      <c r="B2643" s="15">
        <v>2643</v>
      </c>
      <c r="C2643">
        <f>MOD(B2643,8)</f>
        <v>3</v>
      </c>
    </row>
    <row r="2644" spans="1:3" ht="16.5" x14ac:dyDescent="0.2">
      <c r="A2644" s="4" t="s">
        <v>15</v>
      </c>
      <c r="B2644">
        <v>2644</v>
      </c>
      <c r="C2644">
        <f>MOD(B2644,8)</f>
        <v>4</v>
      </c>
    </row>
    <row r="2645" spans="1:3" ht="16.5" x14ac:dyDescent="0.2">
      <c r="A2645" s="4" t="s">
        <v>15</v>
      </c>
      <c r="B2645" s="15">
        <v>2645</v>
      </c>
      <c r="C2645">
        <f>MOD(B2645,8)</f>
        <v>5</v>
      </c>
    </row>
    <row r="2646" spans="1:3" ht="16.5" x14ac:dyDescent="0.2">
      <c r="A2646" s="4" t="s">
        <v>15</v>
      </c>
      <c r="B2646">
        <v>2646</v>
      </c>
      <c r="C2646">
        <f>MOD(B2646,8)</f>
        <v>6</v>
      </c>
    </row>
    <row r="2647" spans="1:3" ht="16.5" x14ac:dyDescent="0.2">
      <c r="A2647" s="4" t="s">
        <v>15</v>
      </c>
      <c r="B2647">
        <v>2647</v>
      </c>
      <c r="C2647">
        <f>MOD(B2647,8)</f>
        <v>7</v>
      </c>
    </row>
    <row r="2648" spans="1:3" ht="16.5" x14ac:dyDescent="0.2">
      <c r="A2648" s="4" t="s">
        <v>15</v>
      </c>
      <c r="B2648" s="15">
        <v>2648</v>
      </c>
      <c r="C2648">
        <f>MOD(B2648,8)</f>
        <v>0</v>
      </c>
    </row>
    <row r="2649" spans="1:3" ht="16.5" x14ac:dyDescent="0.2">
      <c r="A2649" s="4" t="s">
        <v>14</v>
      </c>
      <c r="B2649">
        <v>2649</v>
      </c>
      <c r="C2649">
        <f>MOD(B2649,8)</f>
        <v>1</v>
      </c>
    </row>
    <row r="2650" spans="1:3" ht="16.5" x14ac:dyDescent="0.2">
      <c r="A2650" s="4" t="s">
        <v>14</v>
      </c>
      <c r="B2650" s="15">
        <v>2650</v>
      </c>
      <c r="C2650">
        <f>MOD(B2650,8)</f>
        <v>2</v>
      </c>
    </row>
    <row r="2651" spans="1:3" ht="16.5" x14ac:dyDescent="0.2">
      <c r="A2651" s="4" t="s">
        <v>14</v>
      </c>
      <c r="B2651">
        <v>2651</v>
      </c>
      <c r="C2651">
        <f>MOD(B2651,8)</f>
        <v>3</v>
      </c>
    </row>
    <row r="2652" spans="1:3" ht="16.5" x14ac:dyDescent="0.2">
      <c r="A2652" s="4" t="s">
        <v>14</v>
      </c>
      <c r="B2652">
        <v>2652</v>
      </c>
      <c r="C2652">
        <f>MOD(B2652,8)</f>
        <v>4</v>
      </c>
    </row>
    <row r="2653" spans="1:3" ht="16.5" x14ac:dyDescent="0.2">
      <c r="A2653" s="4" t="s">
        <v>14</v>
      </c>
      <c r="B2653" s="15">
        <v>2653</v>
      </c>
      <c r="C2653">
        <f>MOD(B2653,8)</f>
        <v>5</v>
      </c>
    </row>
    <row r="2654" spans="1:3" ht="16.5" x14ac:dyDescent="0.2">
      <c r="A2654" s="4" t="s">
        <v>14</v>
      </c>
      <c r="B2654">
        <v>2654</v>
      </c>
      <c r="C2654">
        <f>MOD(B2654,8)</f>
        <v>6</v>
      </c>
    </row>
    <row r="2655" spans="1:3" ht="16.5" x14ac:dyDescent="0.2">
      <c r="A2655" s="4" t="s">
        <v>14</v>
      </c>
      <c r="B2655" s="15">
        <v>2655</v>
      </c>
      <c r="C2655">
        <f>MOD(B2655,8)</f>
        <v>7</v>
      </c>
    </row>
    <row r="2656" spans="1:3" ht="16.5" x14ac:dyDescent="0.2">
      <c r="A2656" s="4" t="s">
        <v>14</v>
      </c>
      <c r="B2656">
        <v>2656</v>
      </c>
      <c r="C2656">
        <f>MOD(B2656,8)</f>
        <v>0</v>
      </c>
    </row>
    <row r="2657" spans="1:3" ht="16.5" x14ac:dyDescent="0.2">
      <c r="A2657" s="4" t="s">
        <v>13</v>
      </c>
      <c r="B2657">
        <v>2657</v>
      </c>
      <c r="C2657">
        <f>MOD(B2657,8)</f>
        <v>1</v>
      </c>
    </row>
    <row r="2658" spans="1:3" ht="16.5" x14ac:dyDescent="0.2">
      <c r="A2658" s="4" t="s">
        <v>13</v>
      </c>
      <c r="B2658" s="15">
        <v>2658</v>
      </c>
      <c r="C2658">
        <f>MOD(B2658,8)</f>
        <v>2</v>
      </c>
    </row>
    <row r="2659" spans="1:3" ht="16.5" x14ac:dyDescent="0.2">
      <c r="A2659" s="4" t="s">
        <v>13</v>
      </c>
      <c r="B2659">
        <v>2659</v>
      </c>
      <c r="C2659">
        <f>MOD(B2659,8)</f>
        <v>3</v>
      </c>
    </row>
    <row r="2660" spans="1:3" ht="16.5" x14ac:dyDescent="0.2">
      <c r="A2660" s="4" t="s">
        <v>13</v>
      </c>
      <c r="B2660" s="15">
        <v>2660</v>
      </c>
      <c r="C2660">
        <f>MOD(B2660,8)</f>
        <v>4</v>
      </c>
    </row>
    <row r="2661" spans="1:3" ht="16.5" x14ac:dyDescent="0.2">
      <c r="A2661" s="4" t="s">
        <v>13</v>
      </c>
      <c r="B2661">
        <v>2661</v>
      </c>
      <c r="C2661">
        <f>MOD(B2661,8)</f>
        <v>5</v>
      </c>
    </row>
    <row r="2662" spans="1:3" ht="16.5" x14ac:dyDescent="0.2">
      <c r="A2662" s="4" t="s">
        <v>13</v>
      </c>
      <c r="B2662">
        <v>2662</v>
      </c>
      <c r="C2662">
        <f>MOD(B2662,8)</f>
        <v>6</v>
      </c>
    </row>
    <row r="2663" spans="1:3" ht="16.5" x14ac:dyDescent="0.2">
      <c r="A2663" s="4" t="s">
        <v>13</v>
      </c>
      <c r="B2663" s="15">
        <v>2663</v>
      </c>
      <c r="C2663">
        <f>MOD(B2663,8)</f>
        <v>7</v>
      </c>
    </row>
    <row r="2664" spans="1:3" ht="16.5" x14ac:dyDescent="0.2">
      <c r="A2664" s="4" t="s">
        <v>13</v>
      </c>
      <c r="B2664">
        <v>2664</v>
      </c>
      <c r="C2664">
        <f>MOD(B2664,8)</f>
        <v>0</v>
      </c>
    </row>
    <row r="2665" spans="1:3" ht="16.5" x14ac:dyDescent="0.2">
      <c r="A2665" s="4" t="s">
        <v>12</v>
      </c>
      <c r="B2665" s="15">
        <v>2665</v>
      </c>
      <c r="C2665">
        <f>MOD(B2665,8)</f>
        <v>1</v>
      </c>
    </row>
    <row r="2666" spans="1:3" ht="16.5" x14ac:dyDescent="0.2">
      <c r="A2666" s="4" t="s">
        <v>12</v>
      </c>
      <c r="B2666">
        <v>2666</v>
      </c>
      <c r="C2666">
        <f>MOD(B2666,8)</f>
        <v>2</v>
      </c>
    </row>
    <row r="2667" spans="1:3" ht="16.5" x14ac:dyDescent="0.2">
      <c r="A2667" s="4" t="s">
        <v>12</v>
      </c>
      <c r="B2667">
        <v>2667</v>
      </c>
      <c r="C2667">
        <f>MOD(B2667,8)</f>
        <v>3</v>
      </c>
    </row>
    <row r="2668" spans="1:3" ht="16.5" x14ac:dyDescent="0.2">
      <c r="A2668" s="4" t="s">
        <v>12</v>
      </c>
      <c r="B2668" s="15">
        <v>2668</v>
      </c>
      <c r="C2668">
        <f>MOD(B2668,8)</f>
        <v>4</v>
      </c>
    </row>
    <row r="2669" spans="1:3" ht="16.5" x14ac:dyDescent="0.2">
      <c r="A2669" s="4" t="s">
        <v>12</v>
      </c>
      <c r="B2669">
        <v>2669</v>
      </c>
      <c r="C2669">
        <f>MOD(B2669,8)</f>
        <v>5</v>
      </c>
    </row>
    <row r="2670" spans="1:3" ht="16.5" x14ac:dyDescent="0.2">
      <c r="A2670" s="4" t="s">
        <v>12</v>
      </c>
      <c r="B2670" s="15">
        <v>2670</v>
      </c>
      <c r="C2670">
        <f>MOD(B2670,8)</f>
        <v>6</v>
      </c>
    </row>
    <row r="2671" spans="1:3" ht="16.5" x14ac:dyDescent="0.2">
      <c r="A2671" s="4" t="s">
        <v>12</v>
      </c>
      <c r="B2671">
        <v>2671</v>
      </c>
      <c r="C2671">
        <f>MOD(B2671,8)</f>
        <v>7</v>
      </c>
    </row>
    <row r="2672" spans="1:3" ht="16.5" x14ac:dyDescent="0.2">
      <c r="A2672" s="4" t="s">
        <v>12</v>
      </c>
      <c r="B2672">
        <v>2672</v>
      </c>
      <c r="C2672">
        <f>MOD(B2672,8)</f>
        <v>0</v>
      </c>
    </row>
    <row r="2673" spans="1:3" ht="16.5" x14ac:dyDescent="0.2">
      <c r="A2673" s="4" t="s">
        <v>11</v>
      </c>
      <c r="B2673" s="15">
        <v>2673</v>
      </c>
      <c r="C2673">
        <f>MOD(B2673,8)</f>
        <v>1</v>
      </c>
    </row>
    <row r="2674" spans="1:3" ht="16.5" x14ac:dyDescent="0.2">
      <c r="A2674" s="4" t="s">
        <v>11</v>
      </c>
      <c r="B2674">
        <v>2674</v>
      </c>
      <c r="C2674">
        <f>MOD(B2674,8)</f>
        <v>2</v>
      </c>
    </row>
    <row r="2675" spans="1:3" ht="16.5" x14ac:dyDescent="0.2">
      <c r="A2675" s="4" t="s">
        <v>11</v>
      </c>
      <c r="B2675" s="15">
        <v>2675</v>
      </c>
      <c r="C2675">
        <f>MOD(B2675,8)</f>
        <v>3</v>
      </c>
    </row>
    <row r="2676" spans="1:3" ht="16.5" x14ac:dyDescent="0.2">
      <c r="A2676" s="4" t="s">
        <v>11</v>
      </c>
      <c r="B2676">
        <v>2676</v>
      </c>
      <c r="C2676">
        <f>MOD(B2676,8)</f>
        <v>4</v>
      </c>
    </row>
    <row r="2677" spans="1:3" ht="16.5" x14ac:dyDescent="0.2">
      <c r="A2677" s="4" t="s">
        <v>11</v>
      </c>
      <c r="B2677">
        <v>2677</v>
      </c>
      <c r="C2677">
        <f>MOD(B2677,8)</f>
        <v>5</v>
      </c>
    </row>
    <row r="2678" spans="1:3" ht="16.5" x14ac:dyDescent="0.2">
      <c r="A2678" s="4" t="s">
        <v>11</v>
      </c>
      <c r="B2678" s="15">
        <v>2678</v>
      </c>
      <c r="C2678">
        <f>MOD(B2678,8)</f>
        <v>6</v>
      </c>
    </row>
    <row r="2679" spans="1:3" ht="16.5" x14ac:dyDescent="0.2">
      <c r="A2679" s="4" t="s">
        <v>11</v>
      </c>
      <c r="B2679">
        <v>2679</v>
      </c>
      <c r="C2679">
        <f>MOD(B2679,8)</f>
        <v>7</v>
      </c>
    </row>
    <row r="2680" spans="1:3" ht="16.5" x14ac:dyDescent="0.2">
      <c r="A2680" s="4" t="s">
        <v>11</v>
      </c>
      <c r="B2680" s="15">
        <v>2680</v>
      </c>
      <c r="C2680">
        <f>MOD(B2680,8)</f>
        <v>0</v>
      </c>
    </row>
    <row r="2681" spans="1:3" ht="16.5" x14ac:dyDescent="0.2">
      <c r="A2681" s="4" t="s">
        <v>10</v>
      </c>
      <c r="B2681">
        <v>2681</v>
      </c>
      <c r="C2681">
        <f>MOD(B2681,8)</f>
        <v>1</v>
      </c>
    </row>
    <row r="2682" spans="1:3" ht="16.5" x14ac:dyDescent="0.2">
      <c r="A2682" s="4" t="s">
        <v>10</v>
      </c>
      <c r="B2682">
        <v>2682</v>
      </c>
      <c r="C2682">
        <f>MOD(B2682,8)</f>
        <v>2</v>
      </c>
    </row>
    <row r="2683" spans="1:3" ht="16.5" x14ac:dyDescent="0.2">
      <c r="A2683" s="4" t="s">
        <v>10</v>
      </c>
      <c r="B2683" s="15">
        <v>2683</v>
      </c>
      <c r="C2683">
        <f>MOD(B2683,8)</f>
        <v>3</v>
      </c>
    </row>
    <row r="2684" spans="1:3" ht="16.5" x14ac:dyDescent="0.2">
      <c r="A2684" s="4" t="s">
        <v>10</v>
      </c>
      <c r="B2684">
        <v>2684</v>
      </c>
      <c r="C2684">
        <f>MOD(B2684,8)</f>
        <v>4</v>
      </c>
    </row>
    <row r="2685" spans="1:3" ht="16.5" x14ac:dyDescent="0.2">
      <c r="A2685" s="4" t="s">
        <v>10</v>
      </c>
      <c r="B2685" s="15">
        <v>2685</v>
      </c>
      <c r="C2685">
        <f>MOD(B2685,8)</f>
        <v>5</v>
      </c>
    </row>
    <row r="2686" spans="1:3" ht="16.5" x14ac:dyDescent="0.2">
      <c r="A2686" s="4" t="s">
        <v>10</v>
      </c>
      <c r="B2686">
        <v>2686</v>
      </c>
      <c r="C2686">
        <f>MOD(B2686,8)</f>
        <v>6</v>
      </c>
    </row>
    <row r="2687" spans="1:3" ht="16.5" x14ac:dyDescent="0.2">
      <c r="A2687" s="4" t="s">
        <v>10</v>
      </c>
      <c r="B2687">
        <v>2687</v>
      </c>
      <c r="C2687">
        <f>MOD(B2687,8)</f>
        <v>7</v>
      </c>
    </row>
    <row r="2688" spans="1:3" ht="16.5" x14ac:dyDescent="0.2">
      <c r="A2688" s="4" t="s">
        <v>10</v>
      </c>
      <c r="B2688" s="15">
        <v>2688</v>
      </c>
      <c r="C2688">
        <f>MOD(B2688,8)</f>
        <v>0</v>
      </c>
    </row>
    <row r="2689" spans="1:3" ht="16.5" x14ac:dyDescent="0.2">
      <c r="A2689" s="4" t="s">
        <v>9</v>
      </c>
      <c r="B2689">
        <v>2689</v>
      </c>
      <c r="C2689">
        <f>MOD(B2689,8)</f>
        <v>1</v>
      </c>
    </row>
    <row r="2690" spans="1:3" ht="16.5" x14ac:dyDescent="0.2">
      <c r="A2690" s="4" t="s">
        <v>9</v>
      </c>
      <c r="B2690" s="15">
        <v>2690</v>
      </c>
      <c r="C2690">
        <f>MOD(B2690,8)</f>
        <v>2</v>
      </c>
    </row>
    <row r="2691" spans="1:3" ht="16.5" x14ac:dyDescent="0.2">
      <c r="A2691" s="4" t="s">
        <v>9</v>
      </c>
      <c r="B2691">
        <v>2691</v>
      </c>
      <c r="C2691">
        <f>MOD(B2691,8)</f>
        <v>3</v>
      </c>
    </row>
    <row r="2692" spans="1:3" ht="16.5" x14ac:dyDescent="0.2">
      <c r="A2692" s="4" t="s">
        <v>9</v>
      </c>
      <c r="B2692">
        <v>2692</v>
      </c>
      <c r="C2692">
        <f>MOD(B2692,8)</f>
        <v>4</v>
      </c>
    </row>
    <row r="2693" spans="1:3" ht="16.5" x14ac:dyDescent="0.2">
      <c r="A2693" s="4" t="s">
        <v>9</v>
      </c>
      <c r="B2693" s="15">
        <v>2693</v>
      </c>
      <c r="C2693">
        <f>MOD(B2693,8)</f>
        <v>5</v>
      </c>
    </row>
    <row r="2694" spans="1:3" ht="16.5" x14ac:dyDescent="0.2">
      <c r="A2694" s="4" t="s">
        <v>9</v>
      </c>
      <c r="B2694">
        <v>2694</v>
      </c>
      <c r="C2694">
        <f>MOD(B2694,8)</f>
        <v>6</v>
      </c>
    </row>
    <row r="2695" spans="1:3" ht="16.5" x14ac:dyDescent="0.2">
      <c r="A2695" s="4" t="s">
        <v>9</v>
      </c>
      <c r="B2695" s="15">
        <v>2695</v>
      </c>
      <c r="C2695">
        <f>MOD(B2695,8)</f>
        <v>7</v>
      </c>
    </row>
    <row r="2696" spans="1:3" ht="16.5" x14ac:dyDescent="0.2">
      <c r="A2696" s="4" t="s">
        <v>9</v>
      </c>
      <c r="B2696">
        <v>2696</v>
      </c>
      <c r="C2696">
        <f>MOD(B2696,8)</f>
        <v>0</v>
      </c>
    </row>
    <row r="2697" spans="1:3" ht="16.5" x14ac:dyDescent="0.2">
      <c r="A2697" s="4" t="s">
        <v>8</v>
      </c>
      <c r="B2697">
        <v>2697</v>
      </c>
      <c r="C2697">
        <f>MOD(B2697,8)</f>
        <v>1</v>
      </c>
    </row>
    <row r="2698" spans="1:3" ht="16.5" x14ac:dyDescent="0.2">
      <c r="A2698" s="4" t="s">
        <v>8</v>
      </c>
      <c r="B2698" s="15">
        <v>2698</v>
      </c>
      <c r="C2698">
        <f>MOD(B2698,8)</f>
        <v>2</v>
      </c>
    </row>
    <row r="2699" spans="1:3" ht="16.5" x14ac:dyDescent="0.2">
      <c r="A2699" s="4" t="s">
        <v>8</v>
      </c>
      <c r="B2699">
        <v>2699</v>
      </c>
      <c r="C2699">
        <f>MOD(B2699,8)</f>
        <v>3</v>
      </c>
    </row>
    <row r="2700" spans="1:3" ht="16.5" x14ac:dyDescent="0.2">
      <c r="A2700" s="4" t="s">
        <v>8</v>
      </c>
      <c r="B2700" s="15">
        <v>2700</v>
      </c>
      <c r="C2700">
        <f>MOD(B2700,8)</f>
        <v>4</v>
      </c>
    </row>
    <row r="2701" spans="1:3" ht="16.5" x14ac:dyDescent="0.2">
      <c r="A2701" s="4" t="s">
        <v>8</v>
      </c>
      <c r="B2701">
        <v>2701</v>
      </c>
      <c r="C2701">
        <f>MOD(B2701,8)</f>
        <v>5</v>
      </c>
    </row>
    <row r="2702" spans="1:3" ht="16.5" x14ac:dyDescent="0.2">
      <c r="A2702" s="4" t="s">
        <v>8</v>
      </c>
      <c r="B2702">
        <v>2702</v>
      </c>
      <c r="C2702">
        <f>MOD(B2702,8)</f>
        <v>6</v>
      </c>
    </row>
    <row r="2703" spans="1:3" ht="16.5" x14ac:dyDescent="0.2">
      <c r="A2703" s="4" t="s">
        <v>8</v>
      </c>
      <c r="B2703" s="15">
        <v>2703</v>
      </c>
      <c r="C2703">
        <f>MOD(B2703,8)</f>
        <v>7</v>
      </c>
    </row>
    <row r="2704" spans="1:3" ht="16.5" x14ac:dyDescent="0.2">
      <c r="A2704" s="4" t="s">
        <v>8</v>
      </c>
      <c r="B2704">
        <v>2704</v>
      </c>
      <c r="C2704">
        <f>MOD(B2704,8)</f>
        <v>0</v>
      </c>
    </row>
    <row r="2705" spans="1:3" ht="16.5" x14ac:dyDescent="0.2">
      <c r="A2705" s="4" t="s">
        <v>7</v>
      </c>
      <c r="B2705" s="15">
        <v>2705</v>
      </c>
      <c r="C2705">
        <f>MOD(B2705,8)</f>
        <v>1</v>
      </c>
    </row>
    <row r="2706" spans="1:3" ht="16.5" x14ac:dyDescent="0.2">
      <c r="A2706" s="4" t="s">
        <v>7</v>
      </c>
      <c r="B2706">
        <v>2706</v>
      </c>
      <c r="C2706">
        <f>MOD(B2706,8)</f>
        <v>2</v>
      </c>
    </row>
    <row r="2707" spans="1:3" ht="16.5" x14ac:dyDescent="0.2">
      <c r="A2707" s="4" t="s">
        <v>7</v>
      </c>
      <c r="B2707">
        <v>2707</v>
      </c>
      <c r="C2707">
        <f>MOD(B2707,8)</f>
        <v>3</v>
      </c>
    </row>
    <row r="2708" spans="1:3" ht="16.5" x14ac:dyDescent="0.2">
      <c r="A2708" s="4" t="s">
        <v>7</v>
      </c>
      <c r="B2708" s="15">
        <v>2708</v>
      </c>
      <c r="C2708">
        <f>MOD(B2708,8)</f>
        <v>4</v>
      </c>
    </row>
    <row r="2709" spans="1:3" ht="16.5" x14ac:dyDescent="0.2">
      <c r="A2709" s="4" t="s">
        <v>7</v>
      </c>
      <c r="B2709">
        <v>2709</v>
      </c>
      <c r="C2709">
        <f>MOD(B2709,8)</f>
        <v>5</v>
      </c>
    </row>
    <row r="2710" spans="1:3" ht="16.5" x14ac:dyDescent="0.2">
      <c r="A2710" s="4" t="s">
        <v>7</v>
      </c>
      <c r="B2710" s="15">
        <v>2710</v>
      </c>
      <c r="C2710">
        <f>MOD(B2710,8)</f>
        <v>6</v>
      </c>
    </row>
    <row r="2711" spans="1:3" ht="16.5" x14ac:dyDescent="0.2">
      <c r="A2711" s="4" t="s">
        <v>7</v>
      </c>
      <c r="B2711">
        <v>2711</v>
      </c>
      <c r="C2711">
        <f>MOD(B2711,8)</f>
        <v>7</v>
      </c>
    </row>
    <row r="2712" spans="1:3" ht="16.5" x14ac:dyDescent="0.2">
      <c r="A2712" s="4" t="s">
        <v>7</v>
      </c>
      <c r="B2712">
        <v>2712</v>
      </c>
      <c r="C2712">
        <f>MOD(B2712,8)</f>
        <v>0</v>
      </c>
    </row>
    <row r="2713" spans="1:3" ht="16.5" x14ac:dyDescent="0.2">
      <c r="A2713" s="4" t="s">
        <v>6</v>
      </c>
      <c r="B2713" s="15">
        <v>2713</v>
      </c>
      <c r="C2713">
        <f>MOD(B2713,8)</f>
        <v>1</v>
      </c>
    </row>
    <row r="2714" spans="1:3" ht="16.5" x14ac:dyDescent="0.2">
      <c r="A2714" s="4" t="s">
        <v>6</v>
      </c>
      <c r="B2714">
        <v>2714</v>
      </c>
      <c r="C2714">
        <f>MOD(B2714,8)</f>
        <v>2</v>
      </c>
    </row>
    <row r="2715" spans="1:3" ht="16.5" x14ac:dyDescent="0.2">
      <c r="A2715" s="4" t="s">
        <v>6</v>
      </c>
      <c r="B2715" s="15">
        <v>2715</v>
      </c>
      <c r="C2715">
        <f>MOD(B2715,8)</f>
        <v>3</v>
      </c>
    </row>
    <row r="2716" spans="1:3" ht="16.5" x14ac:dyDescent="0.2">
      <c r="A2716" s="4" t="s">
        <v>6</v>
      </c>
      <c r="B2716">
        <v>2716</v>
      </c>
      <c r="C2716">
        <f>MOD(B2716,8)</f>
        <v>4</v>
      </c>
    </row>
    <row r="2717" spans="1:3" ht="16.5" x14ac:dyDescent="0.2">
      <c r="A2717" s="4" t="s">
        <v>6</v>
      </c>
      <c r="B2717">
        <v>2717</v>
      </c>
      <c r="C2717">
        <f>MOD(B2717,8)</f>
        <v>5</v>
      </c>
    </row>
    <row r="2718" spans="1:3" ht="16.5" x14ac:dyDescent="0.2">
      <c r="A2718" s="4" t="s">
        <v>6</v>
      </c>
      <c r="B2718" s="15">
        <v>2718</v>
      </c>
      <c r="C2718">
        <f>MOD(B2718,8)</f>
        <v>6</v>
      </c>
    </row>
    <row r="2719" spans="1:3" ht="16.5" x14ac:dyDescent="0.2">
      <c r="A2719" s="4" t="s">
        <v>6</v>
      </c>
      <c r="B2719">
        <v>2719</v>
      </c>
      <c r="C2719">
        <f>MOD(B2719,8)</f>
        <v>7</v>
      </c>
    </row>
    <row r="2720" spans="1:3" ht="16.5" x14ac:dyDescent="0.2">
      <c r="A2720" s="4" t="s">
        <v>6</v>
      </c>
      <c r="B2720" s="15">
        <v>2720</v>
      </c>
      <c r="C2720">
        <f>MOD(B2720,8)</f>
        <v>0</v>
      </c>
    </row>
    <row r="2721" spans="1:3" ht="16.5" x14ac:dyDescent="0.2">
      <c r="A2721" s="4" t="s">
        <v>5</v>
      </c>
      <c r="B2721">
        <v>2721</v>
      </c>
      <c r="C2721">
        <f>MOD(B2721,8)</f>
        <v>1</v>
      </c>
    </row>
    <row r="2722" spans="1:3" ht="16.5" x14ac:dyDescent="0.2">
      <c r="A2722" s="4" t="s">
        <v>5</v>
      </c>
      <c r="B2722">
        <v>2722</v>
      </c>
      <c r="C2722">
        <f>MOD(B2722,8)</f>
        <v>2</v>
      </c>
    </row>
    <row r="2723" spans="1:3" ht="16.5" x14ac:dyDescent="0.2">
      <c r="A2723" s="4" t="s">
        <v>5</v>
      </c>
      <c r="B2723" s="15">
        <v>2723</v>
      </c>
      <c r="C2723">
        <f>MOD(B2723,8)</f>
        <v>3</v>
      </c>
    </row>
    <row r="2724" spans="1:3" ht="16.5" x14ac:dyDescent="0.2">
      <c r="A2724" s="4" t="s">
        <v>5</v>
      </c>
      <c r="B2724">
        <v>2724</v>
      </c>
      <c r="C2724">
        <f>MOD(B2724,8)</f>
        <v>4</v>
      </c>
    </row>
    <row r="2725" spans="1:3" ht="16.5" x14ac:dyDescent="0.2">
      <c r="A2725" s="4" t="s">
        <v>5</v>
      </c>
      <c r="B2725" s="15">
        <v>2725</v>
      </c>
      <c r="C2725">
        <f>MOD(B2725,8)</f>
        <v>5</v>
      </c>
    </row>
    <row r="2726" spans="1:3" ht="16.5" x14ac:dyDescent="0.2">
      <c r="A2726" s="4" t="s">
        <v>5</v>
      </c>
      <c r="B2726">
        <v>2726</v>
      </c>
      <c r="C2726">
        <f>MOD(B2726,8)</f>
        <v>6</v>
      </c>
    </row>
    <row r="2727" spans="1:3" ht="16.5" x14ac:dyDescent="0.2">
      <c r="A2727" s="4" t="s">
        <v>5</v>
      </c>
      <c r="B2727">
        <v>2727</v>
      </c>
      <c r="C2727">
        <f>MOD(B2727,8)</f>
        <v>7</v>
      </c>
    </row>
    <row r="2728" spans="1:3" ht="16.5" x14ac:dyDescent="0.2">
      <c r="A2728" s="4" t="s">
        <v>5</v>
      </c>
      <c r="B2728" s="15">
        <v>2728</v>
      </c>
      <c r="C2728">
        <f>MOD(B2728,8)</f>
        <v>0</v>
      </c>
    </row>
    <row r="2729" spans="1:3" ht="16.5" x14ac:dyDescent="0.2">
      <c r="A2729" s="4" t="s">
        <v>4</v>
      </c>
      <c r="B2729">
        <v>2729</v>
      </c>
      <c r="C2729">
        <f>MOD(B2729,8)</f>
        <v>1</v>
      </c>
    </row>
    <row r="2730" spans="1:3" ht="16.5" x14ac:dyDescent="0.2">
      <c r="A2730" s="4" t="s">
        <v>4</v>
      </c>
      <c r="B2730" s="15">
        <v>2730</v>
      </c>
      <c r="C2730">
        <f>MOD(B2730,8)</f>
        <v>2</v>
      </c>
    </row>
    <row r="2731" spans="1:3" ht="16.5" x14ac:dyDescent="0.2">
      <c r="A2731" s="4" t="s">
        <v>4</v>
      </c>
      <c r="B2731">
        <v>2731</v>
      </c>
      <c r="C2731">
        <f>MOD(B2731,8)</f>
        <v>3</v>
      </c>
    </row>
    <row r="2732" spans="1:3" ht="16.5" x14ac:dyDescent="0.2">
      <c r="A2732" s="4" t="s">
        <v>4</v>
      </c>
      <c r="B2732">
        <v>2732</v>
      </c>
      <c r="C2732">
        <f>MOD(B2732,8)</f>
        <v>4</v>
      </c>
    </row>
    <row r="2733" spans="1:3" ht="16.5" x14ac:dyDescent="0.2">
      <c r="A2733" s="4" t="s">
        <v>4</v>
      </c>
      <c r="B2733" s="15">
        <v>2733</v>
      </c>
      <c r="C2733">
        <f>MOD(B2733,8)</f>
        <v>5</v>
      </c>
    </row>
    <row r="2734" spans="1:3" ht="16.5" x14ac:dyDescent="0.2">
      <c r="A2734" s="4" t="s">
        <v>4</v>
      </c>
      <c r="B2734">
        <v>2734</v>
      </c>
      <c r="C2734">
        <f>MOD(B2734,8)</f>
        <v>6</v>
      </c>
    </row>
    <row r="2735" spans="1:3" ht="16.5" x14ac:dyDescent="0.2">
      <c r="A2735" s="4" t="s">
        <v>4</v>
      </c>
      <c r="B2735" s="15">
        <v>2735</v>
      </c>
      <c r="C2735">
        <f>MOD(B2735,8)</f>
        <v>7</v>
      </c>
    </row>
    <row r="2736" spans="1:3" ht="16.5" x14ac:dyDescent="0.2">
      <c r="A2736" s="4" t="s">
        <v>4</v>
      </c>
      <c r="B2736">
        <v>2736</v>
      </c>
      <c r="C2736">
        <f>MOD(B2736,8)</f>
        <v>0</v>
      </c>
    </row>
    <row r="2737" spans="1:3" ht="16.5" x14ac:dyDescent="0.2">
      <c r="A2737" s="4" t="s">
        <v>3</v>
      </c>
      <c r="B2737">
        <v>2737</v>
      </c>
      <c r="C2737">
        <f>MOD(B2737,8)</f>
        <v>1</v>
      </c>
    </row>
    <row r="2738" spans="1:3" ht="16.5" x14ac:dyDescent="0.2">
      <c r="A2738" s="4" t="s">
        <v>3</v>
      </c>
      <c r="B2738" s="15">
        <v>2738</v>
      </c>
      <c r="C2738">
        <f>MOD(B2738,8)</f>
        <v>2</v>
      </c>
    </row>
    <row r="2739" spans="1:3" ht="16.5" x14ac:dyDescent="0.2">
      <c r="A2739" s="4" t="s">
        <v>3</v>
      </c>
      <c r="B2739">
        <v>2739</v>
      </c>
      <c r="C2739">
        <f>MOD(B2739,8)</f>
        <v>3</v>
      </c>
    </row>
    <row r="2740" spans="1:3" ht="16.5" x14ac:dyDescent="0.2">
      <c r="A2740" s="4" t="s">
        <v>3</v>
      </c>
      <c r="B2740" s="15">
        <v>2740</v>
      </c>
      <c r="C2740">
        <f>MOD(B2740,8)</f>
        <v>4</v>
      </c>
    </row>
    <row r="2741" spans="1:3" ht="16.5" x14ac:dyDescent="0.2">
      <c r="A2741" s="4" t="s">
        <v>3</v>
      </c>
      <c r="B2741">
        <v>2741</v>
      </c>
      <c r="C2741">
        <f>MOD(B2741,8)</f>
        <v>5</v>
      </c>
    </row>
    <row r="2742" spans="1:3" ht="16.5" x14ac:dyDescent="0.2">
      <c r="A2742" s="4" t="s">
        <v>3</v>
      </c>
      <c r="B2742">
        <v>2742</v>
      </c>
      <c r="C2742">
        <f>MOD(B2742,8)</f>
        <v>6</v>
      </c>
    </row>
    <row r="2743" spans="1:3" ht="16.5" x14ac:dyDescent="0.2">
      <c r="A2743" s="4" t="s">
        <v>3</v>
      </c>
      <c r="B2743" s="15">
        <v>2743</v>
      </c>
      <c r="C2743">
        <f>MOD(B2743,8)</f>
        <v>7</v>
      </c>
    </row>
    <row r="2744" spans="1:3" ht="16.5" x14ac:dyDescent="0.2">
      <c r="A2744" s="4" t="s">
        <v>3</v>
      </c>
      <c r="B2744">
        <v>2744</v>
      </c>
      <c r="C2744">
        <f>MOD(B2744,8)</f>
        <v>0</v>
      </c>
    </row>
    <row r="2745" spans="1:3" ht="16.5" x14ac:dyDescent="0.2">
      <c r="A2745" s="4" t="s">
        <v>2</v>
      </c>
      <c r="B2745" s="15">
        <v>2745</v>
      </c>
      <c r="C2745">
        <f>MOD(B2745,8)</f>
        <v>1</v>
      </c>
    </row>
    <row r="2746" spans="1:3" ht="16.5" x14ac:dyDescent="0.2">
      <c r="A2746" s="4" t="s">
        <v>2</v>
      </c>
      <c r="B2746">
        <v>2746</v>
      </c>
      <c r="C2746">
        <f>MOD(B2746,8)</f>
        <v>2</v>
      </c>
    </row>
    <row r="2747" spans="1:3" ht="16.5" x14ac:dyDescent="0.2">
      <c r="A2747" s="4" t="s">
        <v>2</v>
      </c>
      <c r="B2747">
        <v>2747</v>
      </c>
      <c r="C2747">
        <f>MOD(B2747,8)</f>
        <v>3</v>
      </c>
    </row>
    <row r="2748" spans="1:3" ht="16.5" x14ac:dyDescent="0.2">
      <c r="A2748" s="4" t="s">
        <v>2</v>
      </c>
      <c r="B2748" s="15">
        <v>2748</v>
      </c>
      <c r="C2748">
        <f>MOD(B2748,8)</f>
        <v>4</v>
      </c>
    </row>
    <row r="2749" spans="1:3" ht="16.5" x14ac:dyDescent="0.2">
      <c r="A2749" s="4" t="s">
        <v>2</v>
      </c>
      <c r="B2749">
        <v>2749</v>
      </c>
      <c r="C2749">
        <f>MOD(B2749,8)</f>
        <v>5</v>
      </c>
    </row>
    <row r="2750" spans="1:3" ht="16.5" x14ac:dyDescent="0.2">
      <c r="A2750" s="4" t="s">
        <v>2</v>
      </c>
      <c r="B2750" s="15">
        <v>2750</v>
      </c>
      <c r="C2750">
        <f>MOD(B2750,8)</f>
        <v>6</v>
      </c>
    </row>
    <row r="2751" spans="1:3" ht="16.5" x14ac:dyDescent="0.2">
      <c r="A2751" s="4" t="s">
        <v>2</v>
      </c>
      <c r="B2751">
        <v>2751</v>
      </c>
      <c r="C2751">
        <f>MOD(B2751,8)</f>
        <v>7</v>
      </c>
    </row>
    <row r="2752" spans="1:3" ht="16.5" x14ac:dyDescent="0.2">
      <c r="A2752" s="4" t="s">
        <v>2</v>
      </c>
      <c r="B2752">
        <v>2752</v>
      </c>
      <c r="C2752">
        <f>MOD(B2752,8)</f>
        <v>0</v>
      </c>
    </row>
    <row r="2753" spans="1:3" ht="16.5" x14ac:dyDescent="0.2">
      <c r="A2753" s="4" t="s">
        <v>1</v>
      </c>
      <c r="B2753" s="15">
        <v>2753</v>
      </c>
      <c r="C2753">
        <f>MOD(B2753,8)</f>
        <v>1</v>
      </c>
    </row>
    <row r="2754" spans="1:3" ht="16.5" x14ac:dyDescent="0.2">
      <c r="A2754" s="4" t="s">
        <v>1</v>
      </c>
      <c r="B2754">
        <v>2754</v>
      </c>
      <c r="C2754">
        <f>MOD(B2754,8)</f>
        <v>2</v>
      </c>
    </row>
    <row r="2755" spans="1:3" ht="16.5" x14ac:dyDescent="0.2">
      <c r="A2755" s="4" t="s">
        <v>1</v>
      </c>
      <c r="B2755" s="15">
        <v>2755</v>
      </c>
      <c r="C2755">
        <f>MOD(B2755,8)</f>
        <v>3</v>
      </c>
    </row>
    <row r="2756" spans="1:3" ht="16.5" x14ac:dyDescent="0.2">
      <c r="A2756" s="4" t="s">
        <v>1</v>
      </c>
      <c r="B2756">
        <v>2756</v>
      </c>
      <c r="C2756">
        <f>MOD(B2756,8)</f>
        <v>4</v>
      </c>
    </row>
    <row r="2757" spans="1:3" ht="16.5" x14ac:dyDescent="0.2">
      <c r="A2757" s="4" t="s">
        <v>1</v>
      </c>
      <c r="B2757">
        <v>2757</v>
      </c>
      <c r="C2757">
        <f>MOD(B2757,8)</f>
        <v>5</v>
      </c>
    </row>
    <row r="2758" spans="1:3" ht="16.5" x14ac:dyDescent="0.2">
      <c r="A2758" s="4" t="s">
        <v>1</v>
      </c>
      <c r="B2758" s="15">
        <v>2758</v>
      </c>
      <c r="C2758">
        <f>MOD(B2758,8)</f>
        <v>6</v>
      </c>
    </row>
    <row r="2759" spans="1:3" ht="16.5" x14ac:dyDescent="0.2">
      <c r="A2759" s="4" t="s">
        <v>1</v>
      </c>
      <c r="B2759">
        <v>2759</v>
      </c>
      <c r="C2759">
        <f>MOD(B2759,8)</f>
        <v>7</v>
      </c>
    </row>
    <row r="2760" spans="1:3" ht="16.5" x14ac:dyDescent="0.2">
      <c r="A2760" s="4" t="s">
        <v>1</v>
      </c>
      <c r="B2760" s="15">
        <v>2760</v>
      </c>
      <c r="C2760">
        <f>MOD(B2760,8)</f>
        <v>0</v>
      </c>
    </row>
    <row r="2761" spans="1:3" ht="16.5" x14ac:dyDescent="0.2">
      <c r="A2761" s="4" t="s">
        <v>0</v>
      </c>
      <c r="B2761">
        <v>2761</v>
      </c>
      <c r="C2761">
        <f>MOD(B2761,8)</f>
        <v>1</v>
      </c>
    </row>
    <row r="2762" spans="1:3" ht="16.5" x14ac:dyDescent="0.2">
      <c r="A2762" s="4" t="s">
        <v>0</v>
      </c>
      <c r="B2762">
        <v>2762</v>
      </c>
      <c r="C2762">
        <f>MOD(B2762,8)</f>
        <v>2</v>
      </c>
    </row>
    <row r="2763" spans="1:3" ht="16.5" x14ac:dyDescent="0.2">
      <c r="A2763" s="4" t="s">
        <v>0</v>
      </c>
      <c r="B2763" s="15">
        <v>2763</v>
      </c>
      <c r="C2763">
        <f>MOD(B2763,8)</f>
        <v>3</v>
      </c>
    </row>
    <row r="2764" spans="1:3" ht="16.5" x14ac:dyDescent="0.2">
      <c r="A2764" s="4" t="s">
        <v>0</v>
      </c>
      <c r="B2764">
        <v>2764</v>
      </c>
      <c r="C2764">
        <f>MOD(B2764,8)</f>
        <v>4</v>
      </c>
    </row>
    <row r="2765" spans="1:3" ht="16.5" x14ac:dyDescent="0.2">
      <c r="A2765" s="4" t="s">
        <v>0</v>
      </c>
      <c r="B2765" s="15">
        <v>2765</v>
      </c>
      <c r="C2765">
        <f>MOD(B2765,8)</f>
        <v>5</v>
      </c>
    </row>
    <row r="2766" spans="1:3" ht="16.5" x14ac:dyDescent="0.2">
      <c r="A2766" s="4" t="s">
        <v>0</v>
      </c>
      <c r="B2766">
        <v>2766</v>
      </c>
      <c r="C2766">
        <f>MOD(B2766,8)</f>
        <v>6</v>
      </c>
    </row>
    <row r="2767" spans="1:3" ht="16.5" x14ac:dyDescent="0.2">
      <c r="A2767" s="4" t="s">
        <v>0</v>
      </c>
      <c r="B2767">
        <v>2767</v>
      </c>
      <c r="C2767">
        <f>MOD(B2767,8)</f>
        <v>7</v>
      </c>
    </row>
    <row r="2768" spans="1:3" ht="16.5" x14ac:dyDescent="0.2">
      <c r="A2768" s="4" t="s">
        <v>0</v>
      </c>
      <c r="B2768" s="15">
        <v>2768</v>
      </c>
      <c r="C2768">
        <f>MOD(B2768,8)</f>
        <v>0</v>
      </c>
    </row>
    <row r="2769" spans="1:2" ht="16.5" x14ac:dyDescent="0.2">
      <c r="A2769" s="3"/>
    </row>
    <row r="2770" spans="1:2" ht="16.5" x14ac:dyDescent="0.2">
      <c r="A2770" s="3"/>
      <c r="B2770" s="15"/>
    </row>
    <row r="2771" spans="1:2" ht="16.5" x14ac:dyDescent="0.2">
      <c r="A2771" s="3"/>
    </row>
    <row r="2772" spans="1:2" x14ac:dyDescent="0.2">
      <c r="B2772" s="15"/>
    </row>
    <row r="2774" spans="1:2" x14ac:dyDescent="0.2">
      <c r="B2774" s="15"/>
    </row>
    <row r="2776" spans="1:2" x14ac:dyDescent="0.2">
      <c r="B2776" s="15"/>
    </row>
    <row r="2778" spans="1:2" x14ac:dyDescent="0.2">
      <c r="B2778" s="15"/>
    </row>
    <row r="2780" spans="1:2" x14ac:dyDescent="0.2">
      <c r="B2780" s="15"/>
    </row>
    <row r="2782" spans="1:2" x14ac:dyDescent="0.2">
      <c r="B2782" s="15"/>
    </row>
    <row r="2784" spans="1:2" x14ac:dyDescent="0.2">
      <c r="B2784" s="15"/>
    </row>
    <row r="2786" spans="2:2" x14ac:dyDescent="0.2">
      <c r="B2786" s="15"/>
    </row>
    <row r="2788" spans="2:2" x14ac:dyDescent="0.2">
      <c r="B2788" s="15"/>
    </row>
    <row r="2790" spans="2:2" x14ac:dyDescent="0.2">
      <c r="B2790" s="15"/>
    </row>
    <row r="2792" spans="2:2" x14ac:dyDescent="0.2">
      <c r="B2792" s="15"/>
    </row>
    <row r="2794" spans="2:2" x14ac:dyDescent="0.2">
      <c r="B2794" s="15"/>
    </row>
    <row r="2796" spans="2:2" x14ac:dyDescent="0.2">
      <c r="B2796" s="15"/>
    </row>
    <row r="2798" spans="2:2" x14ac:dyDescent="0.2">
      <c r="B2798" s="15"/>
    </row>
    <row r="2800" spans="2:2" x14ac:dyDescent="0.2">
      <c r="B2800" s="15"/>
    </row>
    <row r="2802" spans="2:2" x14ac:dyDescent="0.2">
      <c r="B2802" s="15"/>
    </row>
    <row r="2804" spans="2:2" x14ac:dyDescent="0.2">
      <c r="B2804" s="15"/>
    </row>
    <row r="2806" spans="2:2" x14ac:dyDescent="0.2">
      <c r="B2806" s="15"/>
    </row>
    <row r="2808" spans="2:2" x14ac:dyDescent="0.2">
      <c r="B2808" s="15"/>
    </row>
    <row r="2810" spans="2:2" x14ac:dyDescent="0.2">
      <c r="B2810" s="15"/>
    </row>
    <row r="2812" spans="2:2" x14ac:dyDescent="0.2">
      <c r="B2812" s="15"/>
    </row>
    <row r="2814" spans="2:2" x14ac:dyDescent="0.2">
      <c r="B2814" s="15"/>
    </row>
    <row r="2816" spans="2:2" x14ac:dyDescent="0.2">
      <c r="B2816" s="15"/>
    </row>
    <row r="2818" spans="2:2" x14ac:dyDescent="0.2">
      <c r="B2818" s="15"/>
    </row>
    <row r="2820" spans="2:2" x14ac:dyDescent="0.2">
      <c r="B2820" s="15"/>
    </row>
    <row r="2822" spans="2:2" x14ac:dyDescent="0.2">
      <c r="B2822" s="15"/>
    </row>
    <row r="2824" spans="2:2" x14ac:dyDescent="0.2">
      <c r="B2824" s="15"/>
    </row>
    <row r="2826" spans="2:2" x14ac:dyDescent="0.2">
      <c r="B2826" s="15"/>
    </row>
    <row r="2828" spans="2:2" x14ac:dyDescent="0.2">
      <c r="B2828" s="15"/>
    </row>
    <row r="2830" spans="2:2" x14ac:dyDescent="0.2">
      <c r="B2830" s="15"/>
    </row>
    <row r="2832" spans="2:2" x14ac:dyDescent="0.2">
      <c r="B2832" s="15"/>
    </row>
    <row r="2834" spans="2:2" x14ac:dyDescent="0.2">
      <c r="B2834" s="15"/>
    </row>
    <row r="2836" spans="2:2" x14ac:dyDescent="0.2">
      <c r="B2836" s="15"/>
    </row>
    <row r="2838" spans="2:2" x14ac:dyDescent="0.2">
      <c r="B2838" s="15"/>
    </row>
    <row r="2840" spans="2:2" x14ac:dyDescent="0.2">
      <c r="B2840" s="15"/>
    </row>
    <row r="2842" spans="2:2" x14ac:dyDescent="0.2">
      <c r="B2842" s="15"/>
    </row>
    <row r="2844" spans="2:2" x14ac:dyDescent="0.2">
      <c r="B2844" s="15"/>
    </row>
    <row r="2846" spans="2:2" x14ac:dyDescent="0.2">
      <c r="B2846" s="15"/>
    </row>
    <row r="2848" spans="2:2" x14ac:dyDescent="0.2">
      <c r="B2848" s="15"/>
    </row>
    <row r="2850" spans="2:2" x14ac:dyDescent="0.2">
      <c r="B2850" s="15"/>
    </row>
    <row r="2852" spans="2:2" x14ac:dyDescent="0.2">
      <c r="B2852" s="15"/>
    </row>
    <row r="2854" spans="2:2" x14ac:dyDescent="0.2">
      <c r="B2854" s="15"/>
    </row>
    <row r="2856" spans="2:2" x14ac:dyDescent="0.2">
      <c r="B2856" s="15"/>
    </row>
    <row r="2858" spans="2:2" x14ac:dyDescent="0.2">
      <c r="B2858" s="15"/>
    </row>
    <row r="2860" spans="2:2" x14ac:dyDescent="0.2">
      <c r="B2860" s="15"/>
    </row>
    <row r="2862" spans="2:2" x14ac:dyDescent="0.2">
      <c r="B2862" s="15"/>
    </row>
    <row r="2864" spans="2:2" x14ac:dyDescent="0.2">
      <c r="B2864" s="15"/>
    </row>
    <row r="2866" spans="2:2" x14ac:dyDescent="0.2">
      <c r="B2866" s="15"/>
    </row>
    <row r="2868" spans="2:2" x14ac:dyDescent="0.2">
      <c r="B2868" s="15"/>
    </row>
    <row r="2870" spans="2:2" x14ac:dyDescent="0.2">
      <c r="B2870" s="15"/>
    </row>
    <row r="2872" spans="2:2" x14ac:dyDescent="0.2">
      <c r="B2872" s="15"/>
    </row>
    <row r="2874" spans="2:2" x14ac:dyDescent="0.2">
      <c r="B2874" s="15"/>
    </row>
    <row r="2876" spans="2:2" x14ac:dyDescent="0.2">
      <c r="B2876" s="15"/>
    </row>
    <row r="2878" spans="2:2" x14ac:dyDescent="0.2">
      <c r="B2878" s="15"/>
    </row>
    <row r="2880" spans="2:2" x14ac:dyDescent="0.2">
      <c r="B2880" s="15"/>
    </row>
    <row r="2882" spans="2:2" x14ac:dyDescent="0.2">
      <c r="B2882" s="15"/>
    </row>
    <row r="2884" spans="2:2" x14ac:dyDescent="0.2">
      <c r="B2884" s="15"/>
    </row>
    <row r="2886" spans="2:2" x14ac:dyDescent="0.2">
      <c r="B2886" s="15"/>
    </row>
    <row r="2888" spans="2:2" x14ac:dyDescent="0.2">
      <c r="B2888" s="15"/>
    </row>
    <row r="2890" spans="2:2" x14ac:dyDescent="0.2">
      <c r="B2890" s="15"/>
    </row>
    <row r="2892" spans="2:2" x14ac:dyDescent="0.2">
      <c r="B2892" s="15"/>
    </row>
    <row r="2894" spans="2:2" x14ac:dyDescent="0.2">
      <c r="B2894" s="15"/>
    </row>
    <row r="2896" spans="2:2" x14ac:dyDescent="0.2">
      <c r="B2896" s="15"/>
    </row>
    <row r="2898" spans="2:2" x14ac:dyDescent="0.2">
      <c r="B2898" s="15"/>
    </row>
    <row r="2900" spans="2:2" x14ac:dyDescent="0.2">
      <c r="B2900" s="15"/>
    </row>
    <row r="2902" spans="2:2" x14ac:dyDescent="0.2">
      <c r="B2902" s="15"/>
    </row>
    <row r="2904" spans="2:2" x14ac:dyDescent="0.2">
      <c r="B2904" s="15"/>
    </row>
    <row r="2906" spans="2:2" x14ac:dyDescent="0.2">
      <c r="B2906" s="15"/>
    </row>
    <row r="2908" spans="2:2" x14ac:dyDescent="0.2">
      <c r="B2908" s="15"/>
    </row>
    <row r="2910" spans="2:2" x14ac:dyDescent="0.2">
      <c r="B2910" s="15"/>
    </row>
    <row r="2912" spans="2:2" x14ac:dyDescent="0.2">
      <c r="B2912" s="15"/>
    </row>
    <row r="2914" spans="2:2" x14ac:dyDescent="0.2">
      <c r="B2914" s="15"/>
    </row>
    <row r="2916" spans="2:2" x14ac:dyDescent="0.2">
      <c r="B2916" s="15"/>
    </row>
    <row r="2918" spans="2:2" x14ac:dyDescent="0.2">
      <c r="B2918" s="15"/>
    </row>
    <row r="2920" spans="2:2" x14ac:dyDescent="0.2">
      <c r="B2920" s="15"/>
    </row>
    <row r="2922" spans="2:2" x14ac:dyDescent="0.2">
      <c r="B2922" s="15"/>
    </row>
    <row r="2924" spans="2:2" x14ac:dyDescent="0.2">
      <c r="B2924" s="15"/>
    </row>
    <row r="2926" spans="2:2" x14ac:dyDescent="0.2">
      <c r="B2926" s="15"/>
    </row>
    <row r="2928" spans="2:2" x14ac:dyDescent="0.2">
      <c r="B2928" s="15"/>
    </row>
    <row r="2930" spans="2:2" x14ac:dyDescent="0.2">
      <c r="B2930" s="15"/>
    </row>
    <row r="2932" spans="2:2" x14ac:dyDescent="0.2">
      <c r="B2932" s="15"/>
    </row>
    <row r="2934" spans="2:2" x14ac:dyDescent="0.2">
      <c r="B2934" s="15"/>
    </row>
    <row r="2936" spans="2:2" x14ac:dyDescent="0.2">
      <c r="B2936" s="15"/>
    </row>
    <row r="2938" spans="2:2" x14ac:dyDescent="0.2">
      <c r="B2938" s="15"/>
    </row>
    <row r="2940" spans="2:2" x14ac:dyDescent="0.2">
      <c r="B2940" s="15"/>
    </row>
    <row r="2942" spans="2:2" x14ac:dyDescent="0.2">
      <c r="B2942" s="15"/>
    </row>
    <row r="2944" spans="2:2" x14ac:dyDescent="0.2">
      <c r="B2944" s="15"/>
    </row>
    <row r="2946" spans="2:2" x14ac:dyDescent="0.2">
      <c r="B2946" s="15"/>
    </row>
    <row r="2948" spans="2:2" x14ac:dyDescent="0.2">
      <c r="B2948" s="15"/>
    </row>
    <row r="2950" spans="2:2" x14ac:dyDescent="0.2">
      <c r="B2950" s="15"/>
    </row>
    <row r="2952" spans="2:2" x14ac:dyDescent="0.2">
      <c r="B2952" s="15"/>
    </row>
    <row r="2954" spans="2:2" x14ac:dyDescent="0.2">
      <c r="B2954" s="15"/>
    </row>
    <row r="2956" spans="2:2" x14ac:dyDescent="0.2">
      <c r="B2956" s="15"/>
    </row>
    <row r="2958" spans="2:2" x14ac:dyDescent="0.2">
      <c r="B2958" s="15"/>
    </row>
    <row r="2960" spans="2:2" x14ac:dyDescent="0.2">
      <c r="B2960" s="15"/>
    </row>
    <row r="2962" spans="2:2" x14ac:dyDescent="0.2">
      <c r="B2962" s="15"/>
    </row>
    <row r="2964" spans="2:2" x14ac:dyDescent="0.2">
      <c r="B2964" s="15"/>
    </row>
    <row r="2966" spans="2:2" x14ac:dyDescent="0.2">
      <c r="B2966" s="15"/>
    </row>
    <row r="2968" spans="2:2" x14ac:dyDescent="0.2">
      <c r="B2968" s="15"/>
    </row>
    <row r="2970" spans="2:2" x14ac:dyDescent="0.2">
      <c r="B2970" s="15"/>
    </row>
    <row r="2972" spans="2:2" x14ac:dyDescent="0.2">
      <c r="B2972" s="15"/>
    </row>
    <row r="2974" spans="2:2" x14ac:dyDescent="0.2">
      <c r="B2974" s="15"/>
    </row>
    <row r="2976" spans="2:2" x14ac:dyDescent="0.2">
      <c r="B2976" s="15"/>
    </row>
    <row r="2978" spans="2:2" x14ac:dyDescent="0.2">
      <c r="B2978" s="15"/>
    </row>
    <row r="2980" spans="2:2" x14ac:dyDescent="0.2">
      <c r="B2980" s="15"/>
    </row>
    <row r="2982" spans="2:2" x14ac:dyDescent="0.2">
      <c r="B2982" s="15"/>
    </row>
    <row r="2984" spans="2:2" x14ac:dyDescent="0.2">
      <c r="B2984" s="15"/>
    </row>
    <row r="2986" spans="2:2" x14ac:dyDescent="0.2">
      <c r="B2986" s="15"/>
    </row>
    <row r="2988" spans="2:2" x14ac:dyDescent="0.2">
      <c r="B2988" s="15"/>
    </row>
    <row r="2990" spans="2:2" x14ac:dyDescent="0.2">
      <c r="B2990" s="15"/>
    </row>
    <row r="2992" spans="2:2" x14ac:dyDescent="0.2">
      <c r="B2992" s="15"/>
    </row>
    <row r="2994" spans="2:2" x14ac:dyDescent="0.2">
      <c r="B2994" s="15"/>
    </row>
    <row r="2996" spans="2:2" x14ac:dyDescent="0.2">
      <c r="B2996" s="15"/>
    </row>
    <row r="2998" spans="2:2" x14ac:dyDescent="0.2">
      <c r="B2998" s="15"/>
    </row>
    <row r="3000" spans="2:2" x14ac:dyDescent="0.2">
      <c r="B3000" s="15"/>
    </row>
    <row r="3002" spans="2:2" x14ac:dyDescent="0.2">
      <c r="B3002" s="15"/>
    </row>
    <row r="3004" spans="2:2" x14ac:dyDescent="0.2">
      <c r="B3004" s="15"/>
    </row>
    <row r="3006" spans="2:2" x14ac:dyDescent="0.2">
      <c r="B3006" s="15"/>
    </row>
    <row r="3008" spans="2:2" x14ac:dyDescent="0.2">
      <c r="B3008" s="15"/>
    </row>
    <row r="3010" spans="2:2" x14ac:dyDescent="0.2">
      <c r="B3010" s="15"/>
    </row>
    <row r="3012" spans="2:2" x14ac:dyDescent="0.2">
      <c r="B3012" s="15"/>
    </row>
    <row r="3014" spans="2:2" x14ac:dyDescent="0.2">
      <c r="B3014" s="15"/>
    </row>
    <row r="3016" spans="2:2" x14ac:dyDescent="0.2">
      <c r="B3016" s="15"/>
    </row>
    <row r="3018" spans="2:2" x14ac:dyDescent="0.2">
      <c r="B3018" s="15"/>
    </row>
    <row r="3020" spans="2:2" x14ac:dyDescent="0.2">
      <c r="B3020" s="15"/>
    </row>
    <row r="3022" spans="2:2" x14ac:dyDescent="0.2">
      <c r="B3022" s="15"/>
    </row>
    <row r="3024" spans="2:2" x14ac:dyDescent="0.2">
      <c r="B3024" s="15"/>
    </row>
    <row r="3026" spans="2:2" x14ac:dyDescent="0.2">
      <c r="B3026" s="15"/>
    </row>
    <row r="3028" spans="2:2" x14ac:dyDescent="0.2">
      <c r="B3028" s="15"/>
    </row>
    <row r="3030" spans="2:2" x14ac:dyDescent="0.2">
      <c r="B3030" s="15"/>
    </row>
    <row r="3032" spans="2:2" x14ac:dyDescent="0.2">
      <c r="B3032" s="15"/>
    </row>
    <row r="3034" spans="2:2" x14ac:dyDescent="0.2">
      <c r="B3034" s="15"/>
    </row>
    <row r="3036" spans="2:2" x14ac:dyDescent="0.2">
      <c r="B3036" s="15"/>
    </row>
    <row r="3038" spans="2:2" x14ac:dyDescent="0.2">
      <c r="B3038" s="15"/>
    </row>
    <row r="3040" spans="2:2" x14ac:dyDescent="0.2">
      <c r="B3040" s="15"/>
    </row>
    <row r="3042" spans="2:2" x14ac:dyDescent="0.2">
      <c r="B3042" s="15"/>
    </row>
    <row r="3044" spans="2:2" x14ac:dyDescent="0.2">
      <c r="B3044" s="15"/>
    </row>
    <row r="3046" spans="2:2" x14ac:dyDescent="0.2">
      <c r="B3046" s="15"/>
    </row>
    <row r="3048" spans="2:2" x14ac:dyDescent="0.2">
      <c r="B3048" s="15"/>
    </row>
    <row r="3050" spans="2:2" x14ac:dyDescent="0.2">
      <c r="B3050" s="15"/>
    </row>
  </sheetData>
  <autoFilter ref="C1:C3053" xr:uid="{970C901B-84C5-4786-9274-11251D5EDCA9}"/>
  <phoneticPr fontId="2" type="noConversion"/>
  <hyperlinks>
    <hyperlink ref="A5:A8" r:id="rId1" display="北京市" xr:uid="{E5DC294C-73D4-4B17-BBAF-F36180A972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5760-291F-462A-8AB8-CFE55C212EA0}">
  <dimension ref="A1:L3053"/>
  <sheetViews>
    <sheetView zoomScale="115" zoomScaleNormal="115" workbookViewId="0">
      <selection activeCell="R4" sqref="R4"/>
    </sheetView>
  </sheetViews>
  <sheetFormatPr defaultRowHeight="14.25" x14ac:dyDescent="0.2"/>
  <cols>
    <col min="1" max="1" width="20.5" style="1" bestFit="1" customWidth="1"/>
    <col min="2" max="2" width="11.75" style="1" customWidth="1"/>
    <col min="3" max="3" width="8.5" customWidth="1"/>
    <col min="4" max="6" width="9.375" customWidth="1"/>
    <col min="8" max="9" width="8.375" customWidth="1"/>
  </cols>
  <sheetData>
    <row r="1" spans="1:12" ht="16.5" x14ac:dyDescent="0.35">
      <c r="A1" s="13"/>
      <c r="B1" s="13"/>
      <c r="C1" s="10"/>
      <c r="D1" s="10"/>
      <c r="E1" s="10"/>
      <c r="F1" s="10"/>
      <c r="H1" s="10"/>
      <c r="I1" s="10"/>
    </row>
    <row r="2" spans="1:12" ht="16.5" x14ac:dyDescent="0.35">
      <c r="A2" s="12" t="s">
        <v>362</v>
      </c>
      <c r="B2" s="11"/>
      <c r="C2" s="10"/>
      <c r="D2" s="10"/>
      <c r="E2" s="10"/>
      <c r="F2" s="10"/>
      <c r="H2" s="10"/>
      <c r="I2" s="10"/>
    </row>
    <row r="3" spans="1:12" ht="49.5" x14ac:dyDescent="0.2">
      <c r="A3" s="8" t="s">
        <v>361</v>
      </c>
      <c r="B3" s="9" t="s">
        <v>360</v>
      </c>
      <c r="C3" s="8" t="s">
        <v>359</v>
      </c>
      <c r="D3" s="8" t="s">
        <v>358</v>
      </c>
      <c r="E3" s="8" t="s">
        <v>357</v>
      </c>
      <c r="F3" s="8" t="s">
        <v>356</v>
      </c>
      <c r="G3" s="6" t="s">
        <v>355</v>
      </c>
      <c r="H3" s="7" t="s">
        <v>354</v>
      </c>
      <c r="I3" s="7" t="s">
        <v>353</v>
      </c>
    </row>
    <row r="4" spans="1:12" ht="16.5" x14ac:dyDescent="0.2">
      <c r="A4" s="4" t="s">
        <v>352</v>
      </c>
      <c r="B4">
        <v>2009</v>
      </c>
      <c r="C4" s="14">
        <f>340.8*(2/3*10)</f>
        <v>2272</v>
      </c>
      <c r="D4" s="14">
        <f>212.4*(2/3*10)</f>
        <v>1416</v>
      </c>
      <c r="E4" s="14">
        <f>1115.5*(2/3*10)</f>
        <v>7436.6666666666661</v>
      </c>
      <c r="F4" s="14">
        <f>127.3*(2/3*10)</f>
        <v>848.66666666666663</v>
      </c>
      <c r="G4" s="14">
        <f>409.2*(2/3*10)</f>
        <v>2727.9999999999995</v>
      </c>
      <c r="H4" s="14">
        <f>66.7*(2/3*10)</f>
        <v>444.66666666666663</v>
      </c>
      <c r="I4" s="14">
        <f>120.4*(2/3*10)</f>
        <v>802.66666666666663</v>
      </c>
      <c r="K4" s="15">
        <v>1</v>
      </c>
      <c r="L4">
        <f>MOD(K4,8)</f>
        <v>1</v>
      </c>
    </row>
    <row r="5" spans="1:12" ht="16.5" x14ac:dyDescent="0.2">
      <c r="A5" s="4" t="s">
        <v>352</v>
      </c>
      <c r="B5">
        <v>2010</v>
      </c>
      <c r="C5" s="14">
        <f>335.7*(2/3*10)</f>
        <v>2237.9999999999995</v>
      </c>
      <c r="D5" s="14">
        <f>208.9*(2/3*10)</f>
        <v>1392.6666666666665</v>
      </c>
      <c r="E5" s="14">
        <f>1113*(2/3*10)</f>
        <v>7419.9999999999991</v>
      </c>
      <c r="F5" s="14">
        <f>128.7*(2/3*10)</f>
        <v>857.99999999999989</v>
      </c>
      <c r="G5" s="14">
        <f>417.9*(2/3*10)</f>
        <v>2785.9999999999995</v>
      </c>
      <c r="H5" s="14">
        <f>68*(2/3*10)</f>
        <v>453.33333333333331</v>
      </c>
      <c r="I5" s="14">
        <f>119.7*(2/3*10)</f>
        <v>798</v>
      </c>
      <c r="K5">
        <v>2</v>
      </c>
      <c r="L5">
        <f t="shared" ref="L5:L68" si="0">MOD(K5,8)</f>
        <v>2</v>
      </c>
    </row>
    <row r="6" spans="1:12" ht="16.5" x14ac:dyDescent="0.2">
      <c r="A6" s="4" t="s">
        <v>352</v>
      </c>
      <c r="B6">
        <v>2011</v>
      </c>
      <c r="C6" s="14">
        <f>332.9*(2/3*10)</f>
        <v>2219.333333333333</v>
      </c>
      <c r="D6" s="14">
        <f>207.1*(2/3*10)</f>
        <v>1380.6666666666665</v>
      </c>
      <c r="E6" s="14">
        <f>1111.1*(2/3*10)</f>
        <v>7407.3333333333321</v>
      </c>
      <c r="F6" s="14">
        <f>128.5*(2/3*10)</f>
        <v>856.66666666666663</v>
      </c>
      <c r="G6" s="14">
        <f>424.5*(2/3*10)</f>
        <v>2829.9999999999995</v>
      </c>
      <c r="H6" s="14">
        <f>68.2*(2/3*10)</f>
        <v>454.66666666666663</v>
      </c>
      <c r="I6" s="14">
        <f>119.1*(2/3*10)</f>
        <v>793.99999999999989</v>
      </c>
      <c r="K6" s="15">
        <v>3</v>
      </c>
      <c r="L6">
        <f t="shared" si="0"/>
        <v>3</v>
      </c>
    </row>
    <row r="7" spans="1:12" ht="16.5" x14ac:dyDescent="0.2">
      <c r="A7" s="4" t="s">
        <v>352</v>
      </c>
      <c r="B7">
        <v>2012</v>
      </c>
      <c r="C7" s="14">
        <f>331.3*(2/3*10)</f>
        <v>2208.6666666666665</v>
      </c>
      <c r="D7" s="14">
        <f>205.7*(2/3*10)</f>
        <v>1371.333333333333</v>
      </c>
      <c r="E7" s="14">
        <f>1109.4*(2/3*10)</f>
        <v>7396</v>
      </c>
      <c r="F7" s="14">
        <f>128.2*(2/3*10)</f>
        <v>854.66666666666652</v>
      </c>
      <c r="G7" s="14">
        <f>428.5*(2/3*10)</f>
        <v>2856.6666666666661</v>
      </c>
      <c r="H7" s="14">
        <f>69.5*(2/3*10)</f>
        <v>463.33333333333331</v>
      </c>
      <c r="I7" s="14">
        <f>118.6*(2/3*10)</f>
        <v>790.66666666666652</v>
      </c>
      <c r="K7">
        <v>4</v>
      </c>
      <c r="L7">
        <f t="shared" si="0"/>
        <v>4</v>
      </c>
    </row>
    <row r="8" spans="1:12" ht="16.5" x14ac:dyDescent="0.2">
      <c r="A8" s="5" t="s">
        <v>352</v>
      </c>
      <c r="B8">
        <v>2013</v>
      </c>
      <c r="C8" s="14">
        <f>331.7*(2/3*10)</f>
        <v>2211.333333333333</v>
      </c>
      <c r="D8" s="14">
        <f>203.4*(2/3*10)</f>
        <v>1356</v>
      </c>
      <c r="E8" s="14">
        <f>1107.1*(2/3*10)</f>
        <v>7380.6666666666652</v>
      </c>
      <c r="F8" s="14">
        <f>128*(2/3*10)</f>
        <v>853.33333333333326</v>
      </c>
      <c r="G8" s="14">
        <f>433.1*(2/3*10)</f>
        <v>2887.333333333333</v>
      </c>
      <c r="H8" s="14">
        <f>69.9*(2/3*10)</f>
        <v>466</v>
      </c>
      <c r="I8" s="14">
        <f>118.1*(2/3*10)</f>
        <v>787.33333333333326</v>
      </c>
      <c r="K8" s="15">
        <v>5</v>
      </c>
      <c r="L8">
        <f t="shared" si="0"/>
        <v>5</v>
      </c>
    </row>
    <row r="9" spans="1:12" ht="16.5" x14ac:dyDescent="0.2">
      <c r="A9" s="5" t="s">
        <v>352</v>
      </c>
      <c r="B9">
        <v>2014</v>
      </c>
      <c r="C9" s="14">
        <f>329.9*(2/3*10)</f>
        <v>2199.333333333333</v>
      </c>
      <c r="D9" s="14">
        <f>202.7*(2/3*10)</f>
        <v>1351.333333333333</v>
      </c>
      <c r="E9" s="14">
        <f>1106.3*(2/3*10)</f>
        <v>7375.3333333333321</v>
      </c>
      <c r="F9" s="14">
        <f>127.7*(2/3*10)</f>
        <v>851.33333333333326</v>
      </c>
      <c r="G9" s="14">
        <f>436.1*(2/3*10)</f>
        <v>2907.333333333333</v>
      </c>
      <c r="H9" s="14">
        <f>70.5*(2/3*10)</f>
        <v>469.99999999999994</v>
      </c>
      <c r="I9" s="14">
        <f>117.6*(2/3*10)</f>
        <v>783.99999999999989</v>
      </c>
      <c r="K9">
        <v>6</v>
      </c>
      <c r="L9">
        <f t="shared" si="0"/>
        <v>6</v>
      </c>
    </row>
    <row r="10" spans="1:12" ht="16.5" x14ac:dyDescent="0.2">
      <c r="A10" s="5" t="s">
        <v>352</v>
      </c>
      <c r="B10">
        <v>2015</v>
      </c>
      <c r="C10" s="14">
        <f>329*(2/3*10)</f>
        <v>2193.333333333333</v>
      </c>
      <c r="D10" s="14">
        <f>202.3*(2/3*10)</f>
        <v>1348.6666666666665</v>
      </c>
      <c r="E10" s="14">
        <f>1105.6*(2/3*10)</f>
        <v>7370.6666666666652</v>
      </c>
      <c r="F10" s="14">
        <f>127.6*(2/3*10)</f>
        <v>850.66666666666652</v>
      </c>
      <c r="G10" s="14">
        <f>438.2*(2/3*10)</f>
        <v>2921.333333333333</v>
      </c>
      <c r="H10" s="14">
        <f>70.6*(2/3*10)</f>
        <v>470.66666666666657</v>
      </c>
      <c r="I10" s="14">
        <f>117.5*(2/3*10)</f>
        <v>783.33333333333326</v>
      </c>
      <c r="K10" s="15">
        <v>7</v>
      </c>
      <c r="L10">
        <f t="shared" si="0"/>
        <v>7</v>
      </c>
    </row>
    <row r="11" spans="1:12" ht="16.5" x14ac:dyDescent="0.2">
      <c r="A11" s="5" t="s">
        <v>352</v>
      </c>
      <c r="B11">
        <v>2016</v>
      </c>
      <c r="C11" s="14">
        <f>324.5*(2/3*10)</f>
        <v>2163.333333333333</v>
      </c>
      <c r="D11" s="14">
        <f>200.2*(2/3*10)</f>
        <v>1334.6666666666665</v>
      </c>
      <c r="E11" s="14">
        <f>1109.6*(2/3*10)</f>
        <v>7397.3333333333321</v>
      </c>
      <c r="F11" s="14">
        <f>127.1*(2/3*10)</f>
        <v>847.33333333333326</v>
      </c>
      <c r="G11" s="14">
        <f>441.6*(2/3*10)</f>
        <v>2944</v>
      </c>
      <c r="H11" s="14">
        <f>71.2*(2/3*10)</f>
        <v>474.66666666666663</v>
      </c>
      <c r="I11" s="14">
        <f>117*(2/3*10)</f>
        <v>779.99999999999989</v>
      </c>
      <c r="K11">
        <v>8</v>
      </c>
      <c r="L11">
        <f t="shared" si="0"/>
        <v>0</v>
      </c>
    </row>
    <row r="12" spans="1:12" ht="16.5" x14ac:dyDescent="0.2">
      <c r="A12" s="4" t="s">
        <v>351</v>
      </c>
      <c r="B12">
        <v>2009</v>
      </c>
      <c r="C12" s="14">
        <f>670.7*(2/3*10)</f>
        <v>4471.333333333333</v>
      </c>
      <c r="D12" s="14">
        <f>47.5*(2/3*10)</f>
        <v>316.66666666666663</v>
      </c>
      <c r="E12" s="14">
        <f>84.8*(2/3*10)</f>
        <v>565.33333333333326</v>
      </c>
      <c r="F12" s="14">
        <f>21.2*(2/3*10)</f>
        <v>141.33333333333331</v>
      </c>
      <c r="G12" s="14">
        <f>449.9*(2/3*10)</f>
        <v>2999.3333333333335</v>
      </c>
      <c r="H12" s="14">
        <f>60.4*(2/3*10)</f>
        <v>402.66666666666663</v>
      </c>
      <c r="I12" s="14">
        <f>427.1*(2/3*10)</f>
        <v>2847.333333333333</v>
      </c>
      <c r="K12" s="15">
        <v>9</v>
      </c>
      <c r="L12">
        <f t="shared" si="0"/>
        <v>1</v>
      </c>
    </row>
    <row r="13" spans="1:12" ht="16.5" x14ac:dyDescent="0.2">
      <c r="A13" s="4" t="s">
        <v>351</v>
      </c>
      <c r="B13">
        <v>2010</v>
      </c>
      <c r="C13" s="14">
        <f>665.6*(2/3*10)</f>
        <v>4437.333333333333</v>
      </c>
      <c r="D13" s="14">
        <f>46.8*(2/3*10)</f>
        <v>311.99999999999994</v>
      </c>
      <c r="E13" s="14">
        <f>84.3*(2/3*10)</f>
        <v>561.99999999999989</v>
      </c>
      <c r="F13" s="14">
        <f>20.7*(2/3*10)</f>
        <v>137.99999999999997</v>
      </c>
      <c r="G13" s="14">
        <f>457.9*(2/3*10)</f>
        <v>3052.6666666666661</v>
      </c>
      <c r="H13" s="14">
        <f>63*(2/3*10)</f>
        <v>419.99999999999994</v>
      </c>
      <c r="I13" s="14">
        <f>423.2*(2/3*10)</f>
        <v>2821.333333333333</v>
      </c>
      <c r="K13">
        <v>10</v>
      </c>
      <c r="L13">
        <f t="shared" si="0"/>
        <v>2</v>
      </c>
    </row>
    <row r="14" spans="1:12" ht="16.5" x14ac:dyDescent="0.2">
      <c r="A14" s="4" t="s">
        <v>351</v>
      </c>
      <c r="B14">
        <v>2011</v>
      </c>
      <c r="C14" s="14">
        <f>661.6*(2/3*10)</f>
        <v>4410.6666666666661</v>
      </c>
      <c r="D14" s="14">
        <f>46.4*(2/3*10)</f>
        <v>309.33333333333331</v>
      </c>
      <c r="E14" s="14">
        <f>83.8*(2/3*10)</f>
        <v>558.66666666666663</v>
      </c>
      <c r="F14" s="14">
        <f>19.9*(2/3*10)</f>
        <v>132.66666666666666</v>
      </c>
      <c r="G14" s="14">
        <f>464.5*(2/3*10)</f>
        <v>3096.6666666666665</v>
      </c>
      <c r="H14" s="14">
        <f>64.8*(2/3*10)</f>
        <v>431.99999999999994</v>
      </c>
      <c r="I14" s="14">
        <f>420.1*(2/3*10)</f>
        <v>2800.6666666666665</v>
      </c>
      <c r="K14" s="15">
        <v>11</v>
      </c>
      <c r="L14">
        <f t="shared" si="0"/>
        <v>3</v>
      </c>
    </row>
    <row r="15" spans="1:12" ht="16.5" x14ac:dyDescent="0.2">
      <c r="A15" s="4" t="s">
        <v>351</v>
      </c>
      <c r="B15">
        <v>2012</v>
      </c>
      <c r="C15" s="14">
        <f>658.9*(2/3*10)</f>
        <v>4392.6666666666661</v>
      </c>
      <c r="D15" s="14">
        <f>46*(2/3*10)</f>
        <v>306.66666666666663</v>
      </c>
      <c r="E15" s="14">
        <f>83.4*(2/3*10)</f>
        <v>556</v>
      </c>
      <c r="F15" s="14">
        <f>18.1*(2/3*10)</f>
        <v>120.66666666666667</v>
      </c>
      <c r="G15" s="14">
        <f>472.1*(2/3*10)</f>
        <v>3147.333333333333</v>
      </c>
      <c r="H15" s="14">
        <f>65.6*(2/3*10)</f>
        <v>437.33333333333326</v>
      </c>
      <c r="I15" s="14">
        <f>416.5*(2/3*10)</f>
        <v>2776.6666666666665</v>
      </c>
      <c r="K15">
        <v>12</v>
      </c>
      <c r="L15">
        <f t="shared" si="0"/>
        <v>4</v>
      </c>
    </row>
    <row r="16" spans="1:12" ht="16.5" x14ac:dyDescent="0.2">
      <c r="A16" s="4" t="s">
        <v>351</v>
      </c>
      <c r="B16">
        <v>2013</v>
      </c>
      <c r="C16" s="14">
        <f>657.5*(2/3*10)</f>
        <v>4383.333333333333</v>
      </c>
      <c r="D16" s="14">
        <f>45.6*(2/3*10)</f>
        <v>304</v>
      </c>
      <c r="E16" s="14">
        <f>82.9*(2/3*10)</f>
        <v>552.66666666666663</v>
      </c>
      <c r="F16" s="14">
        <f>17.7*(2/3*10)</f>
        <v>117.99999999999999</v>
      </c>
      <c r="G16" s="14">
        <f>478.8*(2/3*10)</f>
        <v>3192</v>
      </c>
      <c r="H16" s="14">
        <f>67.1*(2/3*10)</f>
        <v>447.33333333333326</v>
      </c>
      <c r="I16" s="14">
        <f>410.6*(2/3*10)</f>
        <v>2737.333333333333</v>
      </c>
      <c r="K16" s="15">
        <v>13</v>
      </c>
      <c r="L16">
        <f t="shared" si="0"/>
        <v>5</v>
      </c>
    </row>
    <row r="17" spans="1:12" ht="16.5" x14ac:dyDescent="0.2">
      <c r="A17" s="4" t="s">
        <v>351</v>
      </c>
      <c r="B17">
        <v>2014</v>
      </c>
      <c r="C17" s="14">
        <f>655.8*(2/3*10)</f>
        <v>4371.9999999999991</v>
      </c>
      <c r="D17" s="14">
        <f>45.4*(2/3*10)</f>
        <v>302.66666666666663</v>
      </c>
      <c r="E17" s="14">
        <f>82.6*(2/3*10)</f>
        <v>550.66666666666663</v>
      </c>
      <c r="F17" s="14">
        <f>17.5*(2/3*10)</f>
        <v>116.66666666666666</v>
      </c>
      <c r="G17" s="14">
        <f>482.4*(2/3*10)</f>
        <v>3215.9999999999995</v>
      </c>
      <c r="H17" s="14">
        <f>68.5*(2/3*10)</f>
        <v>456.66666666666663</v>
      </c>
      <c r="I17" s="14">
        <f>407.5*(2/3*10)</f>
        <v>2716.6666666666665</v>
      </c>
      <c r="K17">
        <v>14</v>
      </c>
      <c r="L17">
        <f t="shared" si="0"/>
        <v>6</v>
      </c>
    </row>
    <row r="18" spans="1:12" ht="16.5" x14ac:dyDescent="0.2">
      <c r="A18" s="4" t="s">
        <v>351</v>
      </c>
      <c r="B18">
        <v>2015</v>
      </c>
      <c r="C18" s="14">
        <f>655.3*(2/3*10)</f>
        <v>4368.6666666666661</v>
      </c>
      <c r="D18" s="14">
        <f>44.9*(2/3*10)</f>
        <v>299.33333333333331</v>
      </c>
      <c r="E18" s="14">
        <f>82.4*(2/3*10)</f>
        <v>549.33333333333337</v>
      </c>
      <c r="F18" s="14">
        <f>17.1*(2/3*10)</f>
        <v>114</v>
      </c>
      <c r="G18" s="14">
        <f>484.4*(2/3*10)</f>
        <v>3229.333333333333</v>
      </c>
      <c r="H18" s="14">
        <f>70*(2/3*10)</f>
        <v>466.66666666666663</v>
      </c>
      <c r="I18" s="14">
        <f>405*(2/3*10)</f>
        <v>2699.9999999999995</v>
      </c>
      <c r="K18" s="15">
        <v>15</v>
      </c>
      <c r="L18">
        <f t="shared" si="0"/>
        <v>7</v>
      </c>
    </row>
    <row r="19" spans="1:12" ht="16.5" x14ac:dyDescent="0.2">
      <c r="A19" s="4" t="s">
        <v>351</v>
      </c>
      <c r="B19">
        <v>2016</v>
      </c>
      <c r="C19" s="14">
        <f>655.4*(2/3*10)</f>
        <v>4369.333333333333</v>
      </c>
      <c r="D19" s="14">
        <f>44.6*(2/3*10)</f>
        <v>297.33333333333331</v>
      </c>
      <c r="E19" s="14">
        <f>82.2*(2/3*10)</f>
        <v>548</v>
      </c>
      <c r="F19" s="14">
        <f>16.8*(2/3*10)</f>
        <v>112</v>
      </c>
      <c r="G19" s="14">
        <f>487.1*(2/3*10)</f>
        <v>3247.333333333333</v>
      </c>
      <c r="H19" s="14">
        <f>70.6*(2/3*10)</f>
        <v>470.66666666666657</v>
      </c>
      <c r="I19" s="14">
        <f>402*(2/3*10)</f>
        <v>2679.9999999999995</v>
      </c>
      <c r="K19">
        <v>16</v>
      </c>
      <c r="L19">
        <f t="shared" si="0"/>
        <v>0</v>
      </c>
    </row>
    <row r="20" spans="1:12" ht="16.5" x14ac:dyDescent="0.2">
      <c r="A20" s="4" t="s">
        <v>350</v>
      </c>
      <c r="B20">
        <v>2009</v>
      </c>
      <c r="C20" s="14">
        <f>873.4*(2/3*10)</f>
        <v>5822.6666666666661</v>
      </c>
      <c r="D20" s="14">
        <f>115.6*(2/3*10)</f>
        <v>770.66666666666652</v>
      </c>
      <c r="E20" s="14">
        <f>316.8*(2/3*10)</f>
        <v>2112</v>
      </c>
      <c r="F20" s="14">
        <f>323.4*(2/3*10)</f>
        <v>2155.9999999999995</v>
      </c>
      <c r="G20" s="14">
        <f>271.5*(2/3*10)</f>
        <v>1809.9999999999998</v>
      </c>
      <c r="H20" s="14">
        <f>49.5*(2/3*10)</f>
        <v>329.99999999999994</v>
      </c>
      <c r="I20" s="14">
        <f>86.7*(2/3*10)</f>
        <v>578</v>
      </c>
      <c r="K20" s="15">
        <v>17</v>
      </c>
      <c r="L20">
        <f t="shared" si="0"/>
        <v>1</v>
      </c>
    </row>
    <row r="21" spans="1:12" ht="16.5" x14ac:dyDescent="0.2">
      <c r="A21" s="4" t="s">
        <v>350</v>
      </c>
      <c r="B21">
        <v>2010</v>
      </c>
      <c r="C21" s="14">
        <f>868.3*(2/3*10)</f>
        <v>5788.6666666666661</v>
      </c>
      <c r="D21" s="14">
        <f>115.3*(2/3*10)</f>
        <v>768.66666666666663</v>
      </c>
      <c r="E21" s="14">
        <f>316.3*(2/3*10)</f>
        <v>2108.6666666666665</v>
      </c>
      <c r="F21" s="14">
        <f>322.7*(2/3*10)</f>
        <v>2151.333333333333</v>
      </c>
      <c r="G21" s="14">
        <f>275.8*(2/3*10)</f>
        <v>1838.6666666666665</v>
      </c>
      <c r="H21" s="14">
        <f>50.8*(2/3*10)</f>
        <v>338.66666666666663</v>
      </c>
      <c r="I21" s="14">
        <f>87.7*(2/3*10)</f>
        <v>584.66666666666663</v>
      </c>
      <c r="K21">
        <v>18</v>
      </c>
      <c r="L21">
        <f t="shared" si="0"/>
        <v>2</v>
      </c>
    </row>
    <row r="22" spans="1:12" ht="16.5" x14ac:dyDescent="0.2">
      <c r="A22" s="4" t="s">
        <v>350</v>
      </c>
      <c r="B22">
        <v>2011</v>
      </c>
      <c r="C22" s="14">
        <f>883.4*(2/3*10)</f>
        <v>5889.333333333333</v>
      </c>
      <c r="D22" s="14">
        <f>96.4*(2/3*10)</f>
        <v>642.66666666666663</v>
      </c>
      <c r="E22" s="14">
        <f>315.7*(2/3*10)</f>
        <v>2104.6666666666665</v>
      </c>
      <c r="F22" s="14">
        <f>322*(2/3*10)</f>
        <v>2146.6666666666665</v>
      </c>
      <c r="G22" s="14">
        <f>279*(2/3*10)</f>
        <v>1859.9999999999998</v>
      </c>
      <c r="H22" s="14">
        <f>51.5*(2/3*10)</f>
        <v>343.33333333333331</v>
      </c>
      <c r="I22" s="14">
        <f>88*(2/3*10)</f>
        <v>586.66666666666663</v>
      </c>
      <c r="K22" s="15">
        <v>19</v>
      </c>
      <c r="L22">
        <f t="shared" si="0"/>
        <v>3</v>
      </c>
    </row>
    <row r="23" spans="1:12" ht="16.5" x14ac:dyDescent="0.2">
      <c r="A23" s="4" t="s">
        <v>350</v>
      </c>
      <c r="B23">
        <v>2012</v>
      </c>
      <c r="C23" s="14">
        <f>881.5*(2/3*10)</f>
        <v>5876.6666666666661</v>
      </c>
      <c r="D23" s="14">
        <f>96.2*(2/3*10)</f>
        <v>641.33333333333326</v>
      </c>
      <c r="E23" s="14">
        <f>315.4*(2/3*10)</f>
        <v>2102.6666666666665</v>
      </c>
      <c r="F23" s="14">
        <f>321.3*(2/3*10)</f>
        <v>2142</v>
      </c>
      <c r="G23" s="14">
        <f>281.5*(2/3*10)</f>
        <v>1876.6666666666665</v>
      </c>
      <c r="H23" s="14">
        <f>52*(2/3*10)</f>
        <v>346.66666666666663</v>
      </c>
      <c r="I23" s="14">
        <f>87.8*(2/3*10)</f>
        <v>585.33333333333326</v>
      </c>
      <c r="K23">
        <v>20</v>
      </c>
      <c r="L23">
        <f t="shared" si="0"/>
        <v>4</v>
      </c>
    </row>
    <row r="24" spans="1:12" ht="16.5" x14ac:dyDescent="0.2">
      <c r="A24" s="4" t="s">
        <v>350</v>
      </c>
      <c r="B24">
        <v>2013</v>
      </c>
      <c r="C24" s="14">
        <f>880.3*(2/3*10)</f>
        <v>5868.6666666666661</v>
      </c>
      <c r="D24" s="14">
        <f>95.8*(2/3*10)</f>
        <v>638.66666666666663</v>
      </c>
      <c r="E24" s="14">
        <f>315.2*(2/3*10)</f>
        <v>2101.333333333333</v>
      </c>
      <c r="F24" s="14">
        <f>319.5*(2/3*10)</f>
        <v>2130</v>
      </c>
      <c r="G24" s="14">
        <f>284.2*(2/3*10)</f>
        <v>1894.6666666666665</v>
      </c>
      <c r="H24" s="14">
        <f>52.1*(2/3*10)</f>
        <v>347.33333333333331</v>
      </c>
      <c r="I24" s="14">
        <f>87.3*(2/3*10)</f>
        <v>581.99999999999989</v>
      </c>
      <c r="K24" s="15">
        <v>21</v>
      </c>
      <c r="L24">
        <f t="shared" si="0"/>
        <v>5</v>
      </c>
    </row>
    <row r="25" spans="1:12" ht="16.5" x14ac:dyDescent="0.2">
      <c r="A25" s="4" t="s">
        <v>350</v>
      </c>
      <c r="B25">
        <v>2014</v>
      </c>
      <c r="C25" s="14">
        <f>875.9*(2/3*10)</f>
        <v>5839.333333333333</v>
      </c>
      <c r="D25" s="14">
        <f>94.5*(2/3*10)</f>
        <v>630</v>
      </c>
      <c r="E25" s="14">
        <f>314.7*(2/3*10)</f>
        <v>2097.9999999999995</v>
      </c>
      <c r="F25" s="14">
        <f>317.7*(2/3*10)</f>
        <v>2117.9999999999995</v>
      </c>
      <c r="G25" s="14">
        <f>288.4*(2/3*10)</f>
        <v>1922.6666666666667</v>
      </c>
      <c r="H25" s="14">
        <f>54.2*(2/3*10)</f>
        <v>361.33333333333331</v>
      </c>
      <c r="I25" s="14">
        <f>87*(2/3*10)</f>
        <v>580</v>
      </c>
      <c r="K25">
        <v>22</v>
      </c>
      <c r="L25">
        <f t="shared" si="0"/>
        <v>6</v>
      </c>
    </row>
    <row r="26" spans="1:12" ht="16.5" x14ac:dyDescent="0.2">
      <c r="A26" s="4" t="s">
        <v>350</v>
      </c>
      <c r="B26">
        <v>2015</v>
      </c>
      <c r="C26" s="14">
        <f>874.4*(2/3*10)</f>
        <v>5829.333333333333</v>
      </c>
      <c r="D26" s="14">
        <f>94.2*(2/3*10)</f>
        <v>628</v>
      </c>
      <c r="E26" s="14">
        <f>314.5*(2/3*10)</f>
        <v>2096.6666666666665</v>
      </c>
      <c r="F26" s="14">
        <f>315.6*(2/3*10)</f>
        <v>2104</v>
      </c>
      <c r="G26" s="14">
        <f>292.4*(2/3*10)</f>
        <v>1949.3333333333335</v>
      </c>
      <c r="H26" s="14">
        <f>54.7*(2/3*10)</f>
        <v>364.66666666666663</v>
      </c>
      <c r="I26" s="14">
        <f>86.8*(2/3*10)</f>
        <v>578.66666666666663</v>
      </c>
      <c r="K26" s="15">
        <v>23</v>
      </c>
      <c r="L26">
        <f t="shared" si="0"/>
        <v>7</v>
      </c>
    </row>
    <row r="27" spans="1:12" ht="16.5" x14ac:dyDescent="0.2">
      <c r="A27" s="4" t="s">
        <v>350</v>
      </c>
      <c r="B27">
        <v>2016</v>
      </c>
      <c r="C27" s="14">
        <f>873*(2/3*10)</f>
        <v>5819.9999999999991</v>
      </c>
      <c r="D27" s="14">
        <f>93.8*(2/3*10)</f>
        <v>625.33333333333326</v>
      </c>
      <c r="E27" s="14">
        <f>313.8*(2/3*10)</f>
        <v>2092</v>
      </c>
      <c r="F27" s="14">
        <f>312.8*(2/3*10)</f>
        <v>2085.333333333333</v>
      </c>
      <c r="G27" s="14">
        <f>297.4*(2/3*10)</f>
        <v>1982.6666666666663</v>
      </c>
      <c r="H27" s="14">
        <f>55*(2/3*10)</f>
        <v>366.66666666666663</v>
      </c>
      <c r="I27" s="14">
        <f>87.8*(2/3*10)</f>
        <v>585.33333333333326</v>
      </c>
      <c r="K27">
        <v>24</v>
      </c>
      <c r="L27">
        <f t="shared" si="0"/>
        <v>0</v>
      </c>
    </row>
    <row r="28" spans="1:12" ht="16.5" x14ac:dyDescent="0.2">
      <c r="A28" s="4" t="s">
        <v>349</v>
      </c>
      <c r="B28">
        <v>2009</v>
      </c>
      <c r="C28" s="14">
        <f>844.2*(2/3*10)</f>
        <v>5628</v>
      </c>
      <c r="D28" s="14">
        <f>191.5*(2/3*10)</f>
        <v>1276.6666666666665</v>
      </c>
      <c r="E28" s="14">
        <f>171.1*(2/3*10)</f>
        <v>1140.6666666666665</v>
      </c>
      <c r="F28" s="14">
        <f>111.8*(2/3*10)</f>
        <v>745.33333333333326</v>
      </c>
      <c r="G28" s="14">
        <f>383.8*(2/3*10)</f>
        <v>2558.6666666666665</v>
      </c>
      <c r="H28" s="14">
        <f>65.3*(2/3*10)</f>
        <v>435.33333333333326</v>
      </c>
      <c r="I28" s="14">
        <f>307.2*(2/3*10)</f>
        <v>2047.9999999999998</v>
      </c>
      <c r="K28" s="15">
        <v>25</v>
      </c>
      <c r="L28">
        <f t="shared" si="0"/>
        <v>1</v>
      </c>
    </row>
    <row r="29" spans="1:12" ht="16.5" x14ac:dyDescent="0.2">
      <c r="A29" s="4" t="s">
        <v>349</v>
      </c>
      <c r="B29">
        <v>2010</v>
      </c>
      <c r="C29" s="14">
        <f>842.4*(2/3*10)</f>
        <v>5615.9999999999991</v>
      </c>
      <c r="D29" s="14">
        <f>191*(2/3*10)</f>
        <v>1273.3333333333333</v>
      </c>
      <c r="E29" s="14">
        <f>170.7*(2/3*10)</f>
        <v>1137.9999999999998</v>
      </c>
      <c r="F29" s="14">
        <f>111.2*(2/3*10)</f>
        <v>741.33333333333326</v>
      </c>
      <c r="G29" s="14">
        <f>392.6*(2/3*10)</f>
        <v>2617.333333333333</v>
      </c>
      <c r="H29" s="14">
        <f>66.8*(2/3*10)</f>
        <v>445.33333333333326</v>
      </c>
      <c r="I29" s="14">
        <f>298.9*(2/3*10)</f>
        <v>1992.6666666666663</v>
      </c>
      <c r="K29">
        <v>26</v>
      </c>
      <c r="L29">
        <f t="shared" si="0"/>
        <v>2</v>
      </c>
    </row>
    <row r="30" spans="1:12" ht="16.5" x14ac:dyDescent="0.2">
      <c r="A30" s="4" t="s">
        <v>349</v>
      </c>
      <c r="B30">
        <v>2011</v>
      </c>
      <c r="C30" s="14">
        <f>840.9*(2/3*10)</f>
        <v>5605.9999999999991</v>
      </c>
      <c r="D30" s="14">
        <f>190.3*(2/3*10)</f>
        <v>1268.6666666666667</v>
      </c>
      <c r="E30" s="14">
        <f>170.2*(2/3*10)</f>
        <v>1134.6666666666665</v>
      </c>
      <c r="F30" s="14">
        <f>110.8*(2/3*10)</f>
        <v>738.66666666666663</v>
      </c>
      <c r="G30" s="14">
        <f>408*(2/3*10)</f>
        <v>2719.9999999999995</v>
      </c>
      <c r="H30" s="14">
        <f>67.9*(2/3*10)</f>
        <v>452.66666666666669</v>
      </c>
      <c r="I30" s="14">
        <f>291.1*(2/3*10)</f>
        <v>1940.6666666666667</v>
      </c>
      <c r="K30" s="15">
        <v>27</v>
      </c>
      <c r="L30">
        <f t="shared" si="0"/>
        <v>3</v>
      </c>
    </row>
    <row r="31" spans="1:12" ht="16.5" x14ac:dyDescent="0.2">
      <c r="A31" s="4" t="s">
        <v>349</v>
      </c>
      <c r="B31">
        <v>2012</v>
      </c>
      <c r="C31" s="14">
        <f>837.5*(2/3*10)</f>
        <v>5583.333333333333</v>
      </c>
      <c r="D31" s="14">
        <f>189.4*(2/3*10)</f>
        <v>1262.6666666666665</v>
      </c>
      <c r="E31" s="14">
        <f>168.9*(2/3*10)</f>
        <v>1126</v>
      </c>
      <c r="F31" s="14">
        <f>110.5*(2/3*10)</f>
        <v>736.66666666666663</v>
      </c>
      <c r="G31" s="14">
        <f>413.6*(2/3*10)</f>
        <v>2757.333333333333</v>
      </c>
      <c r="H31" s="14">
        <f>69.2*(2/3*10)</f>
        <v>461.33333333333331</v>
      </c>
      <c r="I31" s="14">
        <f>288.3*(2/3*10)</f>
        <v>1922</v>
      </c>
      <c r="K31">
        <v>28</v>
      </c>
      <c r="L31">
        <f t="shared" si="0"/>
        <v>4</v>
      </c>
    </row>
    <row r="32" spans="1:12" ht="16.5" x14ac:dyDescent="0.2">
      <c r="A32" s="4" t="s">
        <v>349</v>
      </c>
      <c r="B32">
        <v>2013</v>
      </c>
      <c r="C32" s="14">
        <f>837.7*(2/3*10)</f>
        <v>5584.6666666666661</v>
      </c>
      <c r="D32" s="14">
        <f>188.9*(2/3*10)</f>
        <v>1259.3333333333333</v>
      </c>
      <c r="E32" s="14">
        <f>168.6*(2/3*10)</f>
        <v>1123.9999999999998</v>
      </c>
      <c r="F32" s="14">
        <f>110*(2/3*10)</f>
        <v>733.33333333333326</v>
      </c>
      <c r="G32" s="14">
        <f>416.3*(2/3*10)</f>
        <v>2775.333333333333</v>
      </c>
      <c r="H32" s="14">
        <f>69.8*(2/3*10)</f>
        <v>465.33333333333326</v>
      </c>
      <c r="I32" s="14">
        <f>286.1*(2/3*10)</f>
        <v>1907.3333333333333</v>
      </c>
      <c r="K32" s="15">
        <v>29</v>
      </c>
      <c r="L32">
        <f t="shared" si="0"/>
        <v>5</v>
      </c>
    </row>
    <row r="33" spans="1:12" ht="16.5" x14ac:dyDescent="0.2">
      <c r="A33" s="4" t="s">
        <v>349</v>
      </c>
      <c r="B33">
        <v>2014</v>
      </c>
      <c r="C33" s="14">
        <f>835.1*(2/3*10)</f>
        <v>5567.333333333333</v>
      </c>
      <c r="D33" s="14">
        <f>188.2*(2/3*10)</f>
        <v>1254.6666666666665</v>
      </c>
      <c r="E33" s="14">
        <f>168.1*(2/3*10)</f>
        <v>1120.6666666666665</v>
      </c>
      <c r="F33" s="14">
        <f>109.6*(2/3*10)</f>
        <v>730.66666666666652</v>
      </c>
      <c r="G33" s="14">
        <f>421.5*(2/3*10)</f>
        <v>2810</v>
      </c>
      <c r="H33" s="14">
        <f>71.6*(2/3*10)</f>
        <v>477.33333333333326</v>
      </c>
      <c r="I33" s="14">
        <f>283.3*(2/3*10)</f>
        <v>1888.6666666666665</v>
      </c>
      <c r="K33">
        <v>30</v>
      </c>
      <c r="L33">
        <f t="shared" si="0"/>
        <v>6</v>
      </c>
    </row>
    <row r="34" spans="1:12" ht="16.5" x14ac:dyDescent="0.2">
      <c r="A34" s="4" t="s">
        <v>349</v>
      </c>
      <c r="B34">
        <v>2015</v>
      </c>
      <c r="C34" s="14">
        <f>833.6*(2/3*10)</f>
        <v>5557.333333333333</v>
      </c>
      <c r="D34" s="14">
        <f>187.8*(2/3*10)</f>
        <v>1252</v>
      </c>
      <c r="E34" s="14">
        <f>167.7*(2/3*10)</f>
        <v>1117.9999999999998</v>
      </c>
      <c r="F34" s="14">
        <f>109.1*(2/3*10)</f>
        <v>727.33333333333326</v>
      </c>
      <c r="G34" s="14">
        <f>424.4*(2/3*10)</f>
        <v>2829.3333333333335</v>
      </c>
      <c r="H34" s="14">
        <f>72.7*(2/3*10)</f>
        <v>484.66666666666663</v>
      </c>
      <c r="I34" s="14">
        <f>281.9*(2/3*10)</f>
        <v>1879.333333333333</v>
      </c>
      <c r="K34" s="15">
        <v>31</v>
      </c>
      <c r="L34">
        <f t="shared" si="0"/>
        <v>7</v>
      </c>
    </row>
    <row r="35" spans="1:12" ht="16.5" x14ac:dyDescent="0.2">
      <c r="A35" s="4" t="s">
        <v>349</v>
      </c>
      <c r="B35">
        <v>2016</v>
      </c>
      <c r="C35" s="14">
        <f>834.1*(2/3*10)</f>
        <v>5560.6666666666661</v>
      </c>
      <c r="D35" s="14">
        <f>187.6*(2/3*10)</f>
        <v>1250.6666666666665</v>
      </c>
      <c r="E35" s="14">
        <f>167.4*(2/3*10)</f>
        <v>1116</v>
      </c>
      <c r="F35" s="14">
        <f>108.6*(2/3*10)</f>
        <v>723.99999999999989</v>
      </c>
      <c r="G35" s="14">
        <f>426.8*(2/3*10)</f>
        <v>2845.333333333333</v>
      </c>
      <c r="H35" s="14">
        <f>73.2*(2/3*10)</f>
        <v>488</v>
      </c>
      <c r="I35" s="14">
        <f>279.9*(2/3*10)</f>
        <v>1865.9999999999998</v>
      </c>
      <c r="K35">
        <v>32</v>
      </c>
      <c r="L35">
        <f t="shared" si="0"/>
        <v>0</v>
      </c>
    </row>
    <row r="36" spans="1:12" ht="16.5" x14ac:dyDescent="0.2">
      <c r="A36" s="4" t="s">
        <v>348</v>
      </c>
      <c r="B36">
        <v>2009</v>
      </c>
      <c r="C36" s="14">
        <f>287.5*(2/3*10)</f>
        <v>1916.6666666666665</v>
      </c>
      <c r="D36" s="14">
        <f>138.5*(2/3*10)</f>
        <v>923.33333333333326</v>
      </c>
      <c r="E36" s="14">
        <f>337.1*(2/3*10)</f>
        <v>2247.3333333333335</v>
      </c>
      <c r="F36" s="14">
        <f>198.4*(2/3*10)</f>
        <v>1322.6666666666665</v>
      </c>
      <c r="G36" s="14">
        <f>104.5*(2/3*10)</f>
        <v>696.66666666666663</v>
      </c>
      <c r="H36" s="14">
        <f>23.7*(2/3*10)</f>
        <v>157.99999999999997</v>
      </c>
      <c r="I36" s="14">
        <f>55.8*(2/3*10)</f>
        <v>371.99999999999994</v>
      </c>
      <c r="K36" s="15">
        <v>33</v>
      </c>
      <c r="L36">
        <f t="shared" si="0"/>
        <v>1</v>
      </c>
    </row>
    <row r="37" spans="1:12" ht="16.5" x14ac:dyDescent="0.2">
      <c r="A37" s="4" t="s">
        <v>348</v>
      </c>
      <c r="B37">
        <v>2010</v>
      </c>
      <c r="C37" s="14">
        <f>285.8*(2/3*10)</f>
        <v>1905.3333333333333</v>
      </c>
      <c r="D37" s="14">
        <f>137.4*(2/3*10)</f>
        <v>916</v>
      </c>
      <c r="E37" s="14">
        <f>336.5*(2/3*10)</f>
        <v>2243.333333333333</v>
      </c>
      <c r="F37" s="14">
        <f>197.7*(2/3*10)</f>
        <v>1317.9999999999998</v>
      </c>
      <c r="G37" s="14">
        <f>107.2*(2/3*10)</f>
        <v>714.66666666666663</v>
      </c>
      <c r="H37" s="14">
        <f>25.3*(2/3*10)</f>
        <v>168.66666666666666</v>
      </c>
      <c r="I37" s="14">
        <f>55.5*(2/3*10)</f>
        <v>369.99999999999994</v>
      </c>
      <c r="K37">
        <v>34</v>
      </c>
      <c r="L37">
        <f t="shared" si="0"/>
        <v>2</v>
      </c>
    </row>
    <row r="38" spans="1:12" ht="16.5" x14ac:dyDescent="0.2">
      <c r="A38" s="4" t="s">
        <v>348</v>
      </c>
      <c r="B38">
        <v>2011</v>
      </c>
      <c r="C38" s="14">
        <f>284.5*(2/3*10)</f>
        <v>1896.6666666666665</v>
      </c>
      <c r="D38" s="14">
        <f>136.9*(2/3*10)</f>
        <v>912.66666666666663</v>
      </c>
      <c r="E38" s="14">
        <f>336.1*(2/3*10)</f>
        <v>2240.6666666666665</v>
      </c>
      <c r="F38" s="14">
        <f>197.3*(2/3*10)</f>
        <v>1315.3333333333333</v>
      </c>
      <c r="G38" s="14">
        <f>108.7*(2/3*10)</f>
        <v>724.66666666666663</v>
      </c>
      <c r="H38" s="14">
        <f>25.4*(2/3*10)</f>
        <v>169.33333333333331</v>
      </c>
      <c r="I38" s="14">
        <f>55.1*(2/3*10)</f>
        <v>367.33333333333331</v>
      </c>
      <c r="K38" s="15">
        <v>35</v>
      </c>
      <c r="L38">
        <f t="shared" si="0"/>
        <v>3</v>
      </c>
    </row>
    <row r="39" spans="1:12" ht="16.5" x14ac:dyDescent="0.2">
      <c r="A39" s="4" t="s">
        <v>348</v>
      </c>
      <c r="B39">
        <v>2012</v>
      </c>
      <c r="C39" s="14">
        <f>283.9*(2/3*10)</f>
        <v>1892.6666666666663</v>
      </c>
      <c r="D39" s="14">
        <f>136.1*(2/3*10)</f>
        <v>907.33333333333326</v>
      </c>
      <c r="E39" s="14">
        <f>335.7*(2/3*10)</f>
        <v>2237.9999999999995</v>
      </c>
      <c r="F39" s="14">
        <f>196.4*(2/3*10)</f>
        <v>1309.3333333333333</v>
      </c>
      <c r="G39" s="14">
        <f>110.7*(2/3*10)</f>
        <v>738</v>
      </c>
      <c r="H39" s="14">
        <f>25.7*(2/3*10)</f>
        <v>171.33333333333331</v>
      </c>
      <c r="I39" s="14">
        <f>55*(2/3*10)</f>
        <v>366.66666666666663</v>
      </c>
      <c r="K39">
        <v>36</v>
      </c>
      <c r="L39">
        <f t="shared" si="0"/>
        <v>4</v>
      </c>
    </row>
    <row r="40" spans="1:12" ht="16.5" x14ac:dyDescent="0.2">
      <c r="A40" s="4" t="s">
        <v>348</v>
      </c>
      <c r="B40">
        <v>2013</v>
      </c>
      <c r="C40" s="14">
        <f>284.6*(2/3*10)</f>
        <v>1897.3333333333333</v>
      </c>
      <c r="D40" s="14">
        <f>135.9*(2/3*10)</f>
        <v>906</v>
      </c>
      <c r="E40" s="14">
        <f>335.5*(2/3*10)</f>
        <v>2236.6666666666665</v>
      </c>
      <c r="F40" s="14">
        <f>194.4*(2/3*10)</f>
        <v>1296</v>
      </c>
      <c r="G40" s="14">
        <f>111.9*(2/3*10)</f>
        <v>746</v>
      </c>
      <c r="H40" s="14">
        <f>25.8*(2/3*10)</f>
        <v>172</v>
      </c>
      <c r="I40" s="14">
        <f>54.8*(2/3*10)</f>
        <v>365.33333333333326</v>
      </c>
      <c r="K40" s="15">
        <v>37</v>
      </c>
      <c r="L40">
        <f t="shared" si="0"/>
        <v>5</v>
      </c>
    </row>
    <row r="41" spans="1:12" ht="16.5" x14ac:dyDescent="0.2">
      <c r="A41" s="4" t="s">
        <v>348</v>
      </c>
      <c r="B41">
        <v>2014</v>
      </c>
      <c r="C41" s="14">
        <f>283.4*(2/3*10)</f>
        <v>1889.333333333333</v>
      </c>
      <c r="D41" s="14">
        <f>135.5*(2/3*10)</f>
        <v>903.33333333333326</v>
      </c>
      <c r="E41" s="14">
        <f>335*(2/3*10)</f>
        <v>2233.333333333333</v>
      </c>
      <c r="F41" s="14">
        <f>194*(2/3*10)</f>
        <v>1293.3333333333333</v>
      </c>
      <c r="G41" s="14">
        <f>112.9*(2/3*10)</f>
        <v>752.66666666666663</v>
      </c>
      <c r="H41" s="14">
        <f>26.1*(2/3*10)</f>
        <v>174</v>
      </c>
      <c r="I41" s="14">
        <f>54.7*(2/3*10)</f>
        <v>364.66666666666663</v>
      </c>
      <c r="K41">
        <v>38</v>
      </c>
      <c r="L41">
        <f t="shared" si="0"/>
        <v>6</v>
      </c>
    </row>
    <row r="42" spans="1:12" ht="16.5" x14ac:dyDescent="0.2">
      <c r="A42" s="4" t="s">
        <v>348</v>
      </c>
      <c r="B42">
        <v>2015</v>
      </c>
      <c r="C42" s="14">
        <f>283*(2/3*10)</f>
        <v>1886.6666666666665</v>
      </c>
      <c r="D42" s="14">
        <f>135.3*(2/3*10)</f>
        <v>902</v>
      </c>
      <c r="E42" s="14">
        <f>334.8*(2/3*10)</f>
        <v>2232</v>
      </c>
      <c r="F42" s="14">
        <f>193.4*(2/3*10)</f>
        <v>1289.3333333333333</v>
      </c>
      <c r="G42" s="14">
        <f>114.4*(2/3*10)</f>
        <v>762.66666666666663</v>
      </c>
      <c r="H42" s="14">
        <f>26.2*(2/3*10)</f>
        <v>174.66666666666666</v>
      </c>
      <c r="I42" s="14">
        <f>54.6*(2/3*10)</f>
        <v>364</v>
      </c>
      <c r="K42" s="15">
        <v>39</v>
      </c>
      <c r="L42">
        <f t="shared" si="0"/>
        <v>7</v>
      </c>
    </row>
    <row r="43" spans="1:12" ht="16.5" x14ac:dyDescent="0.2">
      <c r="A43" s="4" t="s">
        <v>348</v>
      </c>
      <c r="B43">
        <v>2016</v>
      </c>
      <c r="C43" s="14">
        <f>282.5*(2/3*10)</f>
        <v>1883.3333333333333</v>
      </c>
      <c r="D43" s="14">
        <f>135.1*(2/3*10)</f>
        <v>900.66666666666652</v>
      </c>
      <c r="E43" s="14">
        <f>334.7*(2/3*10)</f>
        <v>2231.333333333333</v>
      </c>
      <c r="F43" s="14">
        <f>193.2*(2/3*10)</f>
        <v>1287.9999999999998</v>
      </c>
      <c r="G43" s="14">
        <f>115.8*(2/3*10)</f>
        <v>772</v>
      </c>
      <c r="H43" s="14">
        <f>26.4*(2/3*10)</f>
        <v>175.99999999999997</v>
      </c>
      <c r="I43" s="14">
        <f>54.5*(2/3*10)</f>
        <v>363.33333333333331</v>
      </c>
      <c r="K43">
        <v>40</v>
      </c>
      <c r="L43">
        <f t="shared" si="0"/>
        <v>0</v>
      </c>
    </row>
    <row r="44" spans="1:12" ht="16.5" x14ac:dyDescent="0.2">
      <c r="A44" s="4" t="s">
        <v>347</v>
      </c>
      <c r="B44">
        <v>2009</v>
      </c>
      <c r="C44" s="14">
        <f>1014.1*(2/3*10)</f>
        <v>6760.6666666666661</v>
      </c>
      <c r="D44" s="14">
        <f>27.7*(2/3*10)</f>
        <v>184.66666666666666</v>
      </c>
      <c r="E44" s="14">
        <f>192.2*(2/3*10)</f>
        <v>1281.333333333333</v>
      </c>
      <c r="F44" s="14">
        <f>99.6*(2/3*10)</f>
        <v>663.99999999999989</v>
      </c>
      <c r="G44" s="14">
        <f>243.5*(2/3*10)</f>
        <v>1623.3333333333333</v>
      </c>
      <c r="H44" s="14">
        <f>47.9*(2/3*10)</f>
        <v>319.33333333333331</v>
      </c>
      <c r="I44" s="14">
        <f>62.3*(2/3*10)</f>
        <v>415.33333333333326</v>
      </c>
      <c r="K44" s="15">
        <v>41</v>
      </c>
      <c r="L44">
        <f t="shared" si="0"/>
        <v>1</v>
      </c>
    </row>
    <row r="45" spans="1:12" ht="16.5" x14ac:dyDescent="0.2">
      <c r="A45" s="4" t="s">
        <v>347</v>
      </c>
      <c r="B45">
        <v>2010</v>
      </c>
      <c r="C45" s="14">
        <f>1009.8*(2/3*10)</f>
        <v>6731.9999999999991</v>
      </c>
      <c r="D45" s="14">
        <f>27.5*(2/3*10)</f>
        <v>183.33333333333331</v>
      </c>
      <c r="E45" s="14">
        <f>191.8*(2/3*10)</f>
        <v>1278.6666666666667</v>
      </c>
      <c r="F45" s="14">
        <f>99*(2/3*10)</f>
        <v>659.99999999999989</v>
      </c>
      <c r="G45" s="14">
        <f>246.5*(2/3*10)</f>
        <v>1643.333333333333</v>
      </c>
      <c r="H45" s="14">
        <f>48.9*(2/3*10)</f>
        <v>325.99999999999994</v>
      </c>
      <c r="I45" s="14">
        <f>63.5*(2/3*10)</f>
        <v>423.33333333333331</v>
      </c>
      <c r="K45">
        <v>42</v>
      </c>
      <c r="L45">
        <f t="shared" si="0"/>
        <v>2</v>
      </c>
    </row>
    <row r="46" spans="1:12" ht="16.5" x14ac:dyDescent="0.2">
      <c r="A46" s="4" t="s">
        <v>347</v>
      </c>
      <c r="B46">
        <v>2011</v>
      </c>
      <c r="C46" s="14">
        <f>1008.5*(2/3*10)</f>
        <v>6723.333333333333</v>
      </c>
      <c r="D46" s="14">
        <f>27.2*(2/3*10)</f>
        <v>181.33333333333331</v>
      </c>
      <c r="E46" s="14">
        <f>191.6*(2/3*10)</f>
        <v>1277.3333333333333</v>
      </c>
      <c r="F46" s="14">
        <f>98.4*(2/3*10)</f>
        <v>656</v>
      </c>
      <c r="G46" s="14">
        <f>248.2*(2/3*10)</f>
        <v>1654.6666666666667</v>
      </c>
      <c r="H46" s="14">
        <f>49.4*(2/3*10)</f>
        <v>329.33333333333331</v>
      </c>
      <c r="I46" s="14">
        <f>63.1*(2/3*10)</f>
        <v>420.66666666666663</v>
      </c>
      <c r="K46" s="15">
        <v>43</v>
      </c>
      <c r="L46">
        <f t="shared" si="0"/>
        <v>3</v>
      </c>
    </row>
    <row r="47" spans="1:12" ht="16.5" x14ac:dyDescent="0.2">
      <c r="A47" s="4" t="s">
        <v>347</v>
      </c>
      <c r="B47">
        <v>2012</v>
      </c>
      <c r="C47" s="14">
        <f>1006.5*(2/3*10)</f>
        <v>6709.9999999999991</v>
      </c>
      <c r="D47" s="14">
        <f>26.9*(2/3*10)</f>
        <v>179.33333333333331</v>
      </c>
      <c r="E47" s="14">
        <f>191.2*(2/3*10)</f>
        <v>1274.6666666666665</v>
      </c>
      <c r="F47" s="14">
        <f>97.9*(2/3*10)</f>
        <v>652.66666666666663</v>
      </c>
      <c r="G47" s="14">
        <f>250.5*(2/3*10)</f>
        <v>1670</v>
      </c>
      <c r="H47" s="14">
        <f>50.3*(2/3*10)</f>
        <v>335.33333333333326</v>
      </c>
      <c r="I47" s="14">
        <f>62.8*(2/3*10)</f>
        <v>418.66666666666663</v>
      </c>
      <c r="K47">
        <v>44</v>
      </c>
      <c r="L47">
        <f t="shared" si="0"/>
        <v>4</v>
      </c>
    </row>
    <row r="48" spans="1:12" ht="16.5" x14ac:dyDescent="0.2">
      <c r="A48" s="4" t="s">
        <v>347</v>
      </c>
      <c r="B48">
        <v>2013</v>
      </c>
      <c r="C48" s="14">
        <f>1003.9*(2/3*10)</f>
        <v>6692.6666666666661</v>
      </c>
      <c r="D48" s="14">
        <f>26.4*(2/3*10)</f>
        <v>175.99999999999997</v>
      </c>
      <c r="E48" s="14">
        <f>191.2*(2/3*10)</f>
        <v>1274.6666666666665</v>
      </c>
      <c r="F48" s="14">
        <f>97.2*(2/3*10)</f>
        <v>648</v>
      </c>
      <c r="G48" s="14">
        <f>252.3*(2/3*10)</f>
        <v>1682</v>
      </c>
      <c r="H48" s="14">
        <f>50.8*(2/3*10)</f>
        <v>338.66666666666663</v>
      </c>
      <c r="I48" s="14">
        <f>62.7*(2/3*10)</f>
        <v>418</v>
      </c>
      <c r="K48" s="15">
        <v>45</v>
      </c>
      <c r="L48">
        <f t="shared" si="0"/>
        <v>5</v>
      </c>
    </row>
    <row r="49" spans="1:12" ht="16.5" x14ac:dyDescent="0.2">
      <c r="A49" s="4" t="s">
        <v>347</v>
      </c>
      <c r="B49">
        <v>2014</v>
      </c>
      <c r="C49" s="14">
        <f>1000.7*(2/3*10)</f>
        <v>6671.333333333333</v>
      </c>
      <c r="D49" s="14">
        <f>26.2*(2/3*10)</f>
        <v>174.66666666666666</v>
      </c>
      <c r="E49" s="14">
        <f>190.8*(2/3*10)</f>
        <v>1272</v>
      </c>
      <c r="F49" s="14">
        <f>96.4*(2/3*10)</f>
        <v>642.66666666666663</v>
      </c>
      <c r="G49" s="14">
        <f>255.2*(2/3*10)</f>
        <v>1701.333333333333</v>
      </c>
      <c r="H49" s="14">
        <f>51.4*(2/3*10)</f>
        <v>342.66666666666663</v>
      </c>
      <c r="I49" s="14">
        <f>62.1*(2/3*10)</f>
        <v>414</v>
      </c>
      <c r="K49">
        <v>46</v>
      </c>
      <c r="L49">
        <f t="shared" si="0"/>
        <v>6</v>
      </c>
    </row>
    <row r="50" spans="1:12" ht="16.5" x14ac:dyDescent="0.2">
      <c r="A50" s="4" t="s">
        <v>347</v>
      </c>
      <c r="B50">
        <v>2015</v>
      </c>
      <c r="C50" s="14">
        <f>996.8*(2/3*10)</f>
        <v>6645.3333333333321</v>
      </c>
      <c r="D50" s="14">
        <f>26*(2/3*10)</f>
        <v>173.33333333333331</v>
      </c>
      <c r="E50" s="14">
        <f>190.6*(2/3*10)</f>
        <v>1270.6666666666665</v>
      </c>
      <c r="F50" s="14">
        <f>96.1*(2/3*10)</f>
        <v>640.66666666666652</v>
      </c>
      <c r="G50" s="14">
        <f>260.5*(2/3*10)</f>
        <v>1736.6666666666665</v>
      </c>
      <c r="H50" s="14">
        <f>52.4*(2/3*10)</f>
        <v>349.33333333333331</v>
      </c>
      <c r="I50" s="14">
        <f>61.3*(2/3*10)</f>
        <v>408.66666666666663</v>
      </c>
      <c r="K50" s="15">
        <v>47</v>
      </c>
      <c r="L50">
        <f t="shared" si="0"/>
        <v>7</v>
      </c>
    </row>
    <row r="51" spans="1:12" ht="16.5" x14ac:dyDescent="0.2">
      <c r="A51" s="4" t="s">
        <v>347</v>
      </c>
      <c r="B51">
        <v>2016</v>
      </c>
      <c r="C51" s="14">
        <f>996.2*(2/3*10)</f>
        <v>6641.333333333333</v>
      </c>
      <c r="D51" s="14">
        <f>25.5*(2/3*10)</f>
        <v>169.99999999999997</v>
      </c>
      <c r="E51" s="14">
        <f>190.2*(2/3*10)</f>
        <v>1267.9999999999998</v>
      </c>
      <c r="F51" s="14">
        <f>94.5*(2/3*10)</f>
        <v>630</v>
      </c>
      <c r="G51" s="14">
        <f>265.9*(2/3*10)</f>
        <v>1772.6666666666663</v>
      </c>
      <c r="H51" s="14">
        <f>52.7*(2/3*10)</f>
        <v>351.33333333333331</v>
      </c>
      <c r="I51" s="14">
        <f>60.5*(2/3*10)</f>
        <v>403.33333333333331</v>
      </c>
      <c r="K51">
        <v>48</v>
      </c>
      <c r="L51">
        <f t="shared" si="0"/>
        <v>0</v>
      </c>
    </row>
    <row r="52" spans="1:12" ht="16.5" x14ac:dyDescent="0.2">
      <c r="A52" s="4" t="s">
        <v>346</v>
      </c>
      <c r="B52">
        <v>2009</v>
      </c>
      <c r="C52" s="14">
        <f>1052.5*(2/3*10)</f>
        <v>7016.6666666666661</v>
      </c>
      <c r="D52" s="14">
        <f>86.6*(2/3*10)</f>
        <v>577.33333333333326</v>
      </c>
      <c r="E52" s="14">
        <f>203.9*(2/3*10)</f>
        <v>1359.3333333333333</v>
      </c>
      <c r="F52" s="14">
        <f>127.4*(2/3*10)</f>
        <v>849.33333333333326</v>
      </c>
      <c r="G52" s="14">
        <f>217*(2/3*10)</f>
        <v>1446.6666666666667</v>
      </c>
      <c r="H52" s="14">
        <f>48.9*(2/3*10)</f>
        <v>325.99999999999994</v>
      </c>
      <c r="I52" s="14">
        <f>69.6*(2/3*10)</f>
        <v>463.99999999999994</v>
      </c>
      <c r="K52" s="15">
        <v>49</v>
      </c>
      <c r="L52">
        <f t="shared" si="0"/>
        <v>1</v>
      </c>
    </row>
    <row r="53" spans="1:12" ht="16.5" x14ac:dyDescent="0.2">
      <c r="A53" s="4" t="s">
        <v>346</v>
      </c>
      <c r="B53">
        <v>2010</v>
      </c>
      <c r="C53" s="14">
        <f>1050.1*(2/3*10)</f>
        <v>7000.6666666666652</v>
      </c>
      <c r="D53" s="14">
        <f>86.4*(2/3*10)</f>
        <v>576</v>
      </c>
      <c r="E53" s="14">
        <f>203.7*(2/3*10)</f>
        <v>1357.9999999999998</v>
      </c>
      <c r="F53" s="14">
        <f>126.6*(2/3*10)</f>
        <v>843.99999999999989</v>
      </c>
      <c r="G53" s="14">
        <f>219.7*(2/3*10)</f>
        <v>1464.6666666666665</v>
      </c>
      <c r="H53" s="14">
        <f>50*(2/3*10)</f>
        <v>333.33333333333331</v>
      </c>
      <c r="I53" s="14">
        <f>69.5*(2/3*10)</f>
        <v>463.33333333333331</v>
      </c>
      <c r="K53">
        <v>50</v>
      </c>
      <c r="L53">
        <f t="shared" si="0"/>
        <v>2</v>
      </c>
    </row>
    <row r="54" spans="1:12" ht="16.5" x14ac:dyDescent="0.2">
      <c r="A54" s="4" t="s">
        <v>346</v>
      </c>
      <c r="B54">
        <v>2011</v>
      </c>
      <c r="C54" s="14">
        <f>1049.7*(2/3*10)</f>
        <v>6998</v>
      </c>
      <c r="D54" s="14">
        <f>85.7*(2/3*10)</f>
        <v>571.33333333333326</v>
      </c>
      <c r="E54" s="14">
        <f>202.9*(2/3*10)</f>
        <v>1352.6666666666665</v>
      </c>
      <c r="F54" s="14">
        <f>124.4*(2/3*10)</f>
        <v>829.33333333333326</v>
      </c>
      <c r="G54" s="14">
        <f>222.6*(2/3*10)</f>
        <v>1484</v>
      </c>
      <c r="H54" s="14">
        <f>50.6*(2/3*10)</f>
        <v>337.33333333333331</v>
      </c>
      <c r="I54" s="14">
        <f>69*(2/3*10)</f>
        <v>459.99999999999994</v>
      </c>
      <c r="K54" s="15">
        <v>51</v>
      </c>
      <c r="L54">
        <f t="shared" si="0"/>
        <v>3</v>
      </c>
    </row>
    <row r="55" spans="1:12" ht="16.5" x14ac:dyDescent="0.2">
      <c r="A55" s="4" t="s">
        <v>346</v>
      </c>
      <c r="B55">
        <v>2012</v>
      </c>
      <c r="C55" s="14">
        <f>1047.4*(2/3*10)</f>
        <v>6982.666666666667</v>
      </c>
      <c r="D55" s="14">
        <f>85.3*(2/3*10)</f>
        <v>568.66666666666663</v>
      </c>
      <c r="E55" s="14">
        <f>202.3*(2/3*10)</f>
        <v>1348.6666666666665</v>
      </c>
      <c r="F55" s="14">
        <f>123.2*(2/3*10)</f>
        <v>821.33333333333326</v>
      </c>
      <c r="G55" s="14">
        <f>225.4*(2/3*10)</f>
        <v>1502.6666666666665</v>
      </c>
      <c r="H55" s="14">
        <f>52*(2/3*10)</f>
        <v>346.66666666666663</v>
      </c>
      <c r="I55" s="14">
        <f>69*(2/3*10)</f>
        <v>459.99999999999994</v>
      </c>
      <c r="K55">
        <v>52</v>
      </c>
      <c r="L55">
        <f t="shared" si="0"/>
        <v>4</v>
      </c>
    </row>
    <row r="56" spans="1:12" ht="16.5" x14ac:dyDescent="0.2">
      <c r="A56" s="4" t="s">
        <v>346</v>
      </c>
      <c r="B56">
        <v>2013</v>
      </c>
      <c r="C56" s="14">
        <f>1044.2*(2/3*10)</f>
        <v>6961.333333333333</v>
      </c>
      <c r="D56" s="14">
        <f>84.9*(2/3*10)</f>
        <v>566</v>
      </c>
      <c r="E56" s="14">
        <f>202*(2/3*10)</f>
        <v>1346.6666666666665</v>
      </c>
      <c r="F56" s="14">
        <f>121.2*(2/3*10)</f>
        <v>808</v>
      </c>
      <c r="G56" s="14">
        <f>228.5*(2/3*10)</f>
        <v>1523.3333333333333</v>
      </c>
      <c r="H56" s="14">
        <f>54.2*(2/3*10)</f>
        <v>361.33333333333331</v>
      </c>
      <c r="I56" s="14">
        <f>68.6*(2/3*10)</f>
        <v>457.33333333333326</v>
      </c>
      <c r="K56" s="15">
        <v>53</v>
      </c>
      <c r="L56">
        <f t="shared" si="0"/>
        <v>5</v>
      </c>
    </row>
    <row r="57" spans="1:12" ht="16.5" x14ac:dyDescent="0.2">
      <c r="A57" s="4" t="s">
        <v>346</v>
      </c>
      <c r="B57">
        <v>2014</v>
      </c>
      <c r="C57" s="14">
        <f>1041.7*(2/3*10)</f>
        <v>6944.6666666666661</v>
      </c>
      <c r="D57" s="14">
        <f>84.2*(2/3*10)</f>
        <v>561.33333333333326</v>
      </c>
      <c r="E57" s="14">
        <f>201.6*(2/3*10)</f>
        <v>1343.9999999999998</v>
      </c>
      <c r="F57" s="14">
        <f>119.9*(2/3*10)</f>
        <v>799.33333333333326</v>
      </c>
      <c r="G57" s="14">
        <f>231.5*(2/3*10)</f>
        <v>1543.3333333333333</v>
      </c>
      <c r="H57" s="14">
        <f>54.9*(2/3*10)</f>
        <v>365.99999999999994</v>
      </c>
      <c r="I57" s="14">
        <f>68.3*(2/3*10)</f>
        <v>455.33333333333326</v>
      </c>
      <c r="K57">
        <v>54</v>
      </c>
      <c r="L57">
        <f t="shared" si="0"/>
        <v>6</v>
      </c>
    </row>
    <row r="58" spans="1:12" ht="16.5" x14ac:dyDescent="0.2">
      <c r="A58" s="4" t="s">
        <v>346</v>
      </c>
      <c r="B58">
        <v>2015</v>
      </c>
      <c r="C58" s="14">
        <f>1041.1*(2/3*10)</f>
        <v>6940.6666666666652</v>
      </c>
      <c r="D58" s="14">
        <f>83*(2/3*10)</f>
        <v>553.33333333333326</v>
      </c>
      <c r="E58" s="14">
        <f>200.3*(2/3*10)</f>
        <v>1335.3333333333333</v>
      </c>
      <c r="F58" s="14">
        <f>118.6*(2/3*10)</f>
        <v>790.66666666666652</v>
      </c>
      <c r="G58" s="14">
        <f>236.2*(2/3*10)</f>
        <v>1574.6666666666665</v>
      </c>
      <c r="H58" s="14">
        <f>55.4*(2/3*10)</f>
        <v>369.33333333333331</v>
      </c>
      <c r="I58" s="14">
        <f>67.9*(2/3*10)</f>
        <v>452.66666666666669</v>
      </c>
      <c r="K58" s="15">
        <v>55</v>
      </c>
      <c r="L58">
        <f t="shared" si="0"/>
        <v>7</v>
      </c>
    </row>
    <row r="59" spans="1:12" ht="16.5" x14ac:dyDescent="0.2">
      <c r="A59" s="4" t="s">
        <v>346</v>
      </c>
      <c r="B59">
        <v>2016</v>
      </c>
      <c r="C59" s="14">
        <f>1038.7*(2/3*10)</f>
        <v>6924.6666666666661</v>
      </c>
      <c r="D59" s="14">
        <f>82.4*(2/3*10)</f>
        <v>549.33333333333337</v>
      </c>
      <c r="E59" s="14">
        <f>200.1*(2/3*10)</f>
        <v>1333.9999999999998</v>
      </c>
      <c r="F59" s="14">
        <f>117.1*(2/3*10)</f>
        <v>780.66666666666652</v>
      </c>
      <c r="G59" s="14">
        <f>240.4*(2/3*10)</f>
        <v>1602.6666666666665</v>
      </c>
      <c r="H59" s="14">
        <f>55.9*(2/3*10)</f>
        <v>372.66666666666663</v>
      </c>
      <c r="I59" s="14">
        <f>68.9*(2/3*10)</f>
        <v>459.33333333333331</v>
      </c>
      <c r="K59">
        <v>56</v>
      </c>
      <c r="L59">
        <f t="shared" si="0"/>
        <v>0</v>
      </c>
    </row>
    <row r="60" spans="1:12" ht="16.5" x14ac:dyDescent="0.2">
      <c r="A60" s="4" t="s">
        <v>345</v>
      </c>
      <c r="B60">
        <v>2009</v>
      </c>
      <c r="C60" s="14">
        <f>1212.5*(2/3*10)</f>
        <v>8083.333333333333</v>
      </c>
      <c r="D60" s="14">
        <f>69.9*(2/3*10)</f>
        <v>466</v>
      </c>
      <c r="E60" s="14">
        <f>382.4*(2/3*10)</f>
        <v>2549.333333333333</v>
      </c>
      <c r="F60" s="14">
        <f>480.8*(2/3*10)</f>
        <v>3205.333333333333</v>
      </c>
      <c r="G60" s="14">
        <f>377*(2/3*10)</f>
        <v>2513.333333333333</v>
      </c>
      <c r="H60" s="14">
        <f>68.9*(2/3*10)</f>
        <v>459.33333333333331</v>
      </c>
      <c r="I60" s="14">
        <f>150.1*(2/3*10)</f>
        <v>1000.6666666666665</v>
      </c>
      <c r="K60" s="15">
        <v>57</v>
      </c>
      <c r="L60">
        <f t="shared" si="0"/>
        <v>1</v>
      </c>
    </row>
    <row r="61" spans="1:12" ht="16.5" x14ac:dyDescent="0.2">
      <c r="A61" s="4" t="s">
        <v>345</v>
      </c>
      <c r="B61">
        <v>2010</v>
      </c>
      <c r="C61" s="14">
        <f>1211.4*(2/3*10)</f>
        <v>8076</v>
      </c>
      <c r="D61" s="14">
        <f>69.8*(2/3*10)</f>
        <v>465.33333333333326</v>
      </c>
      <c r="E61" s="14">
        <f>381.9*(2/3*10)</f>
        <v>2545.9999999999995</v>
      </c>
      <c r="F61" s="14">
        <f>478.1*(2/3*10)</f>
        <v>3187.333333333333</v>
      </c>
      <c r="G61" s="14">
        <f>381.6*(2/3*10)</f>
        <v>2544</v>
      </c>
      <c r="H61" s="14">
        <f>70.1*(2/3*10)</f>
        <v>467.33333333333326</v>
      </c>
      <c r="I61" s="14">
        <f>148.2*(2/3*10)</f>
        <v>987.99999999999989</v>
      </c>
      <c r="K61">
        <v>58</v>
      </c>
      <c r="L61">
        <f t="shared" si="0"/>
        <v>2</v>
      </c>
    </row>
    <row r="62" spans="1:12" ht="16.5" x14ac:dyDescent="0.2">
      <c r="A62" s="4" t="s">
        <v>345</v>
      </c>
      <c r="B62">
        <v>2011</v>
      </c>
      <c r="C62" s="14">
        <f>1211.2*(2/3*10)</f>
        <v>8074.6666666666661</v>
      </c>
      <c r="D62" s="14">
        <f>69.6*(2/3*10)</f>
        <v>463.99999999999994</v>
      </c>
      <c r="E62" s="14">
        <f>381.4*(2/3*10)</f>
        <v>2542.6666666666665</v>
      </c>
      <c r="F62" s="14">
        <f>477.7*(2/3*10)</f>
        <v>3184.6666666666665</v>
      </c>
      <c r="G62" s="14">
        <f>383.9*(2/3*10)</f>
        <v>2559.333333333333</v>
      </c>
      <c r="H62" s="14">
        <f>70.2*(2/3*10)</f>
        <v>468</v>
      </c>
      <c r="I62" s="14">
        <f>146.4*(2/3*10)</f>
        <v>976</v>
      </c>
      <c r="K62" s="15">
        <v>59</v>
      </c>
      <c r="L62">
        <f t="shared" si="0"/>
        <v>3</v>
      </c>
    </row>
    <row r="63" spans="1:12" ht="16.5" x14ac:dyDescent="0.2">
      <c r="A63" s="4" t="s">
        <v>345</v>
      </c>
      <c r="B63">
        <v>2012</v>
      </c>
      <c r="C63" s="14">
        <f>1209.5*(2/3*10)</f>
        <v>8063.333333333333</v>
      </c>
      <c r="D63" s="14">
        <f>69.5*(2/3*10)</f>
        <v>463.33333333333331</v>
      </c>
      <c r="E63" s="14">
        <f>380.9*(2/3*10)</f>
        <v>2539.333333333333</v>
      </c>
      <c r="F63" s="14">
        <f>477.7*(2/3*10)</f>
        <v>3184.6666666666665</v>
      </c>
      <c r="G63" s="14">
        <f>386.6*(2/3*10)</f>
        <v>2577.333333333333</v>
      </c>
      <c r="H63" s="14">
        <f>70.4*(2/3*10)</f>
        <v>469.33333333333331</v>
      </c>
      <c r="I63" s="14">
        <f>146.3*(2/3*10)</f>
        <v>975.33333333333337</v>
      </c>
      <c r="K63">
        <v>60</v>
      </c>
      <c r="L63">
        <f t="shared" si="0"/>
        <v>4</v>
      </c>
    </row>
    <row r="64" spans="1:12" ht="16.5" x14ac:dyDescent="0.2">
      <c r="A64" s="4" t="s">
        <v>345</v>
      </c>
      <c r="B64">
        <v>2013</v>
      </c>
      <c r="C64" s="14">
        <f>1209.4*(2/3*10)</f>
        <v>8062.666666666667</v>
      </c>
      <c r="D64" s="14">
        <f>69.3*(2/3*10)</f>
        <v>461.99999999999994</v>
      </c>
      <c r="E64" s="14">
        <f>380.7*(2/3*10)</f>
        <v>2537.9999999999995</v>
      </c>
      <c r="F64" s="14">
        <f>476.8*(2/3*10)</f>
        <v>3178.6666666666665</v>
      </c>
      <c r="G64" s="14">
        <f>389.1*(2/3*10)</f>
        <v>2593.9999999999995</v>
      </c>
      <c r="H64" s="14">
        <f>70.6*(2/3*10)</f>
        <v>470.66666666666657</v>
      </c>
      <c r="I64" s="14">
        <f>144.7*(2/3*10)</f>
        <v>964.66666666666652</v>
      </c>
      <c r="K64" s="15">
        <v>61</v>
      </c>
      <c r="L64">
        <f t="shared" si="0"/>
        <v>5</v>
      </c>
    </row>
    <row r="65" spans="1:12" ht="16.5" x14ac:dyDescent="0.2">
      <c r="A65" s="4" t="s">
        <v>345</v>
      </c>
      <c r="B65">
        <v>2014</v>
      </c>
      <c r="C65" s="14">
        <f>1205.1*(2/3*10)</f>
        <v>8033.9999999999991</v>
      </c>
      <c r="D65" s="14">
        <f>68.9*(2/3*10)</f>
        <v>459.33333333333331</v>
      </c>
      <c r="E65" s="14">
        <f>379.7*(2/3*10)</f>
        <v>2531.333333333333</v>
      </c>
      <c r="F65" s="14">
        <f>476.1*(2/3*10)</f>
        <v>3174</v>
      </c>
      <c r="G65" s="14">
        <f>393.1*(2/3*10)</f>
        <v>2620.6666666666665</v>
      </c>
      <c r="H65" s="14">
        <f>71.9*(2/3*10)</f>
        <v>479.33333333333331</v>
      </c>
      <c r="I65" s="14">
        <f>144.4*(2/3*10)</f>
        <v>962.66666666666663</v>
      </c>
      <c r="K65">
        <v>62</v>
      </c>
      <c r="L65">
        <f t="shared" si="0"/>
        <v>6</v>
      </c>
    </row>
    <row r="66" spans="1:12" ht="16.5" x14ac:dyDescent="0.2">
      <c r="A66" s="4" t="s">
        <v>345</v>
      </c>
      <c r="B66">
        <v>2015</v>
      </c>
      <c r="C66" s="14">
        <f>1203.2*(2/3*10)</f>
        <v>8021.333333333333</v>
      </c>
      <c r="D66" s="14">
        <f>67.9*(2/3*10)</f>
        <v>452.66666666666669</v>
      </c>
      <c r="E66" s="14">
        <f>379.1*(2/3*10)</f>
        <v>2527.3333333333335</v>
      </c>
      <c r="F66" s="14">
        <f>475.6*(2/3*10)</f>
        <v>3170.6666666666665</v>
      </c>
      <c r="G66" s="14">
        <f>397.4*(2/3*10)</f>
        <v>2649.333333333333</v>
      </c>
      <c r="H66" s="14">
        <f>72.7*(2/3*10)</f>
        <v>484.66666666666663</v>
      </c>
      <c r="I66" s="14">
        <f>143.7*(2/3*10)</f>
        <v>957.99999999999989</v>
      </c>
      <c r="K66" s="15">
        <v>63</v>
      </c>
      <c r="L66">
        <f t="shared" si="0"/>
        <v>7</v>
      </c>
    </row>
    <row r="67" spans="1:12" ht="16.5" x14ac:dyDescent="0.2">
      <c r="A67" s="4" t="s">
        <v>345</v>
      </c>
      <c r="B67">
        <v>2016</v>
      </c>
      <c r="C67" s="14">
        <f>1202.1*(2/3*10)</f>
        <v>8013.9999999999991</v>
      </c>
      <c r="D67" s="14">
        <f>67.3*(2/3*10)</f>
        <v>448.66666666666663</v>
      </c>
      <c r="E67" s="14">
        <f>378*(2/3*10)</f>
        <v>2520</v>
      </c>
      <c r="F67" s="14">
        <f>473.6*(2/3*10)</f>
        <v>3157.333333333333</v>
      </c>
      <c r="G67" s="14">
        <f>404.5*(2/3*10)</f>
        <v>2696.6666666666665</v>
      </c>
      <c r="H67" s="14">
        <f>73.1*(2/3*10)</f>
        <v>487.33333333333326</v>
      </c>
      <c r="I67" s="14">
        <f>142.8*(2/3*10)</f>
        <v>952</v>
      </c>
      <c r="K67">
        <v>64</v>
      </c>
      <c r="L67">
        <f t="shared" si="0"/>
        <v>0</v>
      </c>
    </row>
    <row r="68" spans="1:12" ht="16.5" x14ac:dyDescent="0.2">
      <c r="A68" s="4" t="s">
        <v>344</v>
      </c>
      <c r="B68">
        <v>2009</v>
      </c>
      <c r="C68" s="14">
        <f>1375.2*(2/3*10)</f>
        <v>9168</v>
      </c>
      <c r="D68" s="14">
        <f>218.3*(2/3*10)</f>
        <v>1455.3333333333333</v>
      </c>
      <c r="E68" s="14">
        <f>1654.5*(2/3*10)</f>
        <v>11029.999999999998</v>
      </c>
      <c r="F68" s="14">
        <f>1619.2*(2/3*10)</f>
        <v>10794.666666666666</v>
      </c>
      <c r="G68" s="14">
        <f>176.8*(2/3*10)</f>
        <v>1178.6666666666665</v>
      </c>
      <c r="H68" s="14">
        <f>76.5*(2/3*10)</f>
        <v>509.99999999999994</v>
      </c>
      <c r="I68" s="14">
        <f>132.3*(2/3*10)</f>
        <v>882</v>
      </c>
      <c r="K68" s="15">
        <v>65</v>
      </c>
      <c r="L68">
        <f t="shared" si="0"/>
        <v>1</v>
      </c>
    </row>
    <row r="69" spans="1:12" ht="16.5" x14ac:dyDescent="0.2">
      <c r="A69" s="4" t="s">
        <v>344</v>
      </c>
      <c r="B69">
        <v>2010</v>
      </c>
      <c r="C69" s="14">
        <f>1383.7*(2/3*10)</f>
        <v>9224.6666666666661</v>
      </c>
      <c r="D69" s="14">
        <f>217.5*(2/3*10)</f>
        <v>1449.9999999999998</v>
      </c>
      <c r="E69" s="14">
        <f>1653.8*(2/3*10)</f>
        <v>11025.333333333332</v>
      </c>
      <c r="F69" s="14">
        <f>1612.6*(2/3*10)</f>
        <v>10750.666666666664</v>
      </c>
      <c r="G69" s="14">
        <f>179.7*(2/3*10)</f>
        <v>1197.9999999999998</v>
      </c>
      <c r="H69" s="14">
        <f>78.5*(2/3*10)</f>
        <v>523.33333333333326</v>
      </c>
      <c r="I69" s="14">
        <f>129.1*(2/3*10)</f>
        <v>860.66666666666652</v>
      </c>
      <c r="K69">
        <v>66</v>
      </c>
      <c r="L69">
        <f t="shared" ref="L69:L132" si="1">MOD(K69,8)</f>
        <v>2</v>
      </c>
    </row>
    <row r="70" spans="1:12" ht="16.5" x14ac:dyDescent="0.2">
      <c r="A70" s="4" t="s">
        <v>344</v>
      </c>
      <c r="B70">
        <v>2011</v>
      </c>
      <c r="C70" s="14">
        <f>1392.6*(2/3*10)</f>
        <v>9283.9999999999982</v>
      </c>
      <c r="D70" s="14">
        <f>216.4*(2/3*10)</f>
        <v>1442.6666666666665</v>
      </c>
      <c r="E70" s="14">
        <f>1652.2*(2/3*10)</f>
        <v>11014.666666666666</v>
      </c>
      <c r="F70" s="14">
        <f>1603.9*(2/3*10)</f>
        <v>10692.666666666666</v>
      </c>
      <c r="G70" s="14">
        <f>181.8*(2/3*10)</f>
        <v>1211.9999999999998</v>
      </c>
      <c r="H70" s="14">
        <f>79.1*(2/3*10)</f>
        <v>527.33333333333326</v>
      </c>
      <c r="I70" s="14">
        <f>128.9*(2/3*10)</f>
        <v>859.33333333333326</v>
      </c>
      <c r="K70" s="15">
        <v>67</v>
      </c>
      <c r="L70">
        <f t="shared" si="1"/>
        <v>3</v>
      </c>
    </row>
    <row r="71" spans="1:12" ht="16.5" x14ac:dyDescent="0.2">
      <c r="A71" s="4" t="s">
        <v>344</v>
      </c>
      <c r="B71">
        <v>2012</v>
      </c>
      <c r="C71" s="14">
        <f>1398.2*(2/3*10)</f>
        <v>9321.3333333333321</v>
      </c>
      <c r="D71" s="14">
        <f>215.9*(2/3*10)</f>
        <v>1439.3333333333333</v>
      </c>
      <c r="E71" s="14">
        <f>1651.6*(2/3*10)</f>
        <v>11010.666666666664</v>
      </c>
      <c r="F71" s="14">
        <f>1596.6*(2/3*10)</f>
        <v>10643.999999999998</v>
      </c>
      <c r="G71" s="14">
        <f>183.7*(2/3*10)</f>
        <v>1224.6666666666665</v>
      </c>
      <c r="H71" s="14">
        <f>80.2*(2/3*10)</f>
        <v>534.66666666666663</v>
      </c>
      <c r="I71" s="14">
        <f>128.7*(2/3*10)</f>
        <v>857.99999999999989</v>
      </c>
      <c r="K71">
        <v>68</v>
      </c>
      <c r="L71">
        <f t="shared" si="1"/>
        <v>4</v>
      </c>
    </row>
    <row r="72" spans="1:12" ht="16.5" x14ac:dyDescent="0.2">
      <c r="A72" s="4" t="s">
        <v>344</v>
      </c>
      <c r="B72">
        <v>2013</v>
      </c>
      <c r="C72" s="14">
        <f>1397.7*(2/3*10)</f>
        <v>9318</v>
      </c>
      <c r="D72" s="14">
        <f>215.5*(2/3*10)</f>
        <v>1436.6666666666665</v>
      </c>
      <c r="E72" s="14">
        <f>1650.9*(2/3*10)</f>
        <v>11006</v>
      </c>
      <c r="F72" s="14">
        <f>1595.1*(2/3*10)</f>
        <v>10633.999999999998</v>
      </c>
      <c r="G72" s="14">
        <f>185.5*(2/3*10)</f>
        <v>1236.6666666666665</v>
      </c>
      <c r="H72" s="14">
        <f>81.7*(2/3*10)</f>
        <v>544.66666666666663</v>
      </c>
      <c r="I72" s="14">
        <f>128.6*(2/3*10)</f>
        <v>857.33333333333326</v>
      </c>
      <c r="K72" s="15">
        <v>69</v>
      </c>
      <c r="L72">
        <f t="shared" si="1"/>
        <v>5</v>
      </c>
    </row>
    <row r="73" spans="1:12" ht="16.5" x14ac:dyDescent="0.2">
      <c r="A73" s="4" t="s">
        <v>344</v>
      </c>
      <c r="B73">
        <v>2014</v>
      </c>
      <c r="C73" s="14">
        <f>1397.6*(2/3*10)</f>
        <v>9317.3333333333321</v>
      </c>
      <c r="D73" s="14">
        <f>214.9*(2/3*10)</f>
        <v>1432.6666666666665</v>
      </c>
      <c r="E73" s="14">
        <f>1649.9*(2/3*10)</f>
        <v>10999.333333333332</v>
      </c>
      <c r="F73" s="14">
        <f>1592.2*(2/3*10)</f>
        <v>10614.666666666666</v>
      </c>
      <c r="G73" s="14">
        <f>188.1*(2/3*10)</f>
        <v>1253.9999999999998</v>
      </c>
      <c r="H73" s="14">
        <f>83*(2/3*10)</f>
        <v>553.33333333333326</v>
      </c>
      <c r="I73" s="14">
        <f>128.3*(2/3*10)</f>
        <v>855.33333333333337</v>
      </c>
      <c r="K73">
        <v>70</v>
      </c>
      <c r="L73">
        <f t="shared" si="1"/>
        <v>6</v>
      </c>
    </row>
    <row r="74" spans="1:12" ht="16.5" x14ac:dyDescent="0.2">
      <c r="A74" s="4" t="s">
        <v>344</v>
      </c>
      <c r="B74">
        <v>2015</v>
      </c>
      <c r="C74" s="14">
        <f>1397.6*(2/3*10)</f>
        <v>9317.3333333333321</v>
      </c>
      <c r="D74" s="14">
        <f>214.5*(2/3*10)</f>
        <v>1429.9999999999998</v>
      </c>
      <c r="E74" s="14">
        <f>1649.6*(2/3*10)</f>
        <v>10997.333333333332</v>
      </c>
      <c r="F74" s="14">
        <f>1590.9*(2/3*10)</f>
        <v>10606</v>
      </c>
      <c r="G74" s="14">
        <f>189.9*(2/3*10)</f>
        <v>1266</v>
      </c>
      <c r="H74" s="14">
        <f>83.4*(2/3*10)</f>
        <v>556</v>
      </c>
      <c r="I74" s="14">
        <f>128.1*(2/3*10)</f>
        <v>853.99999999999989</v>
      </c>
      <c r="K74" s="15">
        <v>71</v>
      </c>
      <c r="L74">
        <f t="shared" si="1"/>
        <v>7</v>
      </c>
    </row>
    <row r="75" spans="1:12" ht="16.5" x14ac:dyDescent="0.2">
      <c r="A75" s="4" t="s">
        <v>344</v>
      </c>
      <c r="B75">
        <v>2016</v>
      </c>
      <c r="C75" s="14">
        <f>1398.1*(2/3*10)</f>
        <v>9320.6666666666661</v>
      </c>
      <c r="D75" s="14">
        <f>214*(2/3*10)</f>
        <v>1426.6666666666665</v>
      </c>
      <c r="E75" s="14">
        <f>1649.2*(2/3*10)</f>
        <v>10994.666666666666</v>
      </c>
      <c r="F75" s="14">
        <f>1588.4*(2/3*10)</f>
        <v>10589.333333333332</v>
      </c>
      <c r="G75" s="14">
        <f>192*(2/3*10)</f>
        <v>1280</v>
      </c>
      <c r="H75" s="14">
        <f>84.8*(2/3*10)</f>
        <v>565.33333333333326</v>
      </c>
      <c r="I75" s="14">
        <f>127.8*(2/3*10)</f>
        <v>851.99999999999989</v>
      </c>
      <c r="K75">
        <v>72</v>
      </c>
      <c r="L75">
        <f t="shared" si="1"/>
        <v>0</v>
      </c>
    </row>
    <row r="76" spans="1:12" ht="16.5" x14ac:dyDescent="0.2">
      <c r="A76" s="4" t="s">
        <v>343</v>
      </c>
      <c r="B76">
        <v>2009</v>
      </c>
      <c r="C76" s="14">
        <f>604.4*(2/3*10)</f>
        <v>4029.333333333333</v>
      </c>
      <c r="D76" s="14">
        <f>206.7*(2/3*10)</f>
        <v>1377.9999999999998</v>
      </c>
      <c r="E76" s="14">
        <f>3528*(2/3*10)</f>
        <v>23519.999999999996</v>
      </c>
      <c r="F76" s="14">
        <f>1199.6*(2/3*10)</f>
        <v>7997.3333333333321</v>
      </c>
      <c r="G76" s="14">
        <f>125.9*(2/3*10)</f>
        <v>839.33333333333326</v>
      </c>
      <c r="H76" s="14">
        <f>41.2*(2/3*10)</f>
        <v>274.66666666666669</v>
      </c>
      <c r="I76" s="14">
        <f>103.3*(2/3*10)</f>
        <v>688.66666666666663</v>
      </c>
      <c r="K76" s="15">
        <v>73</v>
      </c>
      <c r="L76">
        <f t="shared" si="1"/>
        <v>1</v>
      </c>
    </row>
    <row r="77" spans="1:12" ht="16.5" x14ac:dyDescent="0.2">
      <c r="A77" s="4" t="s">
        <v>343</v>
      </c>
      <c r="B77">
        <v>2010</v>
      </c>
      <c r="C77" s="14">
        <f>603.5*(2/3*10)</f>
        <v>4023.333333333333</v>
      </c>
      <c r="D77" s="14">
        <f>205.2*(2/3*10)</f>
        <v>1367.9999999999998</v>
      </c>
      <c r="E77" s="14">
        <f>3523.7*(2/3*10)</f>
        <v>23491.333333333328</v>
      </c>
      <c r="F77" s="14">
        <f>1202.9*(2/3*10)</f>
        <v>8019.333333333333</v>
      </c>
      <c r="G77" s="14">
        <f>128.7*(2/3*10)</f>
        <v>857.99999999999989</v>
      </c>
      <c r="H77" s="14">
        <f>42.1*(2/3*10)</f>
        <v>280.66666666666663</v>
      </c>
      <c r="I77" s="14">
        <f>103.1*(2/3*10)</f>
        <v>687.33333333333326</v>
      </c>
      <c r="K77">
        <v>74</v>
      </c>
      <c r="L77">
        <f t="shared" si="1"/>
        <v>2</v>
      </c>
    </row>
    <row r="78" spans="1:12" ht="16.5" x14ac:dyDescent="0.2">
      <c r="A78" s="4" t="s">
        <v>343</v>
      </c>
      <c r="B78">
        <v>2011</v>
      </c>
      <c r="C78" s="14">
        <f>602*(2/3*10)</f>
        <v>4013.333333333333</v>
      </c>
      <c r="D78" s="14">
        <f>204.2*(2/3*10)</f>
        <v>1361.333333333333</v>
      </c>
      <c r="E78" s="14">
        <f>3522*(2/3*10)</f>
        <v>23479.999999999996</v>
      </c>
      <c r="F78" s="14">
        <f>1203.4*(2/3*10)</f>
        <v>8022.666666666667</v>
      </c>
      <c r="G78" s="14">
        <f>131*(2/3*10)</f>
        <v>873.33333333333326</v>
      </c>
      <c r="H78" s="14">
        <f>43.9*(2/3*10)</f>
        <v>292.66666666666663</v>
      </c>
      <c r="I78" s="14">
        <f>102.5*(2/3*10)</f>
        <v>683.33333333333326</v>
      </c>
      <c r="K78" s="15">
        <v>75</v>
      </c>
      <c r="L78">
        <f t="shared" si="1"/>
        <v>3</v>
      </c>
    </row>
    <row r="79" spans="1:12" ht="16.5" x14ac:dyDescent="0.2">
      <c r="A79" s="4" t="s">
        <v>343</v>
      </c>
      <c r="B79">
        <v>2012</v>
      </c>
      <c r="C79" s="14">
        <f>600.9*(2/3*10)</f>
        <v>4005.9999999999995</v>
      </c>
      <c r="D79" s="14">
        <f>204*(2/3*10)</f>
        <v>1359.9999999999998</v>
      </c>
      <c r="E79" s="14">
        <f>3521.2*(2/3*10)</f>
        <v>23474.666666666664</v>
      </c>
      <c r="F79" s="14">
        <f>1202.5*(2/3*10)</f>
        <v>8016.6666666666661</v>
      </c>
      <c r="G79" s="14">
        <f>133.6*(2/3*10)</f>
        <v>890.66666666666652</v>
      </c>
      <c r="H79" s="14">
        <f>44.7*(2/3*10)</f>
        <v>298</v>
      </c>
      <c r="I79" s="14">
        <f>101.8*(2/3*10)</f>
        <v>678.66666666666663</v>
      </c>
      <c r="K79">
        <v>76</v>
      </c>
      <c r="L79">
        <f t="shared" si="1"/>
        <v>4</v>
      </c>
    </row>
    <row r="80" spans="1:12" ht="16.5" x14ac:dyDescent="0.2">
      <c r="A80" s="4" t="s">
        <v>343</v>
      </c>
      <c r="B80">
        <v>2013</v>
      </c>
      <c r="C80" s="14">
        <f>601.2*(2/3*10)</f>
        <v>4008</v>
      </c>
      <c r="D80" s="14">
        <f>204*(2/3*10)</f>
        <v>1359.9999999999998</v>
      </c>
      <c r="E80" s="14">
        <f>3520.6*(2/3*10)</f>
        <v>23470.666666666664</v>
      </c>
      <c r="F80" s="14">
        <f>1201.3*(2/3*10)</f>
        <v>8008.6666666666661</v>
      </c>
      <c r="G80" s="14">
        <f>135.3*(2/3*10)</f>
        <v>902</v>
      </c>
      <c r="H80" s="14">
        <f>45*(2/3*10)</f>
        <v>300</v>
      </c>
      <c r="I80" s="14">
        <f>101*(2/3*10)</f>
        <v>673.33333333333326</v>
      </c>
      <c r="K80" s="15">
        <v>77</v>
      </c>
      <c r="L80">
        <f t="shared" si="1"/>
        <v>5</v>
      </c>
    </row>
    <row r="81" spans="1:12" ht="16.5" x14ac:dyDescent="0.2">
      <c r="A81" s="4" t="s">
        <v>343</v>
      </c>
      <c r="B81">
        <v>2014</v>
      </c>
      <c r="C81" s="14">
        <f>601*(2/3*10)</f>
        <v>4006.6666666666665</v>
      </c>
      <c r="D81" s="14">
        <f>203.9*(2/3*10)</f>
        <v>1359.3333333333333</v>
      </c>
      <c r="E81" s="14">
        <f>3519*(2/3*10)</f>
        <v>23459.999999999996</v>
      </c>
      <c r="F81" s="14">
        <f>1199.6*(2/3*10)</f>
        <v>7997.3333333333321</v>
      </c>
      <c r="G81" s="14">
        <f>136.8*(2/3*10)</f>
        <v>912</v>
      </c>
      <c r="H81" s="14">
        <f>47.4*(2/3*10)</f>
        <v>315.99999999999994</v>
      </c>
      <c r="I81" s="14">
        <f>99.9*(2/3*10)</f>
        <v>666</v>
      </c>
      <c r="K81">
        <v>78</v>
      </c>
      <c r="L81">
        <f t="shared" si="1"/>
        <v>6</v>
      </c>
    </row>
    <row r="82" spans="1:12" ht="16.5" x14ac:dyDescent="0.2">
      <c r="A82" s="4" t="s">
        <v>343</v>
      </c>
      <c r="B82">
        <v>2015</v>
      </c>
      <c r="C82" s="14">
        <f>600*(2/3*10)</f>
        <v>3999.9999999999995</v>
      </c>
      <c r="D82" s="14">
        <f>203.6*(2/3*10)</f>
        <v>1357.3333333333333</v>
      </c>
      <c r="E82" s="14">
        <f>3517.8*(2/3*10)</f>
        <v>23452</v>
      </c>
      <c r="F82" s="14">
        <f>1198.6*(2/3*10)</f>
        <v>7990.6666666666652</v>
      </c>
      <c r="G82" s="14">
        <f>138.8*(2/3*10)</f>
        <v>925.33333333333337</v>
      </c>
      <c r="H82" s="14">
        <f>48.7*(2/3*10)</f>
        <v>324.66666666666663</v>
      </c>
      <c r="I82" s="14">
        <f>100*(2/3*10)</f>
        <v>666.66666666666663</v>
      </c>
      <c r="K82" s="15">
        <v>79</v>
      </c>
      <c r="L82">
        <f t="shared" si="1"/>
        <v>7</v>
      </c>
    </row>
    <row r="83" spans="1:12" ht="16.5" x14ac:dyDescent="0.2">
      <c r="A83" s="4" t="s">
        <v>343</v>
      </c>
      <c r="B83">
        <v>2016</v>
      </c>
      <c r="C83" s="14">
        <f>599.9*(2/3*10)</f>
        <v>3999.333333333333</v>
      </c>
      <c r="D83" s="14">
        <f>203.5*(2/3*10)</f>
        <v>1356.6666666666665</v>
      </c>
      <c r="E83" s="14">
        <f>3517.4*(2/3*10)</f>
        <v>23449.333333333332</v>
      </c>
      <c r="F83" s="14">
        <f>1198*(2/3*10)</f>
        <v>7986.6666666666661</v>
      </c>
      <c r="G83" s="14">
        <f>140*(2/3*10)</f>
        <v>933.33333333333326</v>
      </c>
      <c r="H83" s="14">
        <f>49*(2/3*10)</f>
        <v>326.66666666666663</v>
      </c>
      <c r="I83" s="14">
        <f>99.6*(2/3*10)</f>
        <v>663.99999999999989</v>
      </c>
      <c r="K83">
        <v>80</v>
      </c>
      <c r="L83">
        <f t="shared" si="1"/>
        <v>0</v>
      </c>
    </row>
    <row r="84" spans="1:12" ht="16.5" x14ac:dyDescent="0.2">
      <c r="A84" s="4" t="s">
        <v>342</v>
      </c>
      <c r="B84">
        <v>2009</v>
      </c>
      <c r="C84" s="14">
        <f>1183.5*(2/3*10)</f>
        <v>7889.9999999999991</v>
      </c>
      <c r="D84" s="14">
        <f>137.8*(2/3*10)</f>
        <v>918.66666666666663</v>
      </c>
      <c r="E84" s="14">
        <f>43.6*(2/3*10)</f>
        <v>290.66666666666663</v>
      </c>
      <c r="F84" s="14">
        <f>27.7*(2/3*10)</f>
        <v>184.66666666666666</v>
      </c>
      <c r="G84" s="14">
        <f>320.5*(2/3*10)</f>
        <v>2136.6666666666665</v>
      </c>
      <c r="H84" s="14">
        <f>77.3*(2/3*10)</f>
        <v>515.33333333333326</v>
      </c>
      <c r="I84" s="14">
        <f>217.4*(2/3*10)</f>
        <v>1449.3333333333333</v>
      </c>
      <c r="K84" s="15">
        <v>81</v>
      </c>
      <c r="L84">
        <f t="shared" si="1"/>
        <v>1</v>
      </c>
    </row>
    <row r="85" spans="1:12" ht="16.5" x14ac:dyDescent="0.2">
      <c r="A85" s="4" t="s">
        <v>342</v>
      </c>
      <c r="B85">
        <v>2010</v>
      </c>
      <c r="C85" s="14">
        <f>1182.7*(2/3*10)</f>
        <v>7884.6666666666661</v>
      </c>
      <c r="D85" s="14">
        <f>137.4*(2/3*10)</f>
        <v>916</v>
      </c>
      <c r="E85" s="14">
        <f>43.4*(2/3*10)</f>
        <v>289.33333333333331</v>
      </c>
      <c r="F85" s="14">
        <f>27.5*(2/3*10)</f>
        <v>183.33333333333331</v>
      </c>
      <c r="G85" s="14">
        <f>323.6*(2/3*10)</f>
        <v>2157.3333333333335</v>
      </c>
      <c r="H85" s="14">
        <f>77.5*(2/3*10)</f>
        <v>516.66666666666663</v>
      </c>
      <c r="I85" s="14">
        <f>217.1*(2/3*10)</f>
        <v>1447.3333333333333</v>
      </c>
      <c r="K85">
        <v>82</v>
      </c>
      <c r="L85">
        <f t="shared" si="1"/>
        <v>2</v>
      </c>
    </row>
    <row r="86" spans="1:12" ht="16.5" x14ac:dyDescent="0.2">
      <c r="A86" s="4" t="s">
        <v>342</v>
      </c>
      <c r="B86">
        <v>2011</v>
      </c>
      <c r="C86" s="14">
        <f>1181.4*(2/3*10)</f>
        <v>7876</v>
      </c>
      <c r="D86" s="14">
        <f>137*(2/3*10)</f>
        <v>913.33333333333326</v>
      </c>
      <c r="E86" s="14">
        <f>43.4*(2/3*10)</f>
        <v>289.33333333333331</v>
      </c>
      <c r="F86" s="14">
        <f>27.1*(2/3*10)</f>
        <v>180.66666666666666</v>
      </c>
      <c r="G86" s="14">
        <f>326.7*(2/3*10)</f>
        <v>2177.9999999999995</v>
      </c>
      <c r="H86" s="14">
        <f>77.7*(2/3*10)</f>
        <v>518</v>
      </c>
      <c r="I86" s="14">
        <f>216.6*(2/3*10)</f>
        <v>1443.9999999999998</v>
      </c>
      <c r="K86" s="15">
        <v>83</v>
      </c>
      <c r="L86">
        <f t="shared" si="1"/>
        <v>3</v>
      </c>
    </row>
    <row r="87" spans="1:12" ht="16.5" x14ac:dyDescent="0.2">
      <c r="A87" s="4" t="s">
        <v>342</v>
      </c>
      <c r="B87">
        <v>2012</v>
      </c>
      <c r="C87" s="14">
        <f>1181.5*(2/3*10)</f>
        <v>7876.6666666666661</v>
      </c>
      <c r="D87" s="14">
        <f>136.7*(2/3*10)</f>
        <v>911.33333333333314</v>
      </c>
      <c r="E87" s="14">
        <f>43.1*(2/3*10)</f>
        <v>287.33333333333331</v>
      </c>
      <c r="F87" s="14">
        <f>26.7*(2/3*10)</f>
        <v>177.99999999999997</v>
      </c>
      <c r="G87" s="14">
        <f>329.5*(2/3*10)</f>
        <v>2196.6666666666665</v>
      </c>
      <c r="H87" s="14">
        <f>78*(2/3*10)</f>
        <v>520</v>
      </c>
      <c r="I87" s="14">
        <f>216.2*(2/3*10)</f>
        <v>1441.333333333333</v>
      </c>
      <c r="K87">
        <v>84</v>
      </c>
      <c r="L87">
        <f t="shared" si="1"/>
        <v>4</v>
      </c>
    </row>
    <row r="88" spans="1:12" ht="16.5" x14ac:dyDescent="0.2">
      <c r="A88" s="4" t="s">
        <v>342</v>
      </c>
      <c r="B88">
        <v>2013</v>
      </c>
      <c r="C88" s="14">
        <f>1180.3*(2/3*10)</f>
        <v>7868.6666666666661</v>
      </c>
      <c r="D88" s="14">
        <f>136.4*(2/3*10)</f>
        <v>909.33333333333326</v>
      </c>
      <c r="E88" s="14">
        <f>42.8*(2/3*10)</f>
        <v>285.33333333333331</v>
      </c>
      <c r="F88" s="14">
        <f>26.2*(2/3*10)</f>
        <v>174.66666666666666</v>
      </c>
      <c r="G88" s="14">
        <f>331.9*(2/3*10)</f>
        <v>2212.6666666666665</v>
      </c>
      <c r="H88" s="14">
        <f>78.9*(2/3*10)</f>
        <v>526</v>
      </c>
      <c r="I88" s="14">
        <f>215.9*(2/3*10)</f>
        <v>1439.3333333333333</v>
      </c>
      <c r="K88" s="15">
        <v>85</v>
      </c>
      <c r="L88">
        <f t="shared" si="1"/>
        <v>5</v>
      </c>
    </row>
    <row r="89" spans="1:12" ht="16.5" x14ac:dyDescent="0.2">
      <c r="A89" s="4" t="s">
        <v>342</v>
      </c>
      <c r="B89">
        <v>2014</v>
      </c>
      <c r="C89" s="14">
        <f>1178.7*(2/3*10)</f>
        <v>7858</v>
      </c>
      <c r="D89" s="14">
        <f>135.9*(2/3*10)</f>
        <v>906</v>
      </c>
      <c r="E89" s="14">
        <f>42.5*(2/3*10)</f>
        <v>283.33333333333331</v>
      </c>
      <c r="F89" s="14">
        <f>25.8*(2/3*10)</f>
        <v>172</v>
      </c>
      <c r="G89" s="14">
        <f>336.1*(2/3*10)</f>
        <v>2240.6666666666665</v>
      </c>
      <c r="H89" s="14">
        <f>79.3*(2/3*10)</f>
        <v>528.66666666666663</v>
      </c>
      <c r="I89" s="14">
        <f>215.3*(2/3*10)</f>
        <v>1435.3333333333333</v>
      </c>
      <c r="K89">
        <v>86</v>
      </c>
      <c r="L89">
        <f t="shared" si="1"/>
        <v>6</v>
      </c>
    </row>
    <row r="90" spans="1:12" ht="16.5" x14ac:dyDescent="0.2">
      <c r="A90" s="4" t="s">
        <v>342</v>
      </c>
      <c r="B90">
        <v>2015</v>
      </c>
      <c r="C90" s="14">
        <f>1177.6*(2/3*10)</f>
        <v>7850.6666666666652</v>
      </c>
      <c r="D90" s="14">
        <f>135.5*(2/3*10)</f>
        <v>903.33333333333326</v>
      </c>
      <c r="E90" s="14">
        <f>42.2*(2/3*10)</f>
        <v>281.33333333333331</v>
      </c>
      <c r="F90" s="14">
        <f>25.5*(2/3*10)</f>
        <v>169.99999999999997</v>
      </c>
      <c r="G90" s="14">
        <f>340.1*(2/3*10)</f>
        <v>2267.3333333333335</v>
      </c>
      <c r="H90" s="14">
        <f>80.1*(2/3*10)</f>
        <v>533.99999999999989</v>
      </c>
      <c r="I90" s="14">
        <f>214.6*(2/3*10)</f>
        <v>1430.6666666666665</v>
      </c>
      <c r="K90" s="15">
        <v>87</v>
      </c>
      <c r="L90">
        <f t="shared" si="1"/>
        <v>7</v>
      </c>
    </row>
    <row r="91" spans="1:12" ht="16.5" x14ac:dyDescent="0.2">
      <c r="A91" s="4" t="s">
        <v>342</v>
      </c>
      <c r="B91">
        <v>2016</v>
      </c>
      <c r="C91" s="14">
        <f>1176.7*(2/3*10)</f>
        <v>7844.6666666666661</v>
      </c>
      <c r="D91" s="14">
        <f>134.9*(2/3*10)</f>
        <v>899.33333333333326</v>
      </c>
      <c r="E91" s="14">
        <f>41.8*(2/3*10)</f>
        <v>278.66666666666663</v>
      </c>
      <c r="F91" s="14">
        <f>24.9*(2/3*10)</f>
        <v>165.99999999999997</v>
      </c>
      <c r="G91" s="14">
        <f>344.9*(2/3*10)</f>
        <v>2299.3333333333335</v>
      </c>
      <c r="H91" s="14">
        <f>80.5*(2/3*10)</f>
        <v>536.66666666666663</v>
      </c>
      <c r="I91" s="14">
        <f>213.9*(2/3*10)</f>
        <v>1426</v>
      </c>
      <c r="K91">
        <v>88</v>
      </c>
      <c r="L91">
        <f t="shared" si="1"/>
        <v>0</v>
      </c>
    </row>
    <row r="92" spans="1:12" ht="16.5" x14ac:dyDescent="0.2">
      <c r="A92" s="4" t="s">
        <v>341</v>
      </c>
      <c r="B92">
        <v>2009</v>
      </c>
      <c r="C92" s="14">
        <f>540*(2/3*10)</f>
        <v>3599.9999999999995</v>
      </c>
      <c r="D92" s="14">
        <f>42.3*(2/3*10)</f>
        <v>281.99999999999994</v>
      </c>
      <c r="E92" s="14">
        <f>72.8*(2/3*10)</f>
        <v>485.33333333333326</v>
      </c>
      <c r="F92" s="14">
        <f>17.2*(2/3*10)</f>
        <v>114.66666666666666</v>
      </c>
      <c r="G92" s="14">
        <f>171.5*(2/3*10)</f>
        <v>1143.3333333333333</v>
      </c>
      <c r="H92" s="14">
        <f>39.7*(2/3*10)</f>
        <v>264.66666666666669</v>
      </c>
      <c r="I92" s="14">
        <f>61.7*(2/3*10)</f>
        <v>411.33333333333331</v>
      </c>
      <c r="K92" s="15">
        <v>89</v>
      </c>
      <c r="L92">
        <f t="shared" si="1"/>
        <v>1</v>
      </c>
    </row>
    <row r="93" spans="1:12" ht="16.5" x14ac:dyDescent="0.2">
      <c r="A93" s="4" t="s">
        <v>341</v>
      </c>
      <c r="B93">
        <v>2010</v>
      </c>
      <c r="C93" s="14">
        <f>536.8*(2/3*10)</f>
        <v>3578.6666666666661</v>
      </c>
      <c r="D93" s="14">
        <f>41.7*(2/3*10)</f>
        <v>278</v>
      </c>
      <c r="E93" s="14">
        <f>71.7*(2/3*10)</f>
        <v>478</v>
      </c>
      <c r="F93" s="14">
        <f>16.9*(2/3*10)</f>
        <v>112.66666666666664</v>
      </c>
      <c r="G93" s="14">
        <f>175.6*(2/3*10)</f>
        <v>1170.6666666666665</v>
      </c>
      <c r="H93" s="14">
        <f>40.2*(2/3*10)</f>
        <v>268</v>
      </c>
      <c r="I93" s="14">
        <f>61.6*(2/3*10)</f>
        <v>410.66666666666663</v>
      </c>
      <c r="K93">
        <v>90</v>
      </c>
      <c r="L93">
        <f t="shared" si="1"/>
        <v>2</v>
      </c>
    </row>
    <row r="94" spans="1:12" ht="16.5" x14ac:dyDescent="0.2">
      <c r="A94" s="4" t="s">
        <v>341</v>
      </c>
      <c r="B94">
        <v>2011</v>
      </c>
      <c r="C94" s="14">
        <f>541.6*(2/3*10)</f>
        <v>3610.6666666666665</v>
      </c>
      <c r="D94" s="14">
        <f>37.5*(2/3*10)</f>
        <v>249.99999999999997</v>
      </c>
      <c r="E94" s="14">
        <f>67.4*(2/3*10)</f>
        <v>449.33333333333331</v>
      </c>
      <c r="F94" s="14">
        <f>16.5*(2/3*10)</f>
        <v>109.99999999999999</v>
      </c>
      <c r="G94" s="14">
        <f>179.2*(2/3*10)</f>
        <v>1194.6666666666667</v>
      </c>
      <c r="H94" s="14">
        <f>41.1*(2/3*10)</f>
        <v>274</v>
      </c>
      <c r="I94" s="14">
        <f>61.2*(2/3*10)</f>
        <v>408</v>
      </c>
      <c r="K94" s="15">
        <v>91</v>
      </c>
      <c r="L94">
        <f t="shared" si="1"/>
        <v>3</v>
      </c>
    </row>
    <row r="95" spans="1:12" ht="16.5" x14ac:dyDescent="0.2">
      <c r="A95" s="4" t="s">
        <v>341</v>
      </c>
      <c r="B95">
        <v>2012</v>
      </c>
      <c r="C95" s="14">
        <f>540.3*(2/3*10)</f>
        <v>3601.9999999999995</v>
      </c>
      <c r="D95" s="14">
        <f>37*(2/3*10)</f>
        <v>246.66666666666666</v>
      </c>
      <c r="E95" s="14">
        <f>65.8*(2/3*10)</f>
        <v>438.66666666666663</v>
      </c>
      <c r="F95" s="14">
        <f>16*(2/3*10)</f>
        <v>106.66666666666666</v>
      </c>
      <c r="G95" s="14">
        <f>182.7*(2/3*10)</f>
        <v>1218</v>
      </c>
      <c r="H95" s="14">
        <f>41.6*(2/3*10)</f>
        <v>277.33333333333331</v>
      </c>
      <c r="I95" s="14">
        <f>61.1*(2/3*10)</f>
        <v>407.33333333333331</v>
      </c>
      <c r="K95">
        <v>92</v>
      </c>
      <c r="L95">
        <f t="shared" si="1"/>
        <v>4</v>
      </c>
    </row>
    <row r="96" spans="1:12" ht="16.5" x14ac:dyDescent="0.2">
      <c r="A96" s="4" t="s">
        <v>341</v>
      </c>
      <c r="B96">
        <v>2013</v>
      </c>
      <c r="C96" s="14">
        <f>538.3*(2/3*10)</f>
        <v>3588.6666666666661</v>
      </c>
      <c r="D96" s="14">
        <f>36.5*(2/3*10)</f>
        <v>243.33333333333331</v>
      </c>
      <c r="E96" s="14">
        <f>65.3*(2/3*10)</f>
        <v>435.33333333333326</v>
      </c>
      <c r="F96" s="14">
        <f>15.8*(2/3*10)</f>
        <v>105.33333333333333</v>
      </c>
      <c r="G96" s="14">
        <f>185.2*(2/3*10)</f>
        <v>1234.6666666666665</v>
      </c>
      <c r="H96" s="14">
        <f>41.8*(2/3*10)</f>
        <v>278.66666666666663</v>
      </c>
      <c r="I96" s="14">
        <f>60.8*(2/3*10)</f>
        <v>405.33333333333326</v>
      </c>
      <c r="K96" s="15">
        <v>93</v>
      </c>
      <c r="L96">
        <f t="shared" si="1"/>
        <v>5</v>
      </c>
    </row>
    <row r="97" spans="1:12" ht="16.5" x14ac:dyDescent="0.2">
      <c r="A97" s="4" t="s">
        <v>341</v>
      </c>
      <c r="B97">
        <v>2014</v>
      </c>
      <c r="C97" s="14">
        <f>536.4*(2/3*10)</f>
        <v>3575.9999999999995</v>
      </c>
      <c r="D97" s="14">
        <f>36.2*(2/3*10)</f>
        <v>241.33333333333334</v>
      </c>
      <c r="E97" s="14">
        <f>64.1*(2/3*10)</f>
        <v>427.33333333333326</v>
      </c>
      <c r="F97" s="14">
        <f>15.5*(2/3*10)</f>
        <v>103.33333333333333</v>
      </c>
      <c r="G97" s="14">
        <f>187.9*(2/3*10)</f>
        <v>1252.6666666666667</v>
      </c>
      <c r="H97" s="14">
        <f>42.4*(2/3*10)</f>
        <v>282.66666666666663</v>
      </c>
      <c r="I97" s="14">
        <f>60.5*(2/3*10)</f>
        <v>403.33333333333331</v>
      </c>
      <c r="K97">
        <v>94</v>
      </c>
      <c r="L97">
        <f t="shared" si="1"/>
        <v>6</v>
      </c>
    </row>
    <row r="98" spans="1:12" ht="16.5" x14ac:dyDescent="0.2">
      <c r="A98" s="4" t="s">
        <v>341</v>
      </c>
      <c r="B98">
        <v>2015</v>
      </c>
      <c r="C98" s="14">
        <f>534*(2/3*10)</f>
        <v>3559.9999999999995</v>
      </c>
      <c r="D98" s="14">
        <f>35.8*(2/3*10)</f>
        <v>238.66666666666663</v>
      </c>
      <c r="E98" s="14">
        <f>63*(2/3*10)</f>
        <v>419.99999999999994</v>
      </c>
      <c r="F98" s="14">
        <f>15.1*(2/3*10)</f>
        <v>100.66666666666666</v>
      </c>
      <c r="G98" s="14">
        <f>192.5*(2/3*10)</f>
        <v>1283.3333333333333</v>
      </c>
      <c r="H98" s="14">
        <f>42.7*(2/3*10)</f>
        <v>284.66666666666669</v>
      </c>
      <c r="I98" s="14">
        <f>60.2*(2/3*10)</f>
        <v>401.33333333333331</v>
      </c>
      <c r="K98" s="15">
        <v>95</v>
      </c>
      <c r="L98">
        <f t="shared" si="1"/>
        <v>7</v>
      </c>
    </row>
    <row r="99" spans="1:12" ht="16.5" x14ac:dyDescent="0.2">
      <c r="A99" s="4" t="s">
        <v>341</v>
      </c>
      <c r="B99">
        <v>2016</v>
      </c>
      <c r="C99" s="14">
        <f>532.8*(2/3*10)</f>
        <v>3551.9999999999995</v>
      </c>
      <c r="D99" s="14">
        <f>35.4*(2/3*10)</f>
        <v>235.99999999999997</v>
      </c>
      <c r="E99" s="14">
        <f>62.5*(2/3*10)</f>
        <v>416.66666666666663</v>
      </c>
      <c r="F99" s="14">
        <f>14.3*(2/3*10)</f>
        <v>95.333333333333329</v>
      </c>
      <c r="G99" s="14">
        <f>196.5*(2/3*10)</f>
        <v>1309.9999999999998</v>
      </c>
      <c r="H99" s="14">
        <f>43.1*(2/3*10)</f>
        <v>287.33333333333331</v>
      </c>
      <c r="I99" s="14">
        <f>59.9*(2/3*10)</f>
        <v>399.33333333333331</v>
      </c>
      <c r="K99">
        <v>96</v>
      </c>
      <c r="L99">
        <f t="shared" si="1"/>
        <v>0</v>
      </c>
    </row>
    <row r="100" spans="1:12" ht="16.5" x14ac:dyDescent="0.2">
      <c r="A100" s="4" t="s">
        <v>340</v>
      </c>
      <c r="B100">
        <v>2009</v>
      </c>
      <c r="C100" s="14">
        <f>854.6*(2/3*10)</f>
        <v>5697.333333333333</v>
      </c>
      <c r="D100" s="14">
        <f>74.8*(2/3*10)</f>
        <v>498.66666666666663</v>
      </c>
      <c r="E100" s="14">
        <f>45.6*(2/3*10)</f>
        <v>304</v>
      </c>
      <c r="F100" s="14">
        <f>15.3*(2/3*10)</f>
        <v>102</v>
      </c>
      <c r="G100" s="14">
        <f>172.2*(2/3*10)</f>
        <v>1147.9999999999998</v>
      </c>
      <c r="H100" s="14">
        <f>49.7*(2/3*10)</f>
        <v>331.33333333333331</v>
      </c>
      <c r="I100" s="14">
        <f>80.5*(2/3*10)</f>
        <v>536.66666666666663</v>
      </c>
      <c r="K100" s="15">
        <v>97</v>
      </c>
      <c r="L100">
        <f t="shared" si="1"/>
        <v>1</v>
      </c>
    </row>
    <row r="101" spans="1:12" ht="16.5" x14ac:dyDescent="0.2">
      <c r="A101" s="4" t="s">
        <v>340</v>
      </c>
      <c r="B101">
        <v>2010</v>
      </c>
      <c r="C101" s="14">
        <f>852.7*(2/3*10)</f>
        <v>5684.6666666666661</v>
      </c>
      <c r="D101" s="14">
        <f>74.4*(2/3*10)</f>
        <v>496</v>
      </c>
      <c r="E101" s="14">
        <f>45*(2/3*10)</f>
        <v>300</v>
      </c>
      <c r="F101" s="14">
        <f>15.1*(2/3*10)</f>
        <v>100.66666666666666</v>
      </c>
      <c r="G101" s="14">
        <f>175.7*(2/3*10)</f>
        <v>1171.3333333333333</v>
      </c>
      <c r="H101" s="14">
        <f>50.4*(2/3*10)</f>
        <v>335.99999999999994</v>
      </c>
      <c r="I101" s="14">
        <f>80.1*(2/3*10)</f>
        <v>533.99999999999989</v>
      </c>
      <c r="K101">
        <v>98</v>
      </c>
      <c r="L101">
        <f t="shared" si="1"/>
        <v>2</v>
      </c>
    </row>
    <row r="102" spans="1:12" ht="16.5" x14ac:dyDescent="0.2">
      <c r="A102" s="4" t="s">
        <v>340</v>
      </c>
      <c r="B102">
        <v>2011</v>
      </c>
      <c r="C102" s="14">
        <f>851.7*(2/3*10)</f>
        <v>5678</v>
      </c>
      <c r="D102" s="14">
        <f>74*(2/3*10)</f>
        <v>493.33333333333331</v>
      </c>
      <c r="E102" s="14">
        <f>44.8*(2/3*10)</f>
        <v>298.66666666666663</v>
      </c>
      <c r="F102" s="14">
        <f>15*(2/3*10)</f>
        <v>99.999999999999986</v>
      </c>
      <c r="G102" s="14">
        <f>176.9*(2/3*10)</f>
        <v>1179.333333333333</v>
      </c>
      <c r="H102" s="14">
        <f>50.7*(2/3*10)</f>
        <v>338</v>
      </c>
      <c r="I102" s="14">
        <f>80*(2/3*10)</f>
        <v>533.33333333333326</v>
      </c>
      <c r="K102" s="15">
        <v>99</v>
      </c>
      <c r="L102">
        <f t="shared" si="1"/>
        <v>3</v>
      </c>
    </row>
    <row r="103" spans="1:12" ht="16.5" x14ac:dyDescent="0.2">
      <c r="A103" s="4" t="s">
        <v>340</v>
      </c>
      <c r="B103">
        <v>2012</v>
      </c>
      <c r="C103" s="14">
        <f>850.4*(2/3*10)</f>
        <v>5669.333333333333</v>
      </c>
      <c r="D103" s="14">
        <f>73.8*(2/3*10)</f>
        <v>491.99999999999994</v>
      </c>
      <c r="E103" s="14">
        <f>44.6*(2/3*10)</f>
        <v>297.33333333333331</v>
      </c>
      <c r="F103" s="14">
        <f>14.8*(2/3*10)</f>
        <v>98.666666666666657</v>
      </c>
      <c r="G103" s="14">
        <f>178.6*(2/3*10)</f>
        <v>1190.6666666666665</v>
      </c>
      <c r="H103" s="14">
        <f>50.9*(2/3*10)</f>
        <v>339.33333333333331</v>
      </c>
      <c r="I103" s="14">
        <f>79.9*(2/3*10)</f>
        <v>532.66666666666663</v>
      </c>
      <c r="K103">
        <v>100</v>
      </c>
      <c r="L103">
        <f t="shared" si="1"/>
        <v>4</v>
      </c>
    </row>
    <row r="104" spans="1:12" ht="16.5" x14ac:dyDescent="0.2">
      <c r="A104" s="4" t="s">
        <v>340</v>
      </c>
      <c r="B104">
        <v>2013</v>
      </c>
      <c r="C104" s="14">
        <f>849.2*(2/3*10)</f>
        <v>5661.333333333333</v>
      </c>
      <c r="D104" s="14">
        <f>73.1*(2/3*10)</f>
        <v>487.33333333333326</v>
      </c>
      <c r="E104" s="14">
        <f>44.3*(2/3*10)</f>
        <v>295.33333333333331</v>
      </c>
      <c r="F104" s="14">
        <f>14.5*(2/3*10)</f>
        <v>96.666666666666657</v>
      </c>
      <c r="G104" s="14">
        <f>180.2*(2/3*10)</f>
        <v>1201.3333333333333</v>
      </c>
      <c r="H104" s="14">
        <f>51.2*(2/3*10)</f>
        <v>341.33333333333331</v>
      </c>
      <c r="I104" s="14">
        <f>79.6*(2/3*10)</f>
        <v>530.66666666666663</v>
      </c>
      <c r="K104" s="15">
        <v>101</v>
      </c>
      <c r="L104">
        <f t="shared" si="1"/>
        <v>5</v>
      </c>
    </row>
    <row r="105" spans="1:12" ht="16.5" x14ac:dyDescent="0.2">
      <c r="A105" s="4" t="s">
        <v>340</v>
      </c>
      <c r="B105">
        <v>2014</v>
      </c>
      <c r="C105" s="14">
        <f>847.7*(2/3*10)</f>
        <v>5651.333333333333</v>
      </c>
      <c r="D105" s="14">
        <f>72.6*(2/3*10)</f>
        <v>483.99999999999994</v>
      </c>
      <c r="E105" s="14">
        <f>44*(2/3*10)</f>
        <v>293.33333333333331</v>
      </c>
      <c r="F105" s="14">
        <f>14.1*(2/3*10)</f>
        <v>93.999999999999986</v>
      </c>
      <c r="G105" s="14">
        <f>182.6*(2/3*10)</f>
        <v>1217.3333333333333</v>
      </c>
      <c r="H105" s="14">
        <f>51.8*(2/3*10)</f>
        <v>345.33333333333326</v>
      </c>
      <c r="I105" s="14">
        <f>79.1*(2/3*10)</f>
        <v>527.33333333333326</v>
      </c>
      <c r="K105">
        <v>102</v>
      </c>
      <c r="L105">
        <f t="shared" si="1"/>
        <v>6</v>
      </c>
    </row>
    <row r="106" spans="1:12" ht="16.5" x14ac:dyDescent="0.2">
      <c r="A106" s="4" t="s">
        <v>340</v>
      </c>
      <c r="B106">
        <v>2015</v>
      </c>
      <c r="C106" s="14">
        <f>846.9*(2/3*10)</f>
        <v>5645.9999999999991</v>
      </c>
      <c r="D106" s="14">
        <f>72.2*(2/3*10)</f>
        <v>481.33333333333331</v>
      </c>
      <c r="E106" s="14">
        <f>43.7*(2/3*10)</f>
        <v>291.33333333333331</v>
      </c>
      <c r="F106" s="14">
        <f>13.9*(2/3*10)</f>
        <v>92.666666666666657</v>
      </c>
      <c r="G106" s="14">
        <f>184.6*(2/3*10)</f>
        <v>1230.6666666666665</v>
      </c>
      <c r="H106" s="14">
        <f>52.3*(2/3*10)</f>
        <v>348.66666666666663</v>
      </c>
      <c r="I106" s="14">
        <f>79*(2/3*10)</f>
        <v>526.66666666666663</v>
      </c>
      <c r="K106" s="15">
        <v>103</v>
      </c>
      <c r="L106">
        <f t="shared" si="1"/>
        <v>7</v>
      </c>
    </row>
    <row r="107" spans="1:12" ht="16.5" x14ac:dyDescent="0.2">
      <c r="A107" s="4" t="s">
        <v>340</v>
      </c>
      <c r="B107">
        <v>2016</v>
      </c>
      <c r="C107" s="14">
        <f>846.6*(2/3*10)</f>
        <v>5644</v>
      </c>
      <c r="D107" s="14">
        <f>71.9*(2/3*10)</f>
        <v>479.33333333333331</v>
      </c>
      <c r="E107" s="14">
        <f>43.4*(2/3*10)</f>
        <v>289.33333333333331</v>
      </c>
      <c r="F107" s="14">
        <f>13.5*(2/3*10)</f>
        <v>89.999999999999986</v>
      </c>
      <c r="G107" s="14">
        <f>186.5*(2/3*10)</f>
        <v>1243.3333333333333</v>
      </c>
      <c r="H107" s="14">
        <f>52.8*(2/3*10)</f>
        <v>351.99999999999994</v>
      </c>
      <c r="I107" s="14">
        <f>78.4*(2/3*10)</f>
        <v>522.66666666666663</v>
      </c>
      <c r="K107">
        <v>104</v>
      </c>
      <c r="L107">
        <f t="shared" si="1"/>
        <v>0</v>
      </c>
    </row>
    <row r="108" spans="1:12" ht="16.5" x14ac:dyDescent="0.2">
      <c r="A108" s="4" t="s">
        <v>339</v>
      </c>
      <c r="B108">
        <v>2009</v>
      </c>
      <c r="C108" s="14">
        <f>6102.6*(2/3*10)</f>
        <v>40684</v>
      </c>
      <c r="D108" s="14">
        <f>623*(2/3*10)</f>
        <v>4153.333333333333</v>
      </c>
      <c r="E108" s="14">
        <f>7308.7*(2/3*10)</f>
        <v>48724.666666666664</v>
      </c>
      <c r="F108" s="14">
        <f>6175.6*(2/3*10)</f>
        <v>41170.666666666664</v>
      </c>
      <c r="G108" s="14">
        <f>1214*(2/3*10)</f>
        <v>8093.333333333333</v>
      </c>
      <c r="H108" s="14">
        <f>374.2*(2/3*10)</f>
        <v>2494.6666666666665</v>
      </c>
      <c r="I108" s="14">
        <f>441.5*(2/3*10)</f>
        <v>2943.333333333333</v>
      </c>
      <c r="K108" s="15">
        <v>105</v>
      </c>
      <c r="L108">
        <f t="shared" si="1"/>
        <v>1</v>
      </c>
    </row>
    <row r="109" spans="1:12" ht="16.5" x14ac:dyDescent="0.2">
      <c r="A109" s="4" t="s">
        <v>339</v>
      </c>
      <c r="B109">
        <v>2010</v>
      </c>
      <c r="C109" s="14">
        <f>6096.3*(2/3*10)</f>
        <v>40642</v>
      </c>
      <c r="D109" s="14">
        <f>619.9*(2/3*10)</f>
        <v>4132.6666666666661</v>
      </c>
      <c r="E109" s="14">
        <f>7304*(2/3*10)</f>
        <v>48693.333333333328</v>
      </c>
      <c r="F109" s="14">
        <f>6172.4*(2/3*10)</f>
        <v>41149.333333333328</v>
      </c>
      <c r="G109" s="14">
        <f>1224.5*(2/3*10)</f>
        <v>8163.333333333333</v>
      </c>
      <c r="H109" s="14">
        <f>380.1*(2/3*10)</f>
        <v>2534</v>
      </c>
      <c r="I109" s="14">
        <f>442.1*(2/3*10)</f>
        <v>2947.333333333333</v>
      </c>
      <c r="K109">
        <v>106</v>
      </c>
      <c r="L109">
        <f t="shared" si="1"/>
        <v>2</v>
      </c>
    </row>
    <row r="110" spans="1:12" ht="16.5" x14ac:dyDescent="0.2">
      <c r="A110" s="4" t="s">
        <v>339</v>
      </c>
      <c r="B110">
        <v>2011</v>
      </c>
      <c r="C110" s="14">
        <f>6096.8*(2/3*10)</f>
        <v>40645.333333333328</v>
      </c>
      <c r="D110" s="14">
        <f>618.7*(2/3*10)</f>
        <v>4124.666666666667</v>
      </c>
      <c r="E110" s="14">
        <f>7300.7*(2/3*10)</f>
        <v>48671.333333333328</v>
      </c>
      <c r="F110" s="14">
        <f>6163.7*(2/3*10)</f>
        <v>41091.333333333328</v>
      </c>
      <c r="G110" s="14">
        <f>1233.9*(2/3*10)</f>
        <v>8226</v>
      </c>
      <c r="H110" s="14">
        <f>384.2*(2/3*10)</f>
        <v>2561.333333333333</v>
      </c>
      <c r="I110" s="14">
        <f>440.2*(2/3*10)</f>
        <v>2934.6666666666665</v>
      </c>
      <c r="K110" s="15">
        <v>107</v>
      </c>
      <c r="L110">
        <f t="shared" si="1"/>
        <v>3</v>
      </c>
    </row>
    <row r="111" spans="1:12" ht="16.5" x14ac:dyDescent="0.2">
      <c r="A111" s="4" t="s">
        <v>339</v>
      </c>
      <c r="B111">
        <v>2012</v>
      </c>
      <c r="C111" s="14">
        <f>6096.3*(2/3*10)</f>
        <v>40642</v>
      </c>
      <c r="D111" s="14">
        <f>616.4*(2/3*10)</f>
        <v>4109.333333333333</v>
      </c>
      <c r="E111" s="14">
        <f>7296.7*(2/3*10)</f>
        <v>48644.666666666664</v>
      </c>
      <c r="F111" s="14">
        <f>6150.4*(2/3*10)</f>
        <v>41002.666666666657</v>
      </c>
      <c r="G111" s="14">
        <f>1248*(2/3*10)</f>
        <v>8320</v>
      </c>
      <c r="H111" s="14">
        <f>392.8*(2/3*10)</f>
        <v>2618.6666666666665</v>
      </c>
      <c r="I111" s="14">
        <f>438.7*(2/3*10)</f>
        <v>2924.6666666666665</v>
      </c>
      <c r="K111">
        <v>108</v>
      </c>
      <c r="L111">
        <f t="shared" si="1"/>
        <v>4</v>
      </c>
    </row>
    <row r="112" spans="1:12" ht="16.5" x14ac:dyDescent="0.2">
      <c r="A112" s="4" t="s">
        <v>339</v>
      </c>
      <c r="B112">
        <v>2013</v>
      </c>
      <c r="C112" s="14">
        <f>6092.6*(2/3*10)</f>
        <v>40617.333333333336</v>
      </c>
      <c r="D112" s="14">
        <f>614.1*(2/3*10)</f>
        <v>4094</v>
      </c>
      <c r="E112" s="14">
        <f>7292.3*(2/3*10)</f>
        <v>48615.333333333328</v>
      </c>
      <c r="F112" s="14">
        <f>6138.3*(2/3*10)</f>
        <v>40922</v>
      </c>
      <c r="G112" s="14">
        <f>1262.5*(2/3*10)</f>
        <v>8416.6666666666661</v>
      </c>
      <c r="H112" s="14">
        <f>402.6*(2/3*10)</f>
        <v>2684</v>
      </c>
      <c r="I112" s="14">
        <f>436.3*(2/3*10)</f>
        <v>2908.6666666666665</v>
      </c>
      <c r="K112" s="15">
        <v>109</v>
      </c>
      <c r="L112">
        <f t="shared" si="1"/>
        <v>5</v>
      </c>
    </row>
    <row r="113" spans="1:12" ht="16.5" x14ac:dyDescent="0.2">
      <c r="A113" s="4" t="s">
        <v>339</v>
      </c>
      <c r="B113">
        <v>2014</v>
      </c>
      <c r="C113" s="14">
        <f>6085.3*(2/3*10)</f>
        <v>40568.666666666664</v>
      </c>
      <c r="D113" s="14">
        <f>611.4*(2/3*10)</f>
        <v>4075.9999999999995</v>
      </c>
      <c r="E113" s="14">
        <f>7288.1*(2/3*10)</f>
        <v>48587.333333333328</v>
      </c>
      <c r="F113" s="14">
        <f>6127.3*(2/3*10)</f>
        <v>40848.666666666664</v>
      </c>
      <c r="G113" s="14">
        <f>1279.2*(2/3*10)</f>
        <v>8528</v>
      </c>
      <c r="H113" s="14">
        <f>410.5*(2/3*10)</f>
        <v>2736.6666666666665</v>
      </c>
      <c r="I113" s="14">
        <f>434.5*(2/3*10)</f>
        <v>2896.6666666666665</v>
      </c>
      <c r="K113">
        <v>110</v>
      </c>
      <c r="L113">
        <f t="shared" si="1"/>
        <v>6</v>
      </c>
    </row>
    <row r="114" spans="1:12" ht="16.5" x14ac:dyDescent="0.2">
      <c r="A114" s="4" t="s">
        <v>339</v>
      </c>
      <c r="B114">
        <v>2015</v>
      </c>
      <c r="C114" s="14">
        <f>6088.2*(2/3*10)</f>
        <v>40587.999999999993</v>
      </c>
      <c r="D114" s="14">
        <f>610.5*(2/3*10)</f>
        <v>4069.9999999999995</v>
      </c>
      <c r="E114" s="14">
        <f>7286*(2/3*10)</f>
        <v>48573.333333333328</v>
      </c>
      <c r="F114" s="14">
        <f>6118.6*(2/3*10)</f>
        <v>40790.666666666664</v>
      </c>
      <c r="G114" s="14">
        <f>1286.6*(2/3*10)</f>
        <v>8577.3333333333321</v>
      </c>
      <c r="H114" s="14">
        <f>413.4*(2/3*10)</f>
        <v>2755.9999999999995</v>
      </c>
      <c r="I114" s="14">
        <f>432.1*(2/3*10)</f>
        <v>2880.6666666666665</v>
      </c>
      <c r="K114" s="15">
        <v>111</v>
      </c>
      <c r="L114">
        <f t="shared" si="1"/>
        <v>7</v>
      </c>
    </row>
    <row r="115" spans="1:12" ht="16.5" x14ac:dyDescent="0.2">
      <c r="A115" s="4" t="s">
        <v>339</v>
      </c>
      <c r="B115">
        <v>2016</v>
      </c>
      <c r="C115" s="14">
        <f>6085.2*(2/3*10)</f>
        <v>40567.999999999993</v>
      </c>
      <c r="D115" s="14">
        <f>609.6*(2/3*10)</f>
        <v>4064</v>
      </c>
      <c r="E115" s="14">
        <f>7284*(2/3*10)</f>
        <v>48559.999999999993</v>
      </c>
      <c r="F115" s="14">
        <f>6113.6*(2/3*10)</f>
        <v>40757.333333333336</v>
      </c>
      <c r="G115" s="14">
        <f>1293.8*(2/3*10)</f>
        <v>8625.3333333333339</v>
      </c>
      <c r="H115" s="14">
        <f>416.9*(2/3*10)</f>
        <v>2779.333333333333</v>
      </c>
      <c r="I115" s="14">
        <f>431.2*(2/3*10)</f>
        <v>2874.6666666666665</v>
      </c>
      <c r="K115">
        <v>112</v>
      </c>
      <c r="L115">
        <f t="shared" si="1"/>
        <v>0</v>
      </c>
    </row>
    <row r="116" spans="1:12" ht="16.5" x14ac:dyDescent="0.2">
      <c r="A116" s="4" t="s">
        <v>338</v>
      </c>
      <c r="B116">
        <v>2009</v>
      </c>
      <c r="C116" s="14">
        <f>175*(2/3*10)</f>
        <v>1166.6666666666665</v>
      </c>
      <c r="D116" s="14">
        <f>27.1*(2/3*10)</f>
        <v>180.66666666666666</v>
      </c>
      <c r="E116" s="14">
        <f>417.5*(2/3*10)</f>
        <v>2783.333333333333</v>
      </c>
      <c r="F116" s="14">
        <f>252*(2/3*10)</f>
        <v>1679.9999999999998</v>
      </c>
      <c r="G116" s="14">
        <f>93.4*(2/3*10)</f>
        <v>622.66666666666663</v>
      </c>
      <c r="H116" s="14">
        <f>20.7*(2/3*10)</f>
        <v>137.99999999999997</v>
      </c>
      <c r="I116" s="14">
        <f>24.7*(2/3*10)</f>
        <v>164.66666666666666</v>
      </c>
      <c r="K116" s="15">
        <v>113</v>
      </c>
      <c r="L116">
        <f t="shared" si="1"/>
        <v>1</v>
      </c>
    </row>
    <row r="117" spans="1:12" ht="16.5" x14ac:dyDescent="0.2">
      <c r="A117" s="4" t="s">
        <v>338</v>
      </c>
      <c r="B117">
        <v>2010</v>
      </c>
      <c r="C117" s="14">
        <f>175.3*(2/3*10)</f>
        <v>1168.6666666666667</v>
      </c>
      <c r="D117" s="14">
        <f>26.7*(2/3*10)</f>
        <v>177.99999999999997</v>
      </c>
      <c r="E117" s="14">
        <f>415.9*(2/3*10)</f>
        <v>2772.6666666666661</v>
      </c>
      <c r="F117" s="14">
        <f>251.8*(2/3*10)</f>
        <v>1678.6666666666665</v>
      </c>
      <c r="G117" s="14">
        <f>95.1*(2/3*10)</f>
        <v>633.99999999999989</v>
      </c>
      <c r="H117" s="14">
        <f>20.8*(2/3*10)</f>
        <v>138.66666666666666</v>
      </c>
      <c r="I117" s="14">
        <f>24.7*(2/3*10)</f>
        <v>164.66666666666666</v>
      </c>
      <c r="K117">
        <v>114</v>
      </c>
      <c r="L117">
        <f t="shared" si="1"/>
        <v>2</v>
      </c>
    </row>
    <row r="118" spans="1:12" ht="16.5" x14ac:dyDescent="0.2">
      <c r="A118" s="4" t="s">
        <v>338</v>
      </c>
      <c r="B118">
        <v>2011</v>
      </c>
      <c r="C118" s="14">
        <f>175.6*(2/3*10)</f>
        <v>1170.6666666666665</v>
      </c>
      <c r="D118" s="14">
        <f>26.7*(2/3*10)</f>
        <v>177.99999999999997</v>
      </c>
      <c r="E118" s="14">
        <f>415.6*(2/3*10)</f>
        <v>2770.6666666666665</v>
      </c>
      <c r="F118" s="14">
        <f>250.8*(2/3*10)</f>
        <v>1672</v>
      </c>
      <c r="G118" s="14">
        <f>95.9*(2/3*10)</f>
        <v>639.33333333333326</v>
      </c>
      <c r="H118" s="14">
        <f>21.3*(2/3*10)</f>
        <v>142</v>
      </c>
      <c r="I118" s="14">
        <f>24.7*(2/3*10)</f>
        <v>164.66666666666666</v>
      </c>
      <c r="K118" s="15">
        <v>115</v>
      </c>
      <c r="L118">
        <f t="shared" si="1"/>
        <v>3</v>
      </c>
    </row>
    <row r="119" spans="1:12" ht="16.5" x14ac:dyDescent="0.2">
      <c r="A119" s="4" t="s">
        <v>338</v>
      </c>
      <c r="B119">
        <v>2012</v>
      </c>
      <c r="C119" s="14">
        <f>175.1*(2/3*10)</f>
        <v>1167.3333333333333</v>
      </c>
      <c r="D119" s="14">
        <f>26.2*(2/3*10)</f>
        <v>174.66666666666666</v>
      </c>
      <c r="E119" s="14">
        <f>415.1*(2/3*10)</f>
        <v>2767.333333333333</v>
      </c>
      <c r="F119" s="14">
        <f>249.3*(2/3*10)</f>
        <v>1662</v>
      </c>
      <c r="G119" s="14">
        <f>98.7*(2/3*10)</f>
        <v>657.99999999999989</v>
      </c>
      <c r="H119" s="14">
        <f>21.6*(2/3*10)</f>
        <v>144</v>
      </c>
      <c r="I119" s="14">
        <f>24.5*(2/3*10)</f>
        <v>163.33333333333331</v>
      </c>
      <c r="K119">
        <v>116</v>
      </c>
      <c r="L119">
        <f t="shared" si="1"/>
        <v>4</v>
      </c>
    </row>
    <row r="120" spans="1:12" ht="16.5" x14ac:dyDescent="0.2">
      <c r="A120" s="4" t="s">
        <v>338</v>
      </c>
      <c r="B120">
        <v>2013</v>
      </c>
      <c r="C120" s="14">
        <f>174.3*(2/3*10)</f>
        <v>1162</v>
      </c>
      <c r="D120" s="14">
        <f>26*(2/3*10)</f>
        <v>173.33333333333331</v>
      </c>
      <c r="E120" s="14">
        <f>414.7*(2/3*10)</f>
        <v>2764.6666666666665</v>
      </c>
      <c r="F120" s="14">
        <f>248.9*(2/3*10)</f>
        <v>1659.3333333333333</v>
      </c>
      <c r="G120" s="14">
        <f>100.5*(2/3*10)</f>
        <v>669.99999999999989</v>
      </c>
      <c r="H120" s="14">
        <f>21.8*(2/3*10)</f>
        <v>145.33333333333331</v>
      </c>
      <c r="I120" s="14">
        <f>24.4*(2/3*10)</f>
        <v>162.66666666666663</v>
      </c>
      <c r="K120" s="15">
        <v>117</v>
      </c>
      <c r="L120">
        <f t="shared" si="1"/>
        <v>5</v>
      </c>
    </row>
    <row r="121" spans="1:12" ht="16.5" x14ac:dyDescent="0.2">
      <c r="A121" s="4" t="s">
        <v>338</v>
      </c>
      <c r="B121">
        <v>2014</v>
      </c>
      <c r="C121" s="14">
        <f>173.8*(2/3*10)</f>
        <v>1158.6666666666667</v>
      </c>
      <c r="D121" s="14">
        <f>25.6*(2/3*10)</f>
        <v>170.66666666666666</v>
      </c>
      <c r="E121" s="14">
        <f>414.2*(2/3*10)</f>
        <v>2761.333333333333</v>
      </c>
      <c r="F121" s="14">
        <f>247.7*(2/3*10)</f>
        <v>1651.333333333333</v>
      </c>
      <c r="G121" s="14">
        <f>102.9*(2/3*10)</f>
        <v>685.99999999999989</v>
      </c>
      <c r="H121" s="14">
        <f>22.3*(2/3*10)</f>
        <v>148.66666666666666</v>
      </c>
      <c r="I121" s="14">
        <f>24.3*(2/3*10)</f>
        <v>162</v>
      </c>
      <c r="K121">
        <v>118</v>
      </c>
      <c r="L121">
        <f t="shared" si="1"/>
        <v>6</v>
      </c>
    </row>
    <row r="122" spans="1:12" ht="16.5" x14ac:dyDescent="0.2">
      <c r="A122" s="4" t="s">
        <v>338</v>
      </c>
      <c r="B122">
        <v>2015</v>
      </c>
      <c r="C122" s="14">
        <f>174.2*(2/3*10)</f>
        <v>1161.3333333333333</v>
      </c>
      <c r="D122" s="14">
        <f>25.5*(2/3*10)</f>
        <v>169.99999999999997</v>
      </c>
      <c r="E122" s="14">
        <f>413.9*(2/3*10)</f>
        <v>2759.333333333333</v>
      </c>
      <c r="F122" s="14">
        <f>246.9*(2/3*10)</f>
        <v>1646</v>
      </c>
      <c r="G122" s="14">
        <f>103.7*(2/3*10)</f>
        <v>691.33333333333314</v>
      </c>
      <c r="H122" s="14">
        <f>22.3*(2/3*10)</f>
        <v>148.66666666666666</v>
      </c>
      <c r="I122" s="14">
        <f>24.2*(2/3*10)</f>
        <v>161.33333333333331</v>
      </c>
      <c r="K122" s="15">
        <v>119</v>
      </c>
      <c r="L122">
        <f t="shared" si="1"/>
        <v>7</v>
      </c>
    </row>
    <row r="123" spans="1:12" ht="16.5" x14ac:dyDescent="0.2">
      <c r="A123" s="4" t="s">
        <v>338</v>
      </c>
      <c r="B123">
        <v>2016</v>
      </c>
      <c r="C123" s="14">
        <f>173.8*(2/3*10)</f>
        <v>1158.6666666666667</v>
      </c>
      <c r="D123" s="14">
        <f>25.3*(2/3*10)</f>
        <v>168.66666666666666</v>
      </c>
      <c r="E123" s="14">
        <f>413.6*(2/3*10)</f>
        <v>2757.333333333333</v>
      </c>
      <c r="F123" s="14">
        <f>246.4*(2/3*10)</f>
        <v>1642.6666666666665</v>
      </c>
      <c r="G123" s="14">
        <f>104.8*(2/3*10)</f>
        <v>698.66666666666663</v>
      </c>
      <c r="H123" s="14">
        <f>22.7*(2/3*10)</f>
        <v>151.33333333333331</v>
      </c>
      <c r="I123" s="14">
        <f>24.1*(2/3*10)</f>
        <v>160.66666666666666</v>
      </c>
      <c r="K123">
        <v>120</v>
      </c>
      <c r="L123">
        <f t="shared" si="1"/>
        <v>0</v>
      </c>
    </row>
    <row r="124" spans="1:12" ht="16.5" x14ac:dyDescent="0.2">
      <c r="A124" s="4" t="s">
        <v>337</v>
      </c>
      <c r="B124">
        <v>2009</v>
      </c>
      <c r="C124" s="14">
        <f>567*(2/3*10)</f>
        <v>3779.9999999999995</v>
      </c>
      <c r="D124" s="14">
        <f>27.8*(2/3*10)</f>
        <v>185.33333333333331</v>
      </c>
      <c r="E124" s="14">
        <f>459.7*(2/3*10)</f>
        <v>3064.6666666666665</v>
      </c>
      <c r="F124" s="14">
        <f>723.2*(2/3*10)</f>
        <v>4821.333333333333</v>
      </c>
      <c r="G124" s="14">
        <f>103.5*(2/3*10)</f>
        <v>689.99999999999989</v>
      </c>
      <c r="H124" s="14">
        <f>35.5*(2/3*10)</f>
        <v>236.66666666666666</v>
      </c>
      <c r="I124" s="14">
        <f>53.4*(2/3*10)</f>
        <v>355.99999999999994</v>
      </c>
      <c r="K124" s="15">
        <v>121</v>
      </c>
      <c r="L124">
        <f t="shared" si="1"/>
        <v>1</v>
      </c>
    </row>
    <row r="125" spans="1:12" ht="16.5" x14ac:dyDescent="0.2">
      <c r="A125" s="4" t="s">
        <v>337</v>
      </c>
      <c r="B125">
        <v>2010</v>
      </c>
      <c r="C125" s="14">
        <f>564.5*(2/3*10)</f>
        <v>3763.333333333333</v>
      </c>
      <c r="D125" s="14">
        <f>27.9*(2/3*10)</f>
        <v>185.99999999999997</v>
      </c>
      <c r="E125" s="14">
        <f>459.2*(2/3*10)</f>
        <v>3061.333333333333</v>
      </c>
      <c r="F125" s="14">
        <f>723.9*(2/3*10)</f>
        <v>4825.9999999999991</v>
      </c>
      <c r="G125" s="14">
        <f>105.1*(2/3*10)</f>
        <v>700.66666666666652</v>
      </c>
      <c r="H125" s="14">
        <f>37.5*(2/3*10)</f>
        <v>249.99999999999997</v>
      </c>
      <c r="I125" s="14">
        <f>52.6*(2/3*10)</f>
        <v>350.66666666666663</v>
      </c>
      <c r="K125">
        <v>122</v>
      </c>
      <c r="L125">
        <f t="shared" si="1"/>
        <v>2</v>
      </c>
    </row>
    <row r="126" spans="1:12" ht="16.5" x14ac:dyDescent="0.2">
      <c r="A126" s="4" t="s">
        <v>337</v>
      </c>
      <c r="B126">
        <v>2011</v>
      </c>
      <c r="C126" s="14">
        <f>564.6*(2/3*10)</f>
        <v>3764</v>
      </c>
      <c r="D126" s="14">
        <f>27.9*(2/3*10)</f>
        <v>185.99999999999997</v>
      </c>
      <c r="E126" s="14">
        <f>459*(2/3*10)</f>
        <v>3059.9999999999995</v>
      </c>
      <c r="F126" s="14">
        <f>723*(2/3*10)</f>
        <v>4820</v>
      </c>
      <c r="G126" s="14">
        <f>106.4*(2/3*10)</f>
        <v>709.33333333333326</v>
      </c>
      <c r="H126" s="14">
        <f>37.6*(2/3*10)</f>
        <v>250.66666666666666</v>
      </c>
      <c r="I126" s="14">
        <f>52.4*(2/3*10)</f>
        <v>349.33333333333331</v>
      </c>
      <c r="K126" s="15">
        <v>123</v>
      </c>
      <c r="L126">
        <f t="shared" si="1"/>
        <v>3</v>
      </c>
    </row>
    <row r="127" spans="1:12" ht="16.5" x14ac:dyDescent="0.2">
      <c r="A127" s="4" t="s">
        <v>337</v>
      </c>
      <c r="B127">
        <v>2012</v>
      </c>
      <c r="C127" s="14">
        <f>564.7*(2/3*10)</f>
        <v>3764.6666666666665</v>
      </c>
      <c r="D127" s="14">
        <f>27.8*(2/3*10)</f>
        <v>185.33333333333331</v>
      </c>
      <c r="E127" s="14">
        <f>458.6*(2/3*10)</f>
        <v>3057.333333333333</v>
      </c>
      <c r="F127" s="14">
        <f>721.9*(2/3*10)</f>
        <v>4812.6666666666661</v>
      </c>
      <c r="G127" s="14">
        <f>107.6*(2/3*10)</f>
        <v>717.33333333333326</v>
      </c>
      <c r="H127" s="14">
        <f>38.3*(2/3*10)</f>
        <v>255.33333333333329</v>
      </c>
      <c r="I127" s="14">
        <f>52*(2/3*10)</f>
        <v>346.66666666666663</v>
      </c>
      <c r="K127">
        <v>124</v>
      </c>
      <c r="L127">
        <f t="shared" si="1"/>
        <v>4</v>
      </c>
    </row>
    <row r="128" spans="1:12" ht="16.5" x14ac:dyDescent="0.2">
      <c r="A128" s="4" t="s">
        <v>337</v>
      </c>
      <c r="B128">
        <v>2013</v>
      </c>
      <c r="C128" s="14">
        <f>564.5*(2/3*10)</f>
        <v>3763.333333333333</v>
      </c>
      <c r="D128" s="14">
        <f>27.8*(2/3*10)</f>
        <v>185.33333333333331</v>
      </c>
      <c r="E128" s="14">
        <f>458.3*(2/3*10)</f>
        <v>3055.333333333333</v>
      </c>
      <c r="F128" s="14">
        <f>721.3*(2/3*10)</f>
        <v>4808.6666666666661</v>
      </c>
      <c r="G128" s="14">
        <f>108.6*(2/3*10)</f>
        <v>723.99999999999989</v>
      </c>
      <c r="H128" s="14">
        <f>38.4*(2/3*10)</f>
        <v>255.99999999999997</v>
      </c>
      <c r="I128" s="14">
        <f>51.8*(2/3*10)</f>
        <v>345.33333333333326</v>
      </c>
      <c r="K128" s="15">
        <v>125</v>
      </c>
      <c r="L128">
        <f t="shared" si="1"/>
        <v>5</v>
      </c>
    </row>
    <row r="129" spans="1:12" ht="16.5" x14ac:dyDescent="0.2">
      <c r="A129" s="4" t="s">
        <v>337</v>
      </c>
      <c r="B129">
        <v>2014</v>
      </c>
      <c r="C129" s="14">
        <f>564*(2/3*10)</f>
        <v>3759.9999999999995</v>
      </c>
      <c r="D129" s="14">
        <f>27.7*(2/3*10)</f>
        <v>184.66666666666666</v>
      </c>
      <c r="E129" s="14">
        <f>458.1*(2/3*10)</f>
        <v>3054</v>
      </c>
      <c r="F129" s="14">
        <f>721.1*(2/3*10)</f>
        <v>4807.333333333333</v>
      </c>
      <c r="G129" s="14">
        <f>109.3*(2/3*10)</f>
        <v>728.66666666666663</v>
      </c>
      <c r="H129" s="14">
        <f>38.6*(2/3*10)</f>
        <v>257.33333333333331</v>
      </c>
      <c r="I129" s="14">
        <f>51.6*(2/3*10)</f>
        <v>344</v>
      </c>
      <c r="K129">
        <v>126</v>
      </c>
      <c r="L129">
        <f t="shared" si="1"/>
        <v>6</v>
      </c>
    </row>
    <row r="130" spans="1:12" ht="16.5" x14ac:dyDescent="0.2">
      <c r="A130" s="4" t="s">
        <v>337</v>
      </c>
      <c r="B130">
        <v>2015</v>
      </c>
      <c r="C130" s="14">
        <f>564.3*(2/3*10)</f>
        <v>3761.9999999999995</v>
      </c>
      <c r="D130" s="14">
        <f>27.7*(2/3*10)</f>
        <v>184.66666666666666</v>
      </c>
      <c r="E130" s="14">
        <f>458*(2/3*10)</f>
        <v>3053.333333333333</v>
      </c>
      <c r="F130" s="14">
        <f>720.6*(2/3*10)</f>
        <v>4804</v>
      </c>
      <c r="G130" s="14">
        <f>109.7*(2/3*10)</f>
        <v>731.33333333333326</v>
      </c>
      <c r="H130" s="14">
        <f>38.8*(2/3*10)</f>
        <v>258.66666666666663</v>
      </c>
      <c r="I130" s="14">
        <f>51.4*(2/3*10)</f>
        <v>342.66666666666663</v>
      </c>
      <c r="K130" s="15">
        <v>127</v>
      </c>
      <c r="L130">
        <f t="shared" si="1"/>
        <v>7</v>
      </c>
    </row>
    <row r="131" spans="1:12" ht="16.5" x14ac:dyDescent="0.2">
      <c r="A131" s="4" t="s">
        <v>337</v>
      </c>
      <c r="B131">
        <v>2016</v>
      </c>
      <c r="C131" s="14">
        <f>563.5*(2/3*10)</f>
        <v>3756.6666666666665</v>
      </c>
      <c r="D131" s="14">
        <f>27.7*(2/3*10)</f>
        <v>184.66666666666666</v>
      </c>
      <c r="E131" s="14">
        <f>457.5*(2/3*10)</f>
        <v>3049.9999999999995</v>
      </c>
      <c r="F131" s="14">
        <f>720.1*(2/3*10)</f>
        <v>4800.6666666666661</v>
      </c>
      <c r="G131" s="14">
        <f>110.6*(2/3*10)</f>
        <v>737.33333333333326</v>
      </c>
      <c r="H131" s="14">
        <f>39.8*(2/3*10)</f>
        <v>265.33333333333331</v>
      </c>
      <c r="I131" s="14">
        <f>51.1*(2/3*10)</f>
        <v>340.66666666666663</v>
      </c>
      <c r="K131">
        <v>128</v>
      </c>
      <c r="L131">
        <f t="shared" si="1"/>
        <v>0</v>
      </c>
    </row>
    <row r="132" spans="1:12" ht="16.5" x14ac:dyDescent="0.2">
      <c r="A132" s="4" t="s">
        <v>336</v>
      </c>
      <c r="B132">
        <v>2009</v>
      </c>
      <c r="C132" s="14">
        <f>115*(2/3*10)</f>
        <v>766.66666666666663</v>
      </c>
      <c r="D132" s="14">
        <f>4.9*(2/3*10)</f>
        <v>32.666666666666664</v>
      </c>
      <c r="E132" s="14">
        <f>234.4*(2/3*10)</f>
        <v>1562.6666666666665</v>
      </c>
      <c r="F132" s="14">
        <f>174.5*(2/3*10)</f>
        <v>1163.3333333333333</v>
      </c>
      <c r="G132" s="14">
        <f>39.2*(2/3*10)</f>
        <v>261.33333333333326</v>
      </c>
      <c r="H132" s="14">
        <f>8.2*(2/3*10)</f>
        <v>54.666666666666657</v>
      </c>
      <c r="I132" s="14">
        <f>5.7*(2/3*10)</f>
        <v>38</v>
      </c>
      <c r="K132" s="15">
        <v>129</v>
      </c>
      <c r="L132">
        <f t="shared" si="1"/>
        <v>1</v>
      </c>
    </row>
    <row r="133" spans="1:12" ht="16.5" x14ac:dyDescent="0.2">
      <c r="A133" s="4" t="s">
        <v>336</v>
      </c>
      <c r="B133">
        <v>2010</v>
      </c>
      <c r="C133" s="14">
        <f>115*(2/3*10)</f>
        <v>766.66666666666663</v>
      </c>
      <c r="D133" s="14">
        <f>4.9*(2/3*10)</f>
        <v>32.666666666666664</v>
      </c>
      <c r="E133" s="14">
        <f>234.3*(2/3*10)</f>
        <v>1562</v>
      </c>
      <c r="F133" s="14">
        <f>174.4*(2/3*10)</f>
        <v>1162.6666666666665</v>
      </c>
      <c r="G133" s="14">
        <f>39.7*(2/3*10)</f>
        <v>264.66666666666669</v>
      </c>
      <c r="H133" s="14">
        <f>8.3*(2/3*10)</f>
        <v>55.333333333333336</v>
      </c>
      <c r="I133" s="14">
        <f>5.6*(2/3*10)</f>
        <v>37.333333333333329</v>
      </c>
      <c r="K133">
        <v>130</v>
      </c>
      <c r="L133">
        <f t="shared" ref="L133:L196" si="2">MOD(K133,8)</f>
        <v>2</v>
      </c>
    </row>
    <row r="134" spans="1:12" ht="16.5" x14ac:dyDescent="0.2">
      <c r="A134" s="4" t="s">
        <v>336</v>
      </c>
      <c r="B134">
        <v>2011</v>
      </c>
      <c r="C134" s="14">
        <f>115.1*(2/3*10)</f>
        <v>767.33333333333326</v>
      </c>
      <c r="D134" s="14">
        <f>4.8*(2/3*10)</f>
        <v>31.999999999999996</v>
      </c>
      <c r="E134" s="14">
        <f>234.2*(2/3*10)</f>
        <v>1561.333333333333</v>
      </c>
      <c r="F134" s="14">
        <f>174.1*(2/3*10)</f>
        <v>1160.6666666666665</v>
      </c>
      <c r="G134" s="14">
        <f>39.9*(2/3*10)</f>
        <v>266</v>
      </c>
      <c r="H134" s="14">
        <f>8.6*(2/3*10)</f>
        <v>57.333333333333329</v>
      </c>
      <c r="I134" s="14">
        <f>5.5*(2/3*10)</f>
        <v>36.666666666666664</v>
      </c>
      <c r="K134" s="15">
        <v>131</v>
      </c>
      <c r="L134">
        <f t="shared" si="2"/>
        <v>3</v>
      </c>
    </row>
    <row r="135" spans="1:12" ht="16.5" x14ac:dyDescent="0.2">
      <c r="A135" s="4" t="s">
        <v>336</v>
      </c>
      <c r="B135">
        <v>2012</v>
      </c>
      <c r="C135" s="14">
        <f>114.6*(2/3*10)</f>
        <v>763.99999999999989</v>
      </c>
      <c r="D135" s="14">
        <f>4.8*(2/3*10)</f>
        <v>31.999999999999996</v>
      </c>
      <c r="E135" s="14">
        <f>233.9*(2/3*10)</f>
        <v>1559.3333333333333</v>
      </c>
      <c r="F135" s="14">
        <f>173.6*(2/3*10)</f>
        <v>1157.3333333333333</v>
      </c>
      <c r="G135" s="14">
        <f>40.4*(2/3*10)</f>
        <v>269.33333333333331</v>
      </c>
      <c r="H135" s="14">
        <f>9.5*(2/3*10)</f>
        <v>63.333333333333329</v>
      </c>
      <c r="I135" s="14">
        <f>5.5*(2/3*10)</f>
        <v>36.666666666666664</v>
      </c>
      <c r="K135">
        <v>132</v>
      </c>
      <c r="L135">
        <f t="shared" si="2"/>
        <v>4</v>
      </c>
    </row>
    <row r="136" spans="1:12" ht="16.5" x14ac:dyDescent="0.2">
      <c r="A136" s="4" t="s">
        <v>336</v>
      </c>
      <c r="B136">
        <v>2013</v>
      </c>
      <c r="C136" s="14">
        <f>114.5*(2/3*10)</f>
        <v>763.33333333333326</v>
      </c>
      <c r="D136" s="14">
        <f>4.8*(2/3*10)</f>
        <v>31.999999999999996</v>
      </c>
      <c r="E136" s="14">
        <f>233.7*(2/3*10)</f>
        <v>1557.9999999999998</v>
      </c>
      <c r="F136" s="14">
        <f>173.1*(2/3*10)</f>
        <v>1153.9999999999998</v>
      </c>
      <c r="G136" s="14">
        <f>41*(2/3*10)</f>
        <v>273.33333333333331</v>
      </c>
      <c r="H136" s="14">
        <f>9.8*(2/3*10)</f>
        <v>65.333333333333329</v>
      </c>
      <c r="I136" s="14">
        <f>5.5*(2/3*10)</f>
        <v>36.666666666666664</v>
      </c>
      <c r="K136" s="15">
        <v>133</v>
      </c>
      <c r="L136">
        <f t="shared" si="2"/>
        <v>5</v>
      </c>
    </row>
    <row r="137" spans="1:12" ht="16.5" x14ac:dyDescent="0.2">
      <c r="A137" s="4" t="s">
        <v>336</v>
      </c>
      <c r="B137">
        <v>2014</v>
      </c>
      <c r="C137" s="14">
        <f>114.4*(2/3*10)</f>
        <v>762.66666666666663</v>
      </c>
      <c r="D137" s="14">
        <f>4.8*(2/3*10)</f>
        <v>31.999999999999996</v>
      </c>
      <c r="E137" s="14">
        <f>233.6*(2/3*10)</f>
        <v>1557.3333333333333</v>
      </c>
      <c r="F137" s="14">
        <f>172.6*(2/3*10)</f>
        <v>1150.6666666666665</v>
      </c>
      <c r="G137" s="14">
        <f>41.5*(2/3*10)</f>
        <v>276.66666666666663</v>
      </c>
      <c r="H137" s="14">
        <f>10.2*(2/3*10)</f>
        <v>67.999999999999986</v>
      </c>
      <c r="I137" s="14">
        <f>5.5*(2/3*10)</f>
        <v>36.666666666666664</v>
      </c>
      <c r="K137">
        <v>134</v>
      </c>
      <c r="L137">
        <f t="shared" si="2"/>
        <v>6</v>
      </c>
    </row>
    <row r="138" spans="1:12" ht="16.5" x14ac:dyDescent="0.2">
      <c r="A138" s="4" t="s">
        <v>336</v>
      </c>
      <c r="B138">
        <v>2015</v>
      </c>
      <c r="C138" s="14">
        <f>114.4*(2/3*10)</f>
        <v>762.66666666666663</v>
      </c>
      <c r="D138" s="14">
        <f>4.7*(2/3*10)</f>
        <v>31.333333333333332</v>
      </c>
      <c r="E138" s="14">
        <f>233.5*(2/3*10)</f>
        <v>1556.6666666666665</v>
      </c>
      <c r="F138" s="14">
        <f>172.4*(2/3*10)</f>
        <v>1149.3333333333333</v>
      </c>
      <c r="G138" s="14">
        <f>41.7*(2/3*10)</f>
        <v>277.99999999999994</v>
      </c>
      <c r="H138" s="14">
        <f>10.2*(2/3*10)</f>
        <v>67.999999999999986</v>
      </c>
      <c r="I138" s="14">
        <f>5.4*(2/3*10)</f>
        <v>36</v>
      </c>
      <c r="K138" s="15">
        <v>135</v>
      </c>
      <c r="L138">
        <f t="shared" si="2"/>
        <v>7</v>
      </c>
    </row>
    <row r="139" spans="1:12" ht="16.5" x14ac:dyDescent="0.2">
      <c r="A139" s="4" t="s">
        <v>336</v>
      </c>
      <c r="B139">
        <v>2016</v>
      </c>
      <c r="C139" s="14">
        <f>114.1*(2/3*10)</f>
        <v>760.66666666666652</v>
      </c>
      <c r="D139" s="14">
        <f>4.7*(2/3*10)</f>
        <v>31.333333333333332</v>
      </c>
      <c r="E139" s="14">
        <f>233.5*(2/3*10)</f>
        <v>1556.6666666666665</v>
      </c>
      <c r="F139" s="14">
        <f>172.2*(2/3*10)</f>
        <v>1147.9999999999998</v>
      </c>
      <c r="G139" s="14">
        <f>42.2*(2/3*10)</f>
        <v>281.33333333333331</v>
      </c>
      <c r="H139" s="14">
        <f>10.5*(2/3*10)</f>
        <v>70</v>
      </c>
      <c r="I139" s="14">
        <f>5.4*(2/3*10)</f>
        <v>36</v>
      </c>
      <c r="K139">
        <v>136</v>
      </c>
      <c r="L139">
        <f t="shared" si="2"/>
        <v>0</v>
      </c>
    </row>
    <row r="140" spans="1:12" ht="16.5" x14ac:dyDescent="0.2">
      <c r="A140" s="4" t="s">
        <v>335</v>
      </c>
      <c r="B140">
        <v>2009</v>
      </c>
      <c r="C140" s="14">
        <f>541.7*(2/3*10)</f>
        <v>3611.3333333333335</v>
      </c>
      <c r="D140" s="14">
        <f>19.3*(2/3*10)</f>
        <v>128.66666666666666</v>
      </c>
      <c r="E140" s="14">
        <f>746.6*(2/3*10)</f>
        <v>4977.333333333333</v>
      </c>
      <c r="F140" s="14">
        <f>491.7*(2/3*10)</f>
        <v>3277.9999999999995</v>
      </c>
      <c r="G140" s="14">
        <f>118.7*(2/3*10)</f>
        <v>791.33333333333326</v>
      </c>
      <c r="H140" s="14">
        <f>30.1*(2/3*10)</f>
        <v>200.66666666666666</v>
      </c>
      <c r="I140" s="14">
        <f>28.9*(2/3*10)</f>
        <v>192.66666666666663</v>
      </c>
      <c r="K140" s="15">
        <v>137</v>
      </c>
      <c r="L140">
        <f t="shared" si="2"/>
        <v>1</v>
      </c>
    </row>
    <row r="141" spans="1:12" ht="16.5" x14ac:dyDescent="0.2">
      <c r="A141" s="4" t="s">
        <v>335</v>
      </c>
      <c r="B141">
        <v>2010</v>
      </c>
      <c r="C141" s="14">
        <f>541.1*(2/3*10)</f>
        <v>3607.333333333333</v>
      </c>
      <c r="D141" s="14">
        <f>19.3*(2/3*10)</f>
        <v>128.66666666666666</v>
      </c>
      <c r="E141" s="14">
        <f>746.4*(2/3*10)</f>
        <v>4975.9999999999991</v>
      </c>
      <c r="F141" s="14">
        <f>491.6*(2/3*10)</f>
        <v>3277.333333333333</v>
      </c>
      <c r="G141" s="14">
        <f>119.4*(2/3*10)</f>
        <v>796</v>
      </c>
      <c r="H141" s="14">
        <f>30.3*(2/3*10)</f>
        <v>202</v>
      </c>
      <c r="I141" s="14">
        <f>28.9*(2/3*10)</f>
        <v>192.66666666666663</v>
      </c>
      <c r="K141">
        <v>138</v>
      </c>
      <c r="L141">
        <f t="shared" si="2"/>
        <v>2</v>
      </c>
    </row>
    <row r="142" spans="1:12" ht="16.5" x14ac:dyDescent="0.2">
      <c r="A142" s="4" t="s">
        <v>335</v>
      </c>
      <c r="B142">
        <v>2011</v>
      </c>
      <c r="C142" s="14">
        <f>540.8*(2/3*10)</f>
        <v>3605.3333333333326</v>
      </c>
      <c r="D142" s="14">
        <f>19.2*(2/3*10)</f>
        <v>127.99999999999999</v>
      </c>
      <c r="E142" s="14">
        <f>746.1*(2/3*10)</f>
        <v>4974</v>
      </c>
      <c r="F142" s="14">
        <f>490.9*(2/3*10)</f>
        <v>3272.6666666666661</v>
      </c>
      <c r="G142" s="14">
        <f>120.2*(2/3*10)</f>
        <v>801.33333333333326</v>
      </c>
      <c r="H142" s="14">
        <f>30.6*(2/3*10)</f>
        <v>204</v>
      </c>
      <c r="I142" s="14">
        <f>28.8*(2/3*10)</f>
        <v>192</v>
      </c>
      <c r="K142" s="15">
        <v>139</v>
      </c>
      <c r="L142">
        <f t="shared" si="2"/>
        <v>3</v>
      </c>
    </row>
    <row r="143" spans="1:12" ht="16.5" x14ac:dyDescent="0.2">
      <c r="A143" s="4" t="s">
        <v>335</v>
      </c>
      <c r="B143">
        <v>2012</v>
      </c>
      <c r="C143" s="14">
        <f>540*(2/3*10)</f>
        <v>3599.9999999999995</v>
      </c>
      <c r="D143" s="14">
        <f>19.2*(2/3*10)</f>
        <v>127.99999999999999</v>
      </c>
      <c r="E143" s="14">
        <f>745.8*(2/3*10)</f>
        <v>4971.9999999999991</v>
      </c>
      <c r="F143" s="14">
        <f>490.5*(2/3*10)</f>
        <v>3269.9999999999995</v>
      </c>
      <c r="G143" s="14">
        <f>121.5*(2/3*10)</f>
        <v>809.99999999999989</v>
      </c>
      <c r="H143" s="14">
        <f>31.2*(2/3*10)</f>
        <v>207.99999999999997</v>
      </c>
      <c r="I143" s="14">
        <f>28.7*(2/3*10)</f>
        <v>191.33333333333331</v>
      </c>
      <c r="K143">
        <v>140</v>
      </c>
      <c r="L143">
        <f t="shared" si="2"/>
        <v>4</v>
      </c>
    </row>
    <row r="144" spans="1:12" ht="16.5" x14ac:dyDescent="0.2">
      <c r="A144" s="4" t="s">
        <v>335</v>
      </c>
      <c r="B144">
        <v>2013</v>
      </c>
      <c r="C144" s="14">
        <f>539.3*(2/3*10)</f>
        <v>3595.3333333333326</v>
      </c>
      <c r="D144" s="14">
        <f>19.1*(2/3*10)</f>
        <v>127.33333333333333</v>
      </c>
      <c r="E144" s="14">
        <f>745.5*(2/3*10)</f>
        <v>4970</v>
      </c>
      <c r="F144" s="14">
        <f>489.5*(2/3*10)</f>
        <v>3263.333333333333</v>
      </c>
      <c r="G144" s="14">
        <f>122.9*(2/3*10)</f>
        <v>819.33333333333326</v>
      </c>
      <c r="H144" s="14">
        <f>31.7*(2/3*10)</f>
        <v>211.33333333333331</v>
      </c>
      <c r="I144" s="14">
        <f>28.6*(2/3*10)</f>
        <v>190.66666666666666</v>
      </c>
      <c r="K144" s="15">
        <v>141</v>
      </c>
      <c r="L144">
        <f t="shared" si="2"/>
        <v>5</v>
      </c>
    </row>
    <row r="145" spans="1:12" ht="16.5" x14ac:dyDescent="0.2">
      <c r="A145" s="4" t="s">
        <v>335</v>
      </c>
      <c r="B145">
        <v>2014</v>
      </c>
      <c r="C145" s="14">
        <f>538.1*(2/3*10)</f>
        <v>3587.333333333333</v>
      </c>
      <c r="D145" s="14">
        <f>19*(2/3*10)</f>
        <v>126.66666666666666</v>
      </c>
      <c r="E145" s="14">
        <f>745.2*(2/3*10)</f>
        <v>4968</v>
      </c>
      <c r="F145" s="14">
        <f>488.7*(2/3*10)</f>
        <v>3257.9999999999995</v>
      </c>
      <c r="G145" s="14">
        <f>124.7*(2/3*10)</f>
        <v>831.33333333333326</v>
      </c>
      <c r="H145" s="14">
        <f>32.4*(2/3*10)</f>
        <v>215.99999999999997</v>
      </c>
      <c r="I145" s="14">
        <f>28.6*(2/3*10)</f>
        <v>190.66666666666666</v>
      </c>
      <c r="K145">
        <v>142</v>
      </c>
      <c r="L145">
        <f t="shared" si="2"/>
        <v>6</v>
      </c>
    </row>
    <row r="146" spans="1:12" ht="16.5" x14ac:dyDescent="0.2">
      <c r="A146" s="4" t="s">
        <v>335</v>
      </c>
      <c r="B146">
        <v>2015</v>
      </c>
      <c r="C146" s="14">
        <f>537.7*(2/3*10)</f>
        <v>3584.6666666666665</v>
      </c>
      <c r="D146" s="14">
        <f>19*(2/3*10)</f>
        <v>126.66666666666666</v>
      </c>
      <c r="E146" s="14">
        <f>745*(2/3*10)</f>
        <v>4966.6666666666661</v>
      </c>
      <c r="F146" s="14">
        <f>488.5*(2/3*10)</f>
        <v>3256.6666666666665</v>
      </c>
      <c r="G146" s="14">
        <f>125*(2/3*10)</f>
        <v>833.33333333333326</v>
      </c>
      <c r="H146" s="14">
        <f>32.7*(2/3*10)</f>
        <v>218</v>
      </c>
      <c r="I146" s="14">
        <f>28.5*(2/3*10)</f>
        <v>189.99999999999997</v>
      </c>
      <c r="K146" s="15">
        <v>143</v>
      </c>
      <c r="L146">
        <f t="shared" si="2"/>
        <v>7</v>
      </c>
    </row>
    <row r="147" spans="1:12" ht="16.5" x14ac:dyDescent="0.2">
      <c r="A147" s="4" t="s">
        <v>335</v>
      </c>
      <c r="B147">
        <v>2016</v>
      </c>
      <c r="C147" s="14">
        <f>537.3*(2/3*10)</f>
        <v>3581.9999999999995</v>
      </c>
      <c r="D147" s="14">
        <f>19*(2/3*10)</f>
        <v>126.66666666666666</v>
      </c>
      <c r="E147" s="14">
        <f>744.9*(2/3*10)</f>
        <v>4965.9999999999991</v>
      </c>
      <c r="F147" s="14">
        <f>488.4*(2/3*10)</f>
        <v>3255.9999999999995</v>
      </c>
      <c r="G147" s="14">
        <f>125.3*(2/3*10)</f>
        <v>835.33333333333337</v>
      </c>
      <c r="H147" s="14">
        <f>33*(2/3*10)</f>
        <v>219.99999999999997</v>
      </c>
      <c r="I147" s="14">
        <f>28.5*(2/3*10)</f>
        <v>189.99999999999997</v>
      </c>
      <c r="K147">
        <v>144</v>
      </c>
      <c r="L147">
        <f t="shared" si="2"/>
        <v>0</v>
      </c>
    </row>
    <row r="148" spans="1:12" ht="16.5" x14ac:dyDescent="0.2">
      <c r="A148" s="4" t="s">
        <v>334</v>
      </c>
      <c r="B148">
        <v>2009</v>
      </c>
      <c r="C148" s="14">
        <f>307.1*(2/3*10)</f>
        <v>2047.3333333333333</v>
      </c>
      <c r="D148" s="14">
        <f>18.9*(2/3*10)</f>
        <v>125.99999999999999</v>
      </c>
      <c r="E148" s="14">
        <f>605.8*(2/3*10)</f>
        <v>4038.6666666666661</v>
      </c>
      <c r="F148" s="14">
        <f>293*(2/3*10)</f>
        <v>1953.3333333333333</v>
      </c>
      <c r="G148" s="14">
        <f>71.5*(2/3*10)</f>
        <v>476.66666666666663</v>
      </c>
      <c r="H148" s="14">
        <f>26.6*(2/3*10)</f>
        <v>177.33333333333331</v>
      </c>
      <c r="I148" s="14">
        <f>18.6*(2/3*10)</f>
        <v>124</v>
      </c>
      <c r="K148" s="15">
        <v>145</v>
      </c>
      <c r="L148">
        <f t="shared" si="2"/>
        <v>1</v>
      </c>
    </row>
    <row r="149" spans="1:12" ht="16.5" x14ac:dyDescent="0.2">
      <c r="A149" s="4" t="s">
        <v>334</v>
      </c>
      <c r="B149">
        <v>2010</v>
      </c>
      <c r="C149" s="14">
        <f>307.1*(2/3*10)</f>
        <v>2047.3333333333333</v>
      </c>
      <c r="D149" s="14">
        <f>18.9*(2/3*10)</f>
        <v>125.99999999999999</v>
      </c>
      <c r="E149" s="14">
        <f>605.7*(2/3*10)</f>
        <v>4038</v>
      </c>
      <c r="F149" s="14">
        <f>292.5*(2/3*10)</f>
        <v>1949.9999999999998</v>
      </c>
      <c r="G149" s="14">
        <f>71.9*(2/3*10)</f>
        <v>479.33333333333326</v>
      </c>
      <c r="H149" s="14">
        <f>26.6*(2/3*10)</f>
        <v>177.33333333333331</v>
      </c>
      <c r="I149" s="14">
        <f>18.5*(2/3*10)</f>
        <v>123.33333333333333</v>
      </c>
      <c r="K149">
        <v>146</v>
      </c>
      <c r="L149">
        <f t="shared" si="2"/>
        <v>2</v>
      </c>
    </row>
    <row r="150" spans="1:12" ht="16.5" x14ac:dyDescent="0.2">
      <c r="A150" s="4" t="s">
        <v>334</v>
      </c>
      <c r="B150">
        <v>2011</v>
      </c>
      <c r="C150" s="14">
        <f>307.1*(2/3*10)</f>
        <v>2047.3333333333333</v>
      </c>
      <c r="D150" s="14">
        <f>18.9*(2/3*10)</f>
        <v>125.99999999999999</v>
      </c>
      <c r="E150" s="14">
        <f>605.7*(2/3*10)</f>
        <v>4038</v>
      </c>
      <c r="F150" s="14">
        <f>291.9*(2/3*10)</f>
        <v>1945.9999999999998</v>
      </c>
      <c r="G150" s="14">
        <f>72.2*(2/3*10)</f>
        <v>481.3333333333332</v>
      </c>
      <c r="H150" s="14">
        <f>26.9*(2/3*10)</f>
        <v>179.33333333333331</v>
      </c>
      <c r="I150" s="14">
        <f>18.5*(2/3*10)</f>
        <v>123.33333333333333</v>
      </c>
      <c r="K150" s="15">
        <v>147</v>
      </c>
      <c r="L150">
        <f t="shared" si="2"/>
        <v>3</v>
      </c>
    </row>
    <row r="151" spans="1:12" ht="16.5" x14ac:dyDescent="0.2">
      <c r="A151" s="4" t="s">
        <v>334</v>
      </c>
      <c r="B151">
        <v>2012</v>
      </c>
      <c r="C151" s="14">
        <f>306.8*(2/3*10)</f>
        <v>2045.3333333333333</v>
      </c>
      <c r="D151" s="14">
        <f>18.8*(2/3*10)</f>
        <v>125.33333333333333</v>
      </c>
      <c r="E151" s="14">
        <f>605.5*(2/3*10)</f>
        <v>4036.6666666666665</v>
      </c>
      <c r="F151" s="14">
        <f>291.3*(2/3*10)</f>
        <v>1942</v>
      </c>
      <c r="G151" s="14">
        <f>73.1*(2/3*10)</f>
        <v>487.33333333333337</v>
      </c>
      <c r="H151" s="14">
        <f>27.1*(2/3*10)</f>
        <v>180.66666666666666</v>
      </c>
      <c r="I151" s="14">
        <f>18.5*(2/3*10)</f>
        <v>123.33333333333333</v>
      </c>
      <c r="K151">
        <v>148</v>
      </c>
      <c r="L151">
        <f t="shared" si="2"/>
        <v>4</v>
      </c>
    </row>
    <row r="152" spans="1:12" ht="16.5" x14ac:dyDescent="0.2">
      <c r="A152" s="4" t="s">
        <v>334</v>
      </c>
      <c r="B152">
        <v>2013</v>
      </c>
      <c r="C152" s="14">
        <f>307*(2/3*10)</f>
        <v>2046.6666666666665</v>
      </c>
      <c r="D152" s="14">
        <f>18.8*(2/3*10)</f>
        <v>125.33333333333333</v>
      </c>
      <c r="E152" s="14">
        <f>605.2*(2/3*10)</f>
        <v>4034.6666666666665</v>
      </c>
      <c r="F152" s="14">
        <f>290.4*(2/3*10)</f>
        <v>1935.9999999999998</v>
      </c>
      <c r="G152" s="14">
        <f>73.8*(2/3*10)</f>
        <v>491.99999999999994</v>
      </c>
      <c r="H152" s="14">
        <f>27.1*(2/3*10)</f>
        <v>180.66666666666666</v>
      </c>
      <c r="I152" s="14">
        <f>18.5*(2/3*10)</f>
        <v>123.33333333333333</v>
      </c>
      <c r="K152" s="15">
        <v>149</v>
      </c>
      <c r="L152">
        <f t="shared" si="2"/>
        <v>5</v>
      </c>
    </row>
    <row r="153" spans="1:12" ht="16.5" x14ac:dyDescent="0.2">
      <c r="A153" s="4" t="s">
        <v>334</v>
      </c>
      <c r="B153">
        <v>2014</v>
      </c>
      <c r="C153" s="14">
        <f>307.1*(2/3*10)</f>
        <v>2047.3333333333333</v>
      </c>
      <c r="D153" s="14">
        <f>18.7*(2/3*10)</f>
        <v>124.66666666666666</v>
      </c>
      <c r="E153" s="14">
        <f>604.8*(2/3*10)</f>
        <v>4031.9999999999995</v>
      </c>
      <c r="F153" s="14">
        <f>289*(2/3*10)</f>
        <v>1926.6666666666665</v>
      </c>
      <c r="G153" s="14">
        <f>74.8*(2/3*10)</f>
        <v>498.66666666666663</v>
      </c>
      <c r="H153" s="14">
        <f>27.9*(2/3*10)</f>
        <v>185.99999999999997</v>
      </c>
      <c r="I153" s="14">
        <f>18.4*(2/3*10)</f>
        <v>122.66666666666664</v>
      </c>
      <c r="K153">
        <v>150</v>
      </c>
      <c r="L153">
        <f t="shared" si="2"/>
        <v>6</v>
      </c>
    </row>
    <row r="154" spans="1:12" ht="16.5" x14ac:dyDescent="0.2">
      <c r="A154" s="4" t="s">
        <v>334</v>
      </c>
      <c r="B154">
        <v>2015</v>
      </c>
      <c r="C154" s="14">
        <f>307*(2/3*10)</f>
        <v>2046.6666666666665</v>
      </c>
      <c r="D154" s="14">
        <f>18.7*(2/3*10)</f>
        <v>124.66666666666666</v>
      </c>
      <c r="E154" s="14">
        <f>604.8*(2/3*10)</f>
        <v>4031.9999999999995</v>
      </c>
      <c r="F154" s="14">
        <f>288.5*(2/3*10)</f>
        <v>1923.3333333333333</v>
      </c>
      <c r="G154" s="14">
        <f>75.2*(2/3*10)</f>
        <v>501.3333333333332</v>
      </c>
      <c r="H154" s="14">
        <f>28.1*(2/3*10)</f>
        <v>187.33333333333331</v>
      </c>
      <c r="I154" s="14">
        <f>18.4*(2/3*10)</f>
        <v>122.66666666666664</v>
      </c>
      <c r="K154" s="15">
        <v>151</v>
      </c>
      <c r="L154">
        <f t="shared" si="2"/>
        <v>7</v>
      </c>
    </row>
    <row r="155" spans="1:12" ht="16.5" x14ac:dyDescent="0.2">
      <c r="A155" s="4" t="s">
        <v>334</v>
      </c>
      <c r="B155">
        <v>2016</v>
      </c>
      <c r="C155" s="14">
        <f>307.1*(2/3*10)</f>
        <v>2047.3333333333333</v>
      </c>
      <c r="D155" s="14">
        <f>18.7*(2/3*10)</f>
        <v>124.66666666666666</v>
      </c>
      <c r="E155" s="14">
        <f>604.7*(2/3*10)</f>
        <v>4031.3333333333335</v>
      </c>
      <c r="F155" s="14">
        <f>288.1*(2/3*10)</f>
        <v>1920.6666666666667</v>
      </c>
      <c r="G155" s="14">
        <f>75.4*(2/3*10)</f>
        <v>502.66666666666669</v>
      </c>
      <c r="H155" s="14">
        <f>28.2*(2/3*10)</f>
        <v>187.99999999999997</v>
      </c>
      <c r="I155" s="14">
        <f>18.4*(2/3*10)</f>
        <v>122.66666666666664</v>
      </c>
      <c r="K155">
        <v>152</v>
      </c>
      <c r="L155">
        <f t="shared" si="2"/>
        <v>0</v>
      </c>
    </row>
    <row r="156" spans="1:12" ht="16.5" x14ac:dyDescent="0.2">
      <c r="A156" s="4" t="s">
        <v>333</v>
      </c>
      <c r="B156">
        <v>2009</v>
      </c>
      <c r="C156" s="14">
        <f>593.9*(2/3*10)</f>
        <v>3959.333333333333</v>
      </c>
      <c r="D156" s="14">
        <f>1.4*(2/3*10)</f>
        <v>9.3333333333333321</v>
      </c>
      <c r="E156" s="14">
        <f>327.1*(2/3*10)</f>
        <v>2180.6666666666665</v>
      </c>
      <c r="F156" s="14">
        <f>418.8*(2/3*10)</f>
        <v>2792</v>
      </c>
      <c r="G156" s="14">
        <f>74.9*(2/3*10)</f>
        <v>499.33333333333331</v>
      </c>
      <c r="H156" s="14">
        <f>45.2*(2/3*10)</f>
        <v>301.33333333333331</v>
      </c>
      <c r="I156" s="14">
        <f>41.9*(2/3*10)</f>
        <v>279.33333333333331</v>
      </c>
      <c r="K156" s="15">
        <v>153</v>
      </c>
      <c r="L156">
        <f t="shared" si="2"/>
        <v>1</v>
      </c>
    </row>
    <row r="157" spans="1:12" ht="16.5" x14ac:dyDescent="0.2">
      <c r="A157" s="4" t="s">
        <v>333</v>
      </c>
      <c r="B157">
        <v>2010</v>
      </c>
      <c r="C157" s="14">
        <f>593.8*(2/3*10)</f>
        <v>3958.6666666666661</v>
      </c>
      <c r="D157" s="14">
        <f>1.4*(2/3*10)</f>
        <v>9.3333333333333321</v>
      </c>
      <c r="E157" s="14">
        <f>326.6*(2/3*10)</f>
        <v>2177.3333333333335</v>
      </c>
      <c r="F157" s="14">
        <f>418.3*(2/3*10)</f>
        <v>2788.6666666666665</v>
      </c>
      <c r="G157" s="14">
        <f>76.2*(2/3*10)</f>
        <v>507.99999999999989</v>
      </c>
      <c r="H157" s="14">
        <f>45.3*(2/3*10)</f>
        <v>301.99999999999994</v>
      </c>
      <c r="I157" s="14">
        <f>41.8*(2/3*10)</f>
        <v>278.66666666666663</v>
      </c>
      <c r="K157">
        <v>154</v>
      </c>
      <c r="L157">
        <f t="shared" si="2"/>
        <v>2</v>
      </c>
    </row>
    <row r="158" spans="1:12" ht="16.5" x14ac:dyDescent="0.2">
      <c r="A158" s="4" t="s">
        <v>333</v>
      </c>
      <c r="B158">
        <v>2011</v>
      </c>
      <c r="C158" s="14">
        <f>593.8*(2/3*10)</f>
        <v>3958.6666666666661</v>
      </c>
      <c r="D158" s="14">
        <f>1.4*(2/3*10)</f>
        <v>9.3333333333333321</v>
      </c>
      <c r="E158" s="14">
        <f>326.4*(2/3*10)</f>
        <v>2175.9999999999995</v>
      </c>
      <c r="F158" s="14">
        <f>417.7*(2/3*10)</f>
        <v>2784.6666666666665</v>
      </c>
      <c r="G158" s="14">
        <f>77*(2/3*10)</f>
        <v>513.33333333333326</v>
      </c>
      <c r="H158" s="14">
        <f>45.3*(2/3*10)</f>
        <v>301.99999999999994</v>
      </c>
      <c r="I158" s="14">
        <f>41.7*(2/3*10)</f>
        <v>278</v>
      </c>
      <c r="K158" s="15">
        <v>155</v>
      </c>
      <c r="L158">
        <f t="shared" si="2"/>
        <v>3</v>
      </c>
    </row>
    <row r="159" spans="1:12" ht="16.5" x14ac:dyDescent="0.2">
      <c r="A159" s="4" t="s">
        <v>333</v>
      </c>
      <c r="B159">
        <v>2012</v>
      </c>
      <c r="C159" s="14">
        <f>594.1*(2/3*10)</f>
        <v>3960.6666666666665</v>
      </c>
      <c r="D159" s="14">
        <f>1.3*(2/3*10)</f>
        <v>8.6666666666666661</v>
      </c>
      <c r="E159" s="14">
        <f>325.8*(2/3*10)</f>
        <v>2172</v>
      </c>
      <c r="F159" s="14">
        <f>416.7*(2/3*10)</f>
        <v>2777.9999999999995</v>
      </c>
      <c r="G159" s="14">
        <f>78.1*(2/3*10)</f>
        <v>520.66666666666663</v>
      </c>
      <c r="H159" s="14">
        <f>47.2*(2/3*10)</f>
        <v>314.66666666666669</v>
      </c>
      <c r="I159" s="14">
        <f>41.8*(2/3*10)</f>
        <v>278.66666666666663</v>
      </c>
      <c r="K159">
        <v>156</v>
      </c>
      <c r="L159">
        <f t="shared" si="2"/>
        <v>4</v>
      </c>
    </row>
    <row r="160" spans="1:12" ht="16.5" x14ac:dyDescent="0.2">
      <c r="A160" s="4" t="s">
        <v>333</v>
      </c>
      <c r="B160">
        <v>2013</v>
      </c>
      <c r="C160" s="14">
        <f>594.1*(2/3*10)</f>
        <v>3960.6666666666665</v>
      </c>
      <c r="D160" s="14">
        <f>1.3*(2/3*10)</f>
        <v>8.6666666666666661</v>
      </c>
      <c r="E160" s="14">
        <f>325.3*(2/3*10)</f>
        <v>2168.6666666666665</v>
      </c>
      <c r="F160" s="14">
        <f>415.6*(2/3*10)</f>
        <v>2770.6666666666665</v>
      </c>
      <c r="G160" s="14">
        <f>79.8*(2/3*10)</f>
        <v>531.99999999999989</v>
      </c>
      <c r="H160" s="14">
        <f>48.1*(2/3*10)</f>
        <v>320.66666666666663</v>
      </c>
      <c r="I160" s="14">
        <f>41.3*(2/3*10)</f>
        <v>275.33333333333331</v>
      </c>
      <c r="K160" s="15">
        <v>157</v>
      </c>
      <c r="L160">
        <f t="shared" si="2"/>
        <v>5</v>
      </c>
    </row>
    <row r="161" spans="1:12" ht="16.5" x14ac:dyDescent="0.2">
      <c r="A161" s="4" t="s">
        <v>333</v>
      </c>
      <c r="B161">
        <v>2014</v>
      </c>
      <c r="C161" s="14">
        <f>593.1*(2/3*10)</f>
        <v>3954</v>
      </c>
      <c r="D161" s="14">
        <f>1.3*(2/3*10)</f>
        <v>8.6666666666666661</v>
      </c>
      <c r="E161" s="14">
        <f>324.8*(2/3*10)</f>
        <v>2165.333333333333</v>
      </c>
      <c r="F161" s="14">
        <f>415.2*(2/3*10)</f>
        <v>2767.9999999999995</v>
      </c>
      <c r="G161" s="14">
        <f>80.8*(2/3*10)</f>
        <v>538.66666666666663</v>
      </c>
      <c r="H161" s="14">
        <f>48.8*(2/3*10)</f>
        <v>325.33333333333326</v>
      </c>
      <c r="I161" s="14">
        <f>41.2*(2/3*10)</f>
        <v>274.66666666666669</v>
      </c>
      <c r="K161">
        <v>158</v>
      </c>
      <c r="L161">
        <f t="shared" si="2"/>
        <v>6</v>
      </c>
    </row>
    <row r="162" spans="1:12" ht="16.5" x14ac:dyDescent="0.2">
      <c r="A162" s="4" t="s">
        <v>333</v>
      </c>
      <c r="B162">
        <v>2015</v>
      </c>
      <c r="C162" s="14">
        <f>592.8*(2/3*10)</f>
        <v>3951.9999999999995</v>
      </c>
      <c r="D162" s="14">
        <f>1.3*(2/3*10)</f>
        <v>8.6666666666666661</v>
      </c>
      <c r="E162" s="14">
        <f>324.6*(2/3*10)</f>
        <v>2164</v>
      </c>
      <c r="F162" s="14">
        <f>414.7*(2/3*10)</f>
        <v>2764.6666666666665</v>
      </c>
      <c r="G162" s="14">
        <f>81.4*(2/3*10)</f>
        <v>542.66666666666663</v>
      </c>
      <c r="H162" s="14">
        <f>48.8*(2/3*10)</f>
        <v>325.33333333333326</v>
      </c>
      <c r="I162" s="14">
        <f>41.9*(2/3*10)</f>
        <v>279.33333333333331</v>
      </c>
      <c r="K162" s="15">
        <v>159</v>
      </c>
      <c r="L162">
        <f t="shared" si="2"/>
        <v>7</v>
      </c>
    </row>
    <row r="163" spans="1:12" ht="16.5" x14ac:dyDescent="0.2">
      <c r="A163" s="4" t="s">
        <v>333</v>
      </c>
      <c r="B163">
        <v>2016</v>
      </c>
      <c r="C163" s="14">
        <f>592.8*(2/3*10)</f>
        <v>3951.9999999999995</v>
      </c>
      <c r="D163" s="14">
        <f>1.3*(2/3*10)</f>
        <v>8.6666666666666661</v>
      </c>
      <c r="E163" s="14">
        <f>324.5*(2/3*10)</f>
        <v>2163.333333333333</v>
      </c>
      <c r="F163" s="14">
        <f>414.5*(2/3*10)</f>
        <v>2763.333333333333</v>
      </c>
      <c r="G163" s="14">
        <f>82*(2/3*10)</f>
        <v>546.66666666666663</v>
      </c>
      <c r="H163" s="14">
        <f>48.9*(2/3*10)</f>
        <v>325.99999999999994</v>
      </c>
      <c r="I163" s="14">
        <f>41.8*(2/3*10)</f>
        <v>278.66666666666663</v>
      </c>
      <c r="K163">
        <v>160</v>
      </c>
      <c r="L163">
        <f t="shared" si="2"/>
        <v>0</v>
      </c>
    </row>
    <row r="164" spans="1:12" ht="16.5" x14ac:dyDescent="0.2">
      <c r="A164" s="4" t="s">
        <v>332</v>
      </c>
      <c r="B164">
        <v>2009</v>
      </c>
      <c r="C164" s="14">
        <f>560.7*(2/3*10)</f>
        <v>3738</v>
      </c>
      <c r="D164" s="14">
        <f>44.6*(2/3*10)</f>
        <v>297.33333333333331</v>
      </c>
      <c r="E164" s="14">
        <f>793*(2/3*10)</f>
        <v>5286.6666666666661</v>
      </c>
      <c r="F164" s="14">
        <f>696.7*(2/3*10)</f>
        <v>4644.666666666667</v>
      </c>
      <c r="G164" s="14">
        <f>112.5*(2/3*10)</f>
        <v>749.99999999999989</v>
      </c>
      <c r="H164" s="14">
        <f>38.2*(2/3*10)</f>
        <v>254.66666666666666</v>
      </c>
      <c r="I164" s="14">
        <f>37.5*(2/3*10)</f>
        <v>249.99999999999997</v>
      </c>
      <c r="K164" s="15">
        <v>161</v>
      </c>
      <c r="L164">
        <f t="shared" si="2"/>
        <v>1</v>
      </c>
    </row>
    <row r="165" spans="1:12" ht="16.5" x14ac:dyDescent="0.2">
      <c r="A165" s="4" t="s">
        <v>332</v>
      </c>
      <c r="B165">
        <v>2010</v>
      </c>
      <c r="C165" s="14">
        <f>560.1*(2/3*10)</f>
        <v>3734</v>
      </c>
      <c r="D165" s="14">
        <f>43.7*(2/3*10)</f>
        <v>291.33333333333331</v>
      </c>
      <c r="E165" s="14">
        <f>792.7*(2/3*10)</f>
        <v>5284.6666666666661</v>
      </c>
      <c r="F165" s="14">
        <f>696*(2/3*10)</f>
        <v>4640</v>
      </c>
      <c r="G165" s="14">
        <f>113*(2/3*10)</f>
        <v>753.33333333333326</v>
      </c>
      <c r="H165" s="14">
        <f>40.1*(2/3*10)</f>
        <v>267.33333333333331</v>
      </c>
      <c r="I165" s="14">
        <f>37.6*(2/3*10)</f>
        <v>250.66666666666666</v>
      </c>
      <c r="K165">
        <v>162</v>
      </c>
      <c r="L165">
        <f t="shared" si="2"/>
        <v>2</v>
      </c>
    </row>
    <row r="166" spans="1:12" ht="16.5" x14ac:dyDescent="0.2">
      <c r="A166" s="4" t="s">
        <v>332</v>
      </c>
      <c r="B166">
        <v>2011</v>
      </c>
      <c r="C166" s="14">
        <f>560.1*(2/3*10)</f>
        <v>3734</v>
      </c>
      <c r="D166" s="14">
        <f>43.4*(2/3*10)</f>
        <v>289.33333333333331</v>
      </c>
      <c r="E166" s="14">
        <f>792.4*(2/3*10)</f>
        <v>5282.6666666666661</v>
      </c>
      <c r="F166" s="14">
        <f>694.8*(2/3*10)</f>
        <v>4631.9999999999991</v>
      </c>
      <c r="G166" s="14">
        <f>114.2*(2/3*10)</f>
        <v>761.33333333333326</v>
      </c>
      <c r="H166" s="14">
        <f>40.7*(2/3*10)</f>
        <v>271.33333333333331</v>
      </c>
      <c r="I166" s="14">
        <f>37.4*(2/3*10)</f>
        <v>249.33333333333331</v>
      </c>
      <c r="K166" s="15">
        <v>163</v>
      </c>
      <c r="L166">
        <f t="shared" si="2"/>
        <v>3</v>
      </c>
    </row>
    <row r="167" spans="1:12" ht="16.5" x14ac:dyDescent="0.2">
      <c r="A167" s="4" t="s">
        <v>332</v>
      </c>
      <c r="B167">
        <v>2012</v>
      </c>
      <c r="C167" s="14">
        <f>560.3*(2/3*10)</f>
        <v>3735.3333333333326</v>
      </c>
      <c r="D167" s="14">
        <f>43.1*(2/3*10)</f>
        <v>287.33333333333331</v>
      </c>
      <c r="E167" s="14">
        <f>791.6*(2/3*10)</f>
        <v>5277.333333333333</v>
      </c>
      <c r="F167" s="14">
        <f>693*(2/3*10)</f>
        <v>4620</v>
      </c>
      <c r="G167" s="14">
        <f>115.7*(2/3*10)</f>
        <v>771.33333333333314</v>
      </c>
      <c r="H167" s="14">
        <f>41.4*(2/3*10)</f>
        <v>275.99999999999994</v>
      </c>
      <c r="I167" s="14">
        <f>37.5*(2/3*10)</f>
        <v>249.99999999999997</v>
      </c>
      <c r="K167">
        <v>164</v>
      </c>
      <c r="L167">
        <f t="shared" si="2"/>
        <v>4</v>
      </c>
    </row>
    <row r="168" spans="1:12" ht="16.5" x14ac:dyDescent="0.2">
      <c r="A168" s="4" t="s">
        <v>332</v>
      </c>
      <c r="B168">
        <v>2013</v>
      </c>
      <c r="C168" s="14">
        <f>560.5*(2/3*10)</f>
        <v>3736.6666666666665</v>
      </c>
      <c r="D168" s="14">
        <f>43*(2/3*10)</f>
        <v>286.66666666666663</v>
      </c>
      <c r="E168" s="14">
        <f>791.1*(2/3*10)</f>
        <v>5274</v>
      </c>
      <c r="F168" s="14">
        <f>691.5*(2/3*10)</f>
        <v>4610</v>
      </c>
      <c r="G168" s="14">
        <f>116.9*(2/3*10)</f>
        <v>779.33333333333326</v>
      </c>
      <c r="H168" s="14">
        <f>42*(2/3*10)</f>
        <v>280</v>
      </c>
      <c r="I168" s="14">
        <f>37.4*(2/3*10)</f>
        <v>249.33333333333331</v>
      </c>
      <c r="K168" s="15">
        <v>165</v>
      </c>
      <c r="L168">
        <f t="shared" si="2"/>
        <v>5</v>
      </c>
    </row>
    <row r="169" spans="1:12" ht="16.5" x14ac:dyDescent="0.2">
      <c r="A169" s="4" t="s">
        <v>332</v>
      </c>
      <c r="B169">
        <v>2014</v>
      </c>
      <c r="C169" s="14">
        <f>559.8*(2/3*10)</f>
        <v>3731.9999999999995</v>
      </c>
      <c r="D169" s="14">
        <f>42.8*(2/3*10)</f>
        <v>285.33333333333331</v>
      </c>
      <c r="E169" s="14">
        <f>790.5*(2/3*10)</f>
        <v>5269.9999999999991</v>
      </c>
      <c r="F169" s="14">
        <f>690.5*(2/3*10)</f>
        <v>4603.333333333333</v>
      </c>
      <c r="G169" s="14">
        <f>118.3*(2/3*10)</f>
        <v>788.66666666666663</v>
      </c>
      <c r="H169" s="14">
        <f>42.8*(2/3*10)</f>
        <v>285.33333333333331</v>
      </c>
      <c r="I169" s="14">
        <f>37.3*(2/3*10)</f>
        <v>248.66666666666663</v>
      </c>
      <c r="K169">
        <v>166</v>
      </c>
      <c r="L169">
        <f t="shared" si="2"/>
        <v>6</v>
      </c>
    </row>
    <row r="170" spans="1:12" ht="16.5" x14ac:dyDescent="0.2">
      <c r="A170" s="4" t="s">
        <v>332</v>
      </c>
      <c r="B170">
        <v>2015</v>
      </c>
      <c r="C170" s="14">
        <f>560.1*(2/3*10)</f>
        <v>3734</v>
      </c>
      <c r="D170" s="14">
        <f>42.7*(2/3*10)</f>
        <v>284.66666666666669</v>
      </c>
      <c r="E170" s="14">
        <f>790*(2/3*10)</f>
        <v>5266.6666666666661</v>
      </c>
      <c r="F170" s="14">
        <f>688.9*(2/3*10)</f>
        <v>4592.6666666666661</v>
      </c>
      <c r="G170" s="14">
        <f>119.8*(2/3*10)</f>
        <v>798.66666666666652</v>
      </c>
      <c r="H170" s="14">
        <f>43*(2/3*10)</f>
        <v>286.66666666666663</v>
      </c>
      <c r="I170" s="14">
        <f>37.1*(2/3*10)</f>
        <v>247.33333333333331</v>
      </c>
      <c r="K170" s="15">
        <v>167</v>
      </c>
      <c r="L170">
        <f t="shared" si="2"/>
        <v>7</v>
      </c>
    </row>
    <row r="171" spans="1:12" ht="16.5" x14ac:dyDescent="0.2">
      <c r="A171" s="4" t="s">
        <v>332</v>
      </c>
      <c r="B171">
        <v>2016</v>
      </c>
      <c r="C171" s="14">
        <f>559.2*(2/3*10)</f>
        <v>3728</v>
      </c>
      <c r="D171" s="14">
        <f>42.6*(2/3*10)</f>
        <v>284</v>
      </c>
      <c r="E171" s="14">
        <f>789.9*(2/3*10)</f>
        <v>5265.9999999999991</v>
      </c>
      <c r="F171" s="14">
        <f>688.3*(2/3*10)</f>
        <v>4588.6666666666661</v>
      </c>
      <c r="G171" s="14">
        <f>120.9*(2/3*10)</f>
        <v>805.99999999999989</v>
      </c>
      <c r="H171" s="14">
        <f>43.3*(2/3*10)</f>
        <v>288.66666666666663</v>
      </c>
      <c r="I171" s="14">
        <f>37.4*(2/3*10)</f>
        <v>249.33333333333331</v>
      </c>
      <c r="K171">
        <v>168</v>
      </c>
      <c r="L171">
        <f t="shared" si="2"/>
        <v>0</v>
      </c>
    </row>
    <row r="172" spans="1:12" ht="16.5" x14ac:dyDescent="0.2">
      <c r="A172" s="4" t="s">
        <v>331</v>
      </c>
      <c r="B172">
        <v>2009</v>
      </c>
      <c r="C172" s="14">
        <f>758.2*(2/3*10)</f>
        <v>5054.666666666667</v>
      </c>
      <c r="D172" s="14">
        <f>239.5*(2/3*10)</f>
        <v>1596.6666666666665</v>
      </c>
      <c r="E172" s="14">
        <f>502.1*(2/3*10)</f>
        <v>3347.333333333333</v>
      </c>
      <c r="F172" s="14">
        <f>214.4*(2/3*10)</f>
        <v>1429.3333333333333</v>
      </c>
      <c r="G172" s="14">
        <f>189*(2/3*10)</f>
        <v>1260</v>
      </c>
      <c r="H172" s="14">
        <f>43.4*(2/3*10)</f>
        <v>289.33333333333331</v>
      </c>
      <c r="I172" s="14">
        <f>87.1*(2/3*10)</f>
        <v>580.66666666666663</v>
      </c>
      <c r="K172" s="15">
        <v>169</v>
      </c>
      <c r="L172">
        <f t="shared" si="2"/>
        <v>1</v>
      </c>
    </row>
    <row r="173" spans="1:12" ht="16.5" x14ac:dyDescent="0.2">
      <c r="A173" s="4" t="s">
        <v>331</v>
      </c>
      <c r="B173">
        <v>2010</v>
      </c>
      <c r="C173" s="14">
        <f>756.6*(2/3*10)</f>
        <v>5044</v>
      </c>
      <c r="D173" s="14">
        <f>238.4*(2/3*10)</f>
        <v>1589.3333333333333</v>
      </c>
      <c r="E173" s="14">
        <f>501.6*(2/3*10)</f>
        <v>3344</v>
      </c>
      <c r="F173" s="14">
        <f>214.1*(2/3*10)</f>
        <v>1427.3333333333333</v>
      </c>
      <c r="G173" s="14">
        <f>189.9*(2/3*10)</f>
        <v>1265.9999999999998</v>
      </c>
      <c r="H173" s="14">
        <f>43.5*(2/3*10)</f>
        <v>290</v>
      </c>
      <c r="I173" s="14">
        <f>88.8*(2/3*10)</f>
        <v>591.99999999999989</v>
      </c>
      <c r="K173">
        <v>170</v>
      </c>
      <c r="L173">
        <f t="shared" si="2"/>
        <v>2</v>
      </c>
    </row>
    <row r="174" spans="1:12" ht="16.5" x14ac:dyDescent="0.2">
      <c r="A174" s="4" t="s">
        <v>331</v>
      </c>
      <c r="B174">
        <v>2011</v>
      </c>
      <c r="C174" s="14">
        <f>756.5*(2/3*10)</f>
        <v>5043.333333333333</v>
      </c>
      <c r="D174" s="14">
        <f>238.1*(2/3*10)</f>
        <v>1587.3333333333333</v>
      </c>
      <c r="E174" s="14">
        <f>501.5*(2/3*10)</f>
        <v>3343.333333333333</v>
      </c>
      <c r="F174" s="14">
        <f>213.9*(2/3*10)</f>
        <v>1426</v>
      </c>
      <c r="G174" s="14">
        <f>190.9*(2/3*10)</f>
        <v>1272.6666666666665</v>
      </c>
      <c r="H174" s="14">
        <f>43.8*(2/3*10)</f>
        <v>291.99999999999994</v>
      </c>
      <c r="I174" s="14">
        <f>88.1*(2/3*10)</f>
        <v>587.33333333333326</v>
      </c>
      <c r="K174" s="15">
        <v>171</v>
      </c>
      <c r="L174">
        <f t="shared" si="2"/>
        <v>3</v>
      </c>
    </row>
    <row r="175" spans="1:12" ht="16.5" x14ac:dyDescent="0.2">
      <c r="A175" s="4" t="s">
        <v>331</v>
      </c>
      <c r="B175">
        <v>2012</v>
      </c>
      <c r="C175" s="14">
        <f>757.2*(2/3*10)</f>
        <v>5048</v>
      </c>
      <c r="D175" s="14">
        <f>237.2*(2/3*10)</f>
        <v>1581.333333333333</v>
      </c>
      <c r="E175" s="14">
        <f>501.2*(2/3*10)</f>
        <v>3341.333333333333</v>
      </c>
      <c r="F175" s="14">
        <f>212.4*(2/3*10)</f>
        <v>1416</v>
      </c>
      <c r="G175" s="14">
        <f>191.9*(2/3*10)</f>
        <v>1279.3333333333333</v>
      </c>
      <c r="H175" s="14">
        <f>45.1*(2/3*10)</f>
        <v>300.66666666666663</v>
      </c>
      <c r="I175" s="14">
        <f>87.7*(2/3*10)</f>
        <v>584.66666666666663</v>
      </c>
      <c r="K175">
        <v>172</v>
      </c>
      <c r="L175">
        <f t="shared" si="2"/>
        <v>4</v>
      </c>
    </row>
    <row r="176" spans="1:12" ht="16.5" x14ac:dyDescent="0.2">
      <c r="A176" s="4" t="s">
        <v>331</v>
      </c>
      <c r="B176">
        <v>2013</v>
      </c>
      <c r="C176" s="14">
        <f>756.8*(2/3*10)</f>
        <v>5045.333333333333</v>
      </c>
      <c r="D176" s="14">
        <f>236.4*(2/3*10)</f>
        <v>1576</v>
      </c>
      <c r="E176" s="14">
        <f>501*(2/3*10)</f>
        <v>3339.9999999999995</v>
      </c>
      <c r="F176" s="14">
        <f>211.6*(2/3*10)</f>
        <v>1410.6666666666665</v>
      </c>
      <c r="G176" s="14">
        <f>193.3*(2/3*10)</f>
        <v>1288.6666666666665</v>
      </c>
      <c r="H176" s="14">
        <f>45.9*(2/3*10)</f>
        <v>305.99999999999994</v>
      </c>
      <c r="I176" s="14">
        <f>87.6*(2/3*10)</f>
        <v>583.99999999999989</v>
      </c>
      <c r="K176" s="15">
        <v>173</v>
      </c>
      <c r="L176">
        <f t="shared" si="2"/>
        <v>5</v>
      </c>
    </row>
    <row r="177" spans="1:12" ht="16.5" x14ac:dyDescent="0.2">
      <c r="A177" s="4" t="s">
        <v>331</v>
      </c>
      <c r="B177">
        <v>2014</v>
      </c>
      <c r="C177" s="14">
        <f>755.9*(2/3*10)</f>
        <v>5039.333333333333</v>
      </c>
      <c r="D177" s="14">
        <f>235.7*(2/3*10)</f>
        <v>1571.333333333333</v>
      </c>
      <c r="E177" s="14">
        <f>500.8*(2/3*10)</f>
        <v>3338.6666666666665</v>
      </c>
      <c r="F177" s="14">
        <f>210.9*(2/3*10)</f>
        <v>1406</v>
      </c>
      <c r="G177" s="14">
        <f>195.5*(2/3*10)</f>
        <v>1303.3333333333333</v>
      </c>
      <c r="H177" s="14">
        <f>46.2*(2/3*10)</f>
        <v>308</v>
      </c>
      <c r="I177" s="14">
        <f>87.2*(2/3*10)</f>
        <v>581.33333333333326</v>
      </c>
      <c r="K177">
        <v>174</v>
      </c>
      <c r="L177">
        <f t="shared" si="2"/>
        <v>6</v>
      </c>
    </row>
    <row r="178" spans="1:12" ht="16.5" x14ac:dyDescent="0.2">
      <c r="A178" s="4" t="s">
        <v>331</v>
      </c>
      <c r="B178">
        <v>2015</v>
      </c>
      <c r="C178" s="14">
        <f>758.3*(2/3*10)</f>
        <v>5055.333333333333</v>
      </c>
      <c r="D178" s="14">
        <f>235.3*(2/3*10)</f>
        <v>1568.6666666666665</v>
      </c>
      <c r="E178" s="14">
        <f>500.7*(2/3*10)</f>
        <v>3337.9999999999995</v>
      </c>
      <c r="F178" s="14">
        <f>209.9*(2/3*10)</f>
        <v>1399.3333333333333</v>
      </c>
      <c r="G178" s="14">
        <f>195.7*(2/3*10)</f>
        <v>1304.6666666666667</v>
      </c>
      <c r="H178" s="14">
        <f>46.3*(2/3*10)</f>
        <v>308.66666666666663</v>
      </c>
      <c r="I178" s="14">
        <f>85.6*(2/3*10)</f>
        <v>570.66666666666663</v>
      </c>
      <c r="K178" s="15">
        <v>175</v>
      </c>
      <c r="L178">
        <f t="shared" si="2"/>
        <v>7</v>
      </c>
    </row>
    <row r="179" spans="1:12" ht="16.5" x14ac:dyDescent="0.2">
      <c r="A179" s="4" t="s">
        <v>331</v>
      </c>
      <c r="B179">
        <v>2016</v>
      </c>
      <c r="C179" s="14">
        <f>757.7*(2/3*10)</f>
        <v>5051.333333333333</v>
      </c>
      <c r="D179" s="14">
        <f>235.1*(2/3*10)</f>
        <v>1567.3333333333333</v>
      </c>
      <c r="E179" s="14">
        <f>500.5*(2/3*10)</f>
        <v>3336.6666666666665</v>
      </c>
      <c r="F179" s="14">
        <f>209.7*(2/3*10)</f>
        <v>1397.9999999999998</v>
      </c>
      <c r="G179" s="14">
        <f>196.2*(2/3*10)</f>
        <v>1308</v>
      </c>
      <c r="H179" s="14">
        <f>46.4*(2/3*10)</f>
        <v>309.33333333333331</v>
      </c>
      <c r="I179" s="14">
        <f>85.4*(2/3*10)</f>
        <v>569.33333333333337</v>
      </c>
      <c r="K179">
        <v>176</v>
      </c>
      <c r="L179">
        <f t="shared" si="2"/>
        <v>0</v>
      </c>
    </row>
    <row r="180" spans="1:12" ht="16.5" x14ac:dyDescent="0.2">
      <c r="A180" s="4" t="s">
        <v>330</v>
      </c>
      <c r="B180">
        <v>2009</v>
      </c>
      <c r="C180" s="14">
        <f>949.7*(2/3*10)</f>
        <v>6331.333333333333</v>
      </c>
      <c r="D180" s="14">
        <f>53.9*(2/3*10)</f>
        <v>359.33333333333331</v>
      </c>
      <c r="E180" s="14">
        <f>938.1*(2/3*10)</f>
        <v>6254</v>
      </c>
      <c r="F180" s="14">
        <f>1450.1*(2/3*10)</f>
        <v>9667.3333333333321</v>
      </c>
      <c r="G180" s="14">
        <f>115.4*(2/3*10)</f>
        <v>769.33333333333326</v>
      </c>
      <c r="H180" s="14">
        <f>43.1*(2/3*10)</f>
        <v>287.33333333333331</v>
      </c>
      <c r="I180" s="14">
        <f>66.6*(2/3*10)</f>
        <v>443.99999999999994</v>
      </c>
      <c r="K180" s="15">
        <v>177</v>
      </c>
      <c r="L180">
        <f t="shared" si="2"/>
        <v>1</v>
      </c>
    </row>
    <row r="181" spans="1:12" ht="16.5" x14ac:dyDescent="0.2">
      <c r="A181" s="4" t="s">
        <v>330</v>
      </c>
      <c r="B181">
        <v>2010</v>
      </c>
      <c r="C181" s="14">
        <f>949.3*(2/3*10)</f>
        <v>6328.6666666666661</v>
      </c>
      <c r="D181" s="14">
        <f>53.8*(2/3*10)</f>
        <v>358.66666666666663</v>
      </c>
      <c r="E181" s="14">
        <f>938*(2/3*10)</f>
        <v>6253.333333333333</v>
      </c>
      <c r="F181" s="14">
        <f>1449.4*(2/3*10)</f>
        <v>9662.6666666666661</v>
      </c>
      <c r="G181" s="14">
        <f>116.4*(2/3*10)</f>
        <v>776</v>
      </c>
      <c r="H181" s="14">
        <f>43.4*(2/3*10)</f>
        <v>289.33333333333331</v>
      </c>
      <c r="I181" s="14">
        <f>66.3*(2/3*10)</f>
        <v>441.99999999999994</v>
      </c>
      <c r="K181">
        <v>178</v>
      </c>
      <c r="L181">
        <f t="shared" si="2"/>
        <v>2</v>
      </c>
    </row>
    <row r="182" spans="1:12" ht="16.5" x14ac:dyDescent="0.2">
      <c r="A182" s="4" t="s">
        <v>330</v>
      </c>
      <c r="B182">
        <v>2011</v>
      </c>
      <c r="C182" s="14">
        <f>949.5*(2/3*10)</f>
        <v>6329.9999999999991</v>
      </c>
      <c r="D182" s="14">
        <f>53.8*(2/3*10)</f>
        <v>358.66666666666663</v>
      </c>
      <c r="E182" s="14">
        <f>937.8*(2/3*10)</f>
        <v>6251.9999999999991</v>
      </c>
      <c r="F182" s="14">
        <f>1448.3*(2/3*10)</f>
        <v>9655.3333333333321</v>
      </c>
      <c r="G182" s="14">
        <f>117.1*(2/3*10)</f>
        <v>780.66666666666663</v>
      </c>
      <c r="H182" s="14">
        <f>43.8*(2/3*10)</f>
        <v>291.99999999999994</v>
      </c>
      <c r="I182" s="14">
        <f>66.1*(2/3*10)</f>
        <v>440.66666666666657</v>
      </c>
      <c r="K182" s="15">
        <v>179</v>
      </c>
      <c r="L182">
        <f t="shared" si="2"/>
        <v>3</v>
      </c>
    </row>
    <row r="183" spans="1:12" ht="16.5" x14ac:dyDescent="0.2">
      <c r="A183" s="4" t="s">
        <v>330</v>
      </c>
      <c r="B183">
        <v>2012</v>
      </c>
      <c r="C183" s="14">
        <f>949.9*(2/3*10)</f>
        <v>6332.6666666666661</v>
      </c>
      <c r="D183" s="14">
        <f>53.7*(2/3*10)</f>
        <v>358</v>
      </c>
      <c r="E183" s="14">
        <f>937.5*(2/3*10)</f>
        <v>6249.9999999999991</v>
      </c>
      <c r="F183" s="14">
        <f>1446.3*(2/3*10)</f>
        <v>9641.9999999999982</v>
      </c>
      <c r="G183" s="14">
        <f>118*(2/3*10)</f>
        <v>786.66666666666663</v>
      </c>
      <c r="H183" s="14">
        <f>45.3*(2/3*10)</f>
        <v>301.99999999999994</v>
      </c>
      <c r="I183" s="14">
        <f>65.8*(2/3*10)</f>
        <v>438.66666666666663</v>
      </c>
      <c r="K183">
        <v>180</v>
      </c>
      <c r="L183">
        <f t="shared" si="2"/>
        <v>4</v>
      </c>
    </row>
    <row r="184" spans="1:12" ht="16.5" x14ac:dyDescent="0.2">
      <c r="A184" s="4" t="s">
        <v>330</v>
      </c>
      <c r="B184">
        <v>2013</v>
      </c>
      <c r="C184" s="14">
        <f>949.8*(2/3*10)</f>
        <v>6331.9999999999991</v>
      </c>
      <c r="D184" s="14">
        <f>53.6*(2/3*10)</f>
        <v>357.33333333333331</v>
      </c>
      <c r="E184" s="14">
        <f>937*(2/3*10)</f>
        <v>6246.6666666666661</v>
      </c>
      <c r="F184" s="14">
        <f>1443.9*(2/3*10)</f>
        <v>9626</v>
      </c>
      <c r="G184" s="14">
        <f>119.6*(2/3*10)</f>
        <v>797.33333333333337</v>
      </c>
      <c r="H184" s="14">
        <f>47.4*(2/3*10)</f>
        <v>315.99999999999994</v>
      </c>
      <c r="I184" s="14">
        <f>65.2*(2/3*10)</f>
        <v>434.66666666666663</v>
      </c>
      <c r="K184" s="15">
        <v>181</v>
      </c>
      <c r="L184">
        <f t="shared" si="2"/>
        <v>5</v>
      </c>
    </row>
    <row r="185" spans="1:12" ht="16.5" x14ac:dyDescent="0.2">
      <c r="A185" s="4" t="s">
        <v>330</v>
      </c>
      <c r="B185">
        <v>2014</v>
      </c>
      <c r="C185" s="14">
        <f>949.7*(2/3*10)</f>
        <v>6331.333333333333</v>
      </c>
      <c r="D185" s="14">
        <f>53.5*(2/3*10)</f>
        <v>356.66666666666663</v>
      </c>
      <c r="E185" s="14">
        <f>936.8*(2/3*10)</f>
        <v>6245.3333333333321</v>
      </c>
      <c r="F185" s="14">
        <f>1442.2*(2/3*10)</f>
        <v>9614.6666666666661</v>
      </c>
      <c r="G185" s="14">
        <f>121.2*(2/3*10)</f>
        <v>808</v>
      </c>
      <c r="H185" s="14">
        <f>48.1*(2/3*10)</f>
        <v>320.66666666666663</v>
      </c>
      <c r="I185" s="14">
        <f>64.8*(2/3*10)</f>
        <v>431.99999999999994</v>
      </c>
      <c r="K185">
        <v>182</v>
      </c>
      <c r="L185">
        <f t="shared" si="2"/>
        <v>6</v>
      </c>
    </row>
    <row r="186" spans="1:12" ht="16.5" x14ac:dyDescent="0.2">
      <c r="A186" s="4" t="s">
        <v>330</v>
      </c>
      <c r="B186">
        <v>2015</v>
      </c>
      <c r="C186" s="14">
        <f>950.2*(2/3*10)</f>
        <v>6334.6666666666661</v>
      </c>
      <c r="D186" s="14">
        <f>53.3*(2/3*10)</f>
        <v>355.33333333333326</v>
      </c>
      <c r="E186" s="14">
        <f>936.6*(2/3*10)</f>
        <v>6244</v>
      </c>
      <c r="F186" s="14">
        <f>1440.4*(2/3*10)</f>
        <v>9602.6666666666661</v>
      </c>
      <c r="G186" s="14">
        <f>122.7*(2/3*10)</f>
        <v>817.99999999999989</v>
      </c>
      <c r="H186" s="14">
        <f>48.7*(2/3*10)</f>
        <v>324.66666666666663</v>
      </c>
      <c r="I186" s="14">
        <f>64*(2/3*10)</f>
        <v>426.66666666666663</v>
      </c>
      <c r="K186" s="15">
        <v>183</v>
      </c>
      <c r="L186">
        <f t="shared" si="2"/>
        <v>7</v>
      </c>
    </row>
    <row r="187" spans="1:12" ht="16.5" x14ac:dyDescent="0.2">
      <c r="A187" s="4" t="s">
        <v>330</v>
      </c>
      <c r="B187">
        <v>2016</v>
      </c>
      <c r="C187" s="14">
        <f>950.3*(2/3*10)</f>
        <v>6335.3333333333321</v>
      </c>
      <c r="D187" s="14">
        <f>53.3*(2/3*10)</f>
        <v>355.33333333333326</v>
      </c>
      <c r="E187" s="14">
        <f>936.3*(2/3*10)</f>
        <v>6241.9999999999991</v>
      </c>
      <c r="F187" s="14">
        <f>1439.6*(2/3*10)</f>
        <v>9597.3333333333321</v>
      </c>
      <c r="G187" s="14">
        <f>123.5*(2/3*10)</f>
        <v>823.33333333333314</v>
      </c>
      <c r="H187" s="14">
        <f>49.3*(2/3*10)</f>
        <v>328.66666666666663</v>
      </c>
      <c r="I187" s="14">
        <f>63.6*(2/3*10)</f>
        <v>424</v>
      </c>
      <c r="K187">
        <v>184</v>
      </c>
      <c r="L187">
        <f t="shared" si="2"/>
        <v>0</v>
      </c>
    </row>
    <row r="188" spans="1:12" ht="16.5" x14ac:dyDescent="0.2">
      <c r="A188" s="4" t="s">
        <v>329</v>
      </c>
      <c r="B188">
        <v>2009</v>
      </c>
      <c r="C188" s="14">
        <f>761.2*(2/3*10)</f>
        <v>5074.666666666667</v>
      </c>
      <c r="D188" s="14">
        <f>61.3*(2/3*10)</f>
        <v>408.66666666666663</v>
      </c>
      <c r="E188" s="14">
        <f>1128.1*(2/3*10)</f>
        <v>7520.6666666666652</v>
      </c>
      <c r="F188" s="14">
        <f>733*(2/3*10)</f>
        <v>4886.6666666666661</v>
      </c>
      <c r="G188" s="14">
        <f>161.8*(2/3*10)</f>
        <v>1078.6666666666667</v>
      </c>
      <c r="H188" s="14">
        <f>48*(2/3*10)</f>
        <v>320</v>
      </c>
      <c r="I188" s="14">
        <f>33.3*(2/3*10)</f>
        <v>221.99999999999997</v>
      </c>
      <c r="K188" s="15">
        <v>185</v>
      </c>
      <c r="L188">
        <f t="shared" si="2"/>
        <v>1</v>
      </c>
    </row>
    <row r="189" spans="1:12" ht="16.5" x14ac:dyDescent="0.2">
      <c r="A189" s="4" t="s">
        <v>329</v>
      </c>
      <c r="B189">
        <v>2010</v>
      </c>
      <c r="C189" s="14">
        <f>760.8*(2/3*10)</f>
        <v>5071.9999999999991</v>
      </c>
      <c r="D189" s="14">
        <f>61*(2/3*10)</f>
        <v>406.66666666666663</v>
      </c>
      <c r="E189" s="14">
        <f>1127.4*(2/3*10)</f>
        <v>7516</v>
      </c>
      <c r="F189" s="14">
        <f>732.5*(2/3*10)</f>
        <v>4883.333333333333</v>
      </c>
      <c r="G189" s="14">
        <f>162.8*(2/3*10)</f>
        <v>1085.3333333333333</v>
      </c>
      <c r="H189" s="14">
        <f>48.9*(2/3*10)</f>
        <v>325.99999999999994</v>
      </c>
      <c r="I189" s="14">
        <f>33.5*(2/3*10)</f>
        <v>223.33333333333331</v>
      </c>
      <c r="K189">
        <v>186</v>
      </c>
      <c r="L189">
        <f t="shared" si="2"/>
        <v>2</v>
      </c>
    </row>
    <row r="190" spans="1:12" ht="16.5" x14ac:dyDescent="0.2">
      <c r="A190" s="4" t="s">
        <v>329</v>
      </c>
      <c r="B190">
        <v>2011</v>
      </c>
      <c r="C190" s="14">
        <f>761.2*(2/3*10)</f>
        <v>5074.666666666667</v>
      </c>
      <c r="D190" s="14">
        <f>60.9*(2/3*10)</f>
        <v>405.99999999999994</v>
      </c>
      <c r="E190" s="14">
        <f>1126.5*(2/3*10)</f>
        <v>7509.9999999999991</v>
      </c>
      <c r="F190" s="14">
        <f>731.6*(2/3*10)</f>
        <v>4877.333333333333</v>
      </c>
      <c r="G190" s="14">
        <f>163.2*(2/3*10)</f>
        <v>1087.9999999999998</v>
      </c>
      <c r="H190" s="14">
        <f>49.8*(2/3*10)</f>
        <v>331.99999999999994</v>
      </c>
      <c r="I190" s="14">
        <f>33.4*(2/3*10)</f>
        <v>222.66666666666663</v>
      </c>
      <c r="K190" s="15">
        <v>187</v>
      </c>
      <c r="L190">
        <f t="shared" si="2"/>
        <v>3</v>
      </c>
    </row>
    <row r="191" spans="1:12" ht="16.5" x14ac:dyDescent="0.2">
      <c r="A191" s="4" t="s">
        <v>329</v>
      </c>
      <c r="B191">
        <v>2012</v>
      </c>
      <c r="C191" s="14">
        <f>761.3*(2/3*10)</f>
        <v>5075.333333333333</v>
      </c>
      <c r="D191" s="14">
        <f>60.8*(2/3*10)</f>
        <v>405.33333333333326</v>
      </c>
      <c r="E191" s="14">
        <f>1126.3*(2/3*10)</f>
        <v>7508.6666666666661</v>
      </c>
      <c r="F191" s="14">
        <f>730.3*(2/3*10)</f>
        <v>4868.6666666666661</v>
      </c>
      <c r="G191" s="14">
        <f>164.5*(2/3*10)</f>
        <v>1096.6666666666665</v>
      </c>
      <c r="H191" s="14">
        <f>49.9*(2/3*10)</f>
        <v>332.66666666666663</v>
      </c>
      <c r="I191" s="14">
        <f>33.4*(2/3*10)</f>
        <v>222.66666666666663</v>
      </c>
      <c r="K191">
        <v>188</v>
      </c>
      <c r="L191">
        <f t="shared" si="2"/>
        <v>4</v>
      </c>
    </row>
    <row r="192" spans="1:12" ht="16.5" x14ac:dyDescent="0.2">
      <c r="A192" s="4" t="s">
        <v>329</v>
      </c>
      <c r="B192">
        <v>2013</v>
      </c>
      <c r="C192" s="14">
        <f>759.8*(2/3*10)</f>
        <v>5065.333333333333</v>
      </c>
      <c r="D192" s="14">
        <f>60.5*(2/3*10)</f>
        <v>403.33333333333331</v>
      </c>
      <c r="E192" s="14">
        <f>1125.7*(2/3*10)</f>
        <v>7504.6666666666661</v>
      </c>
      <c r="F192" s="14">
        <f>729.4*(2/3*10)</f>
        <v>4862.6666666666661</v>
      </c>
      <c r="G192" s="14">
        <f>165.7*(2/3*10)</f>
        <v>1104.6666666666665</v>
      </c>
      <c r="H192" s="14">
        <f>52*(2/3*10)</f>
        <v>346.66666666666663</v>
      </c>
      <c r="I192" s="14">
        <f>33.3*(2/3*10)</f>
        <v>221.99999999999997</v>
      </c>
      <c r="K192" s="15">
        <v>189</v>
      </c>
      <c r="L192">
        <f t="shared" si="2"/>
        <v>5</v>
      </c>
    </row>
    <row r="193" spans="1:12" ht="16.5" x14ac:dyDescent="0.2">
      <c r="A193" s="4" t="s">
        <v>329</v>
      </c>
      <c r="B193">
        <v>2014</v>
      </c>
      <c r="C193" s="14">
        <f>758.3*(2/3*10)</f>
        <v>5055.333333333333</v>
      </c>
      <c r="D193" s="14">
        <f>60.3*(2/3*10)</f>
        <v>401.99999999999994</v>
      </c>
      <c r="E193" s="14">
        <f>1125.3*(2/3*10)</f>
        <v>7501.9999999999991</v>
      </c>
      <c r="F193" s="14">
        <f>728*(2/3*10)</f>
        <v>4853.333333333333</v>
      </c>
      <c r="G193" s="14">
        <f>167.4*(2/3*10)</f>
        <v>1116</v>
      </c>
      <c r="H193" s="14">
        <f>53.4*(2/3*10)</f>
        <v>355.99999999999994</v>
      </c>
      <c r="I193" s="14">
        <f>33.2*(2/3*10)</f>
        <v>221.33333333333334</v>
      </c>
      <c r="K193">
        <v>190</v>
      </c>
      <c r="L193">
        <f t="shared" si="2"/>
        <v>6</v>
      </c>
    </row>
    <row r="194" spans="1:12" ht="16.5" x14ac:dyDescent="0.2">
      <c r="A194" s="4" t="s">
        <v>329</v>
      </c>
      <c r="B194">
        <v>2015</v>
      </c>
      <c r="C194" s="14">
        <f>758.8*(2/3*10)</f>
        <v>5058.6666666666661</v>
      </c>
      <c r="D194" s="14">
        <f>60.2*(2/3*10)</f>
        <v>401.33333333333331</v>
      </c>
      <c r="E194" s="14">
        <f>1125.2*(2/3*10)</f>
        <v>7501.333333333333</v>
      </c>
      <c r="F194" s="14">
        <f>726.8*(2/3*10)</f>
        <v>4845.333333333333</v>
      </c>
      <c r="G194" s="14">
        <f>168.2*(2/3*10)</f>
        <v>1121.3333333333333</v>
      </c>
      <c r="H194" s="14">
        <f>53.6*(2/3*10)</f>
        <v>357.33333333333331</v>
      </c>
      <c r="I194" s="14">
        <f>33.1*(2/3*10)</f>
        <v>220.66666666666666</v>
      </c>
      <c r="K194" s="15">
        <v>191</v>
      </c>
      <c r="L194">
        <f t="shared" si="2"/>
        <v>7</v>
      </c>
    </row>
    <row r="195" spans="1:12" ht="16.5" x14ac:dyDescent="0.2">
      <c r="A195" s="4" t="s">
        <v>329</v>
      </c>
      <c r="B195">
        <v>2016</v>
      </c>
      <c r="C195" s="14">
        <f>759.3*(2/3*10)</f>
        <v>5061.9999999999991</v>
      </c>
      <c r="D195" s="14">
        <f>60.1*(2/3*10)</f>
        <v>400.66666666666663</v>
      </c>
      <c r="E195" s="14">
        <f>1125*(2/3*10)</f>
        <v>7499.9999999999991</v>
      </c>
      <c r="F195" s="14">
        <f>725.7*(2/3*10)</f>
        <v>4838</v>
      </c>
      <c r="G195" s="14">
        <f>168.6*(2/3*10)</f>
        <v>1123.9999999999998</v>
      </c>
      <c r="H195" s="14">
        <f>53.9*(2/3*10)</f>
        <v>359.33333333333331</v>
      </c>
      <c r="I195" s="14">
        <f>33.1*(2/3*10)</f>
        <v>220.66666666666666</v>
      </c>
      <c r="K195">
        <v>192</v>
      </c>
      <c r="L195">
        <f t="shared" si="2"/>
        <v>0</v>
      </c>
    </row>
    <row r="196" spans="1:12" ht="16.5" x14ac:dyDescent="0.2">
      <c r="A196" s="4" t="s">
        <v>328</v>
      </c>
      <c r="B196">
        <v>2009</v>
      </c>
      <c r="C196" s="14">
        <f>772.9*(2/3*10)</f>
        <v>5152.6666666666661</v>
      </c>
      <c r="D196" s="14">
        <f>124.1*(2/3*10)</f>
        <v>827.33333333333326</v>
      </c>
      <c r="E196" s="14">
        <f>1156.3*(2/3*10)</f>
        <v>7708.6666666666661</v>
      </c>
      <c r="F196" s="14">
        <f>728.2*(2/3*10)</f>
        <v>4854.666666666667</v>
      </c>
      <c r="G196" s="14">
        <f>134.1*(2/3*10)</f>
        <v>894.00000000000011</v>
      </c>
      <c r="H196" s="14">
        <f>35.3*(2/3*10)</f>
        <v>235.33333333333329</v>
      </c>
      <c r="I196" s="14">
        <f>43.8*(2/3*10)</f>
        <v>291.99999999999994</v>
      </c>
      <c r="K196" s="15">
        <v>193</v>
      </c>
      <c r="L196">
        <f t="shared" si="2"/>
        <v>1</v>
      </c>
    </row>
    <row r="197" spans="1:12" ht="16.5" x14ac:dyDescent="0.2">
      <c r="A197" s="4" t="s">
        <v>328</v>
      </c>
      <c r="B197">
        <v>2010</v>
      </c>
      <c r="C197" s="14">
        <f>772.5*(2/3*10)</f>
        <v>5149.9999999999991</v>
      </c>
      <c r="D197" s="14">
        <f>123.9*(2/3*10)</f>
        <v>826</v>
      </c>
      <c r="E197" s="14">
        <f>1156.1*(2/3*10)</f>
        <v>7707.3333333333321</v>
      </c>
      <c r="F197" s="14">
        <f>727.8*(2/3*10)</f>
        <v>4851.9999999999991</v>
      </c>
      <c r="G197" s="14">
        <f>135.1*(2/3*10)</f>
        <v>900.66666666666674</v>
      </c>
      <c r="H197" s="14">
        <f>35.4*(2/3*10)</f>
        <v>235.99999999999997</v>
      </c>
      <c r="I197" s="14">
        <f>43.8*(2/3*10)</f>
        <v>291.99999999999994</v>
      </c>
      <c r="K197">
        <v>194</v>
      </c>
      <c r="L197">
        <f t="shared" ref="L197:L260" si="3">MOD(K197,8)</f>
        <v>2</v>
      </c>
    </row>
    <row r="198" spans="1:12" ht="16.5" x14ac:dyDescent="0.2">
      <c r="A198" s="4" t="s">
        <v>328</v>
      </c>
      <c r="B198">
        <v>2011</v>
      </c>
      <c r="C198" s="14">
        <f>772.4*(2/3*10)</f>
        <v>5149.333333333333</v>
      </c>
      <c r="D198" s="14">
        <f>123.7*(2/3*10)</f>
        <v>824.66666666666663</v>
      </c>
      <c r="E198" s="14">
        <f>1155.6*(2/3*10)</f>
        <v>7703.9999999999991</v>
      </c>
      <c r="F198" s="14">
        <f>726.7*(2/3*10)</f>
        <v>4844.666666666667</v>
      </c>
      <c r="G198" s="14">
        <f>136.7*(2/3*10)</f>
        <v>911.33333333333314</v>
      </c>
      <c r="H198" s="14">
        <f>35.7*(2/3*10)</f>
        <v>238</v>
      </c>
      <c r="I198" s="14">
        <f>43.5*(2/3*10)</f>
        <v>290</v>
      </c>
      <c r="K198" s="15">
        <v>195</v>
      </c>
      <c r="L198">
        <f t="shared" si="3"/>
        <v>3</v>
      </c>
    </row>
    <row r="199" spans="1:12" ht="16.5" x14ac:dyDescent="0.2">
      <c r="A199" s="4" t="s">
        <v>328</v>
      </c>
      <c r="B199">
        <v>2012</v>
      </c>
      <c r="C199" s="14">
        <f>772.3*(2/3*10)</f>
        <v>5148.6666666666661</v>
      </c>
      <c r="D199" s="14">
        <f>123.4*(2/3*10)</f>
        <v>822.66666666666663</v>
      </c>
      <c r="E199" s="14">
        <f>1155.2*(2/3*10)</f>
        <v>7701.333333333333</v>
      </c>
      <c r="F199" s="14">
        <f>725.2*(2/3*10)</f>
        <v>4834.666666666667</v>
      </c>
      <c r="G199" s="14">
        <f>138.5*(2/3*10)</f>
        <v>923.33333333333326</v>
      </c>
      <c r="H199" s="14">
        <f>36.1*(2/3*10)</f>
        <v>240.66666666666666</v>
      </c>
      <c r="I199" s="14">
        <f>43.3*(2/3*10)</f>
        <v>288.66666666666663</v>
      </c>
      <c r="K199">
        <v>196</v>
      </c>
      <c r="L199">
        <f t="shared" si="3"/>
        <v>4</v>
      </c>
    </row>
    <row r="200" spans="1:12" ht="16.5" x14ac:dyDescent="0.2">
      <c r="A200" s="4" t="s">
        <v>328</v>
      </c>
      <c r="B200">
        <v>2013</v>
      </c>
      <c r="C200" s="14">
        <f>772*(2/3*10)</f>
        <v>5146.6666666666661</v>
      </c>
      <c r="D200" s="14">
        <f>122.9*(2/3*10)</f>
        <v>819.33333333333326</v>
      </c>
      <c r="E200" s="14">
        <f>1154.7*(2/3*10)</f>
        <v>7698</v>
      </c>
      <c r="F200" s="14">
        <f>722.9*(2/3*10)</f>
        <v>4819.333333333333</v>
      </c>
      <c r="G200" s="14">
        <f>140.4*(2/3*10)</f>
        <v>935.99999999999977</v>
      </c>
      <c r="H200" s="14">
        <f>38.3*(2/3*10)</f>
        <v>255.33333333333329</v>
      </c>
      <c r="I200" s="14">
        <f>42.7*(2/3*10)</f>
        <v>284.66666666666669</v>
      </c>
      <c r="K200" s="15">
        <v>197</v>
      </c>
      <c r="L200">
        <f t="shared" si="3"/>
        <v>5</v>
      </c>
    </row>
    <row r="201" spans="1:12" ht="16.5" x14ac:dyDescent="0.2">
      <c r="A201" s="4" t="s">
        <v>328</v>
      </c>
      <c r="B201">
        <v>2014</v>
      </c>
      <c r="C201" s="14">
        <f>771*(2/3*10)</f>
        <v>5139.9999999999991</v>
      </c>
      <c r="D201" s="14">
        <f>122*(2/3*10)</f>
        <v>813.33333333333326</v>
      </c>
      <c r="E201" s="14">
        <f>1154.1*(2/3*10)</f>
        <v>7693.9999999999991</v>
      </c>
      <c r="F201" s="14">
        <f>721.5*(2/3*10)</f>
        <v>4810</v>
      </c>
      <c r="G201" s="14">
        <f>142.9*(2/3*10)</f>
        <v>952.66666666666663</v>
      </c>
      <c r="H201" s="14">
        <f>40*(2/3*10)</f>
        <v>266.66666666666663</v>
      </c>
      <c r="I201" s="14">
        <f>42.5*(2/3*10)</f>
        <v>283.33333333333331</v>
      </c>
      <c r="K201">
        <v>198</v>
      </c>
      <c r="L201">
        <f t="shared" si="3"/>
        <v>6</v>
      </c>
    </row>
    <row r="202" spans="1:12" ht="16.5" x14ac:dyDescent="0.2">
      <c r="A202" s="4" t="s">
        <v>328</v>
      </c>
      <c r="B202">
        <v>2015</v>
      </c>
      <c r="C202" s="14">
        <f>770.4*(2/3*10)</f>
        <v>5135.9999999999991</v>
      </c>
      <c r="D202" s="14">
        <f>122*(2/3*10)</f>
        <v>813.33333333333326</v>
      </c>
      <c r="E202" s="14">
        <f>1153.7*(2/3*10)</f>
        <v>7691.333333333333</v>
      </c>
      <c r="F202" s="14">
        <f>720.9*(2/3*10)</f>
        <v>4805.9999999999991</v>
      </c>
      <c r="G202" s="14">
        <f>143.7*(2/3*10)</f>
        <v>957.99999999999989</v>
      </c>
      <c r="H202" s="14">
        <f>40.7*(2/3*10)</f>
        <v>271.33333333333331</v>
      </c>
      <c r="I202" s="14">
        <f>42.5*(2/3*10)</f>
        <v>283.33333333333331</v>
      </c>
      <c r="K202" s="15">
        <v>199</v>
      </c>
      <c r="L202">
        <f t="shared" si="3"/>
        <v>7</v>
      </c>
    </row>
    <row r="203" spans="1:12" ht="16.5" x14ac:dyDescent="0.2">
      <c r="A203" s="4" t="s">
        <v>328</v>
      </c>
      <c r="B203">
        <v>2016</v>
      </c>
      <c r="C203" s="14">
        <f>770*(2/3*10)</f>
        <v>5133.333333333333</v>
      </c>
      <c r="D203" s="14">
        <f>121.9*(2/3*10)</f>
        <v>812.66666666666663</v>
      </c>
      <c r="E203" s="14">
        <f>1153.6*(2/3*10)</f>
        <v>7690.6666666666652</v>
      </c>
      <c r="F203" s="14">
        <f>720.6*(2/3*10)</f>
        <v>4804</v>
      </c>
      <c r="G203" s="14">
        <f>144.2*(2/3*10)</f>
        <v>961.33333333333314</v>
      </c>
      <c r="H203" s="14">
        <f>40.9*(2/3*10)</f>
        <v>272.66666666666663</v>
      </c>
      <c r="I203" s="14">
        <f>42.4*(2/3*10)</f>
        <v>282.66666666666663</v>
      </c>
      <c r="K203">
        <v>200</v>
      </c>
      <c r="L203">
        <f t="shared" si="3"/>
        <v>0</v>
      </c>
    </row>
    <row r="204" spans="1:12" ht="16.5" x14ac:dyDescent="0.2">
      <c r="A204" s="4" t="s">
        <v>327</v>
      </c>
      <c r="B204">
        <v>2009</v>
      </c>
      <c r="C204" s="14">
        <f>848*(2/3*10)</f>
        <v>5653.333333333333</v>
      </c>
      <c r="D204" s="14">
        <f>5.7*(2/3*10)</f>
        <v>38</v>
      </c>
      <c r="E204" s="14">
        <f>554.6*(2/3*10)</f>
        <v>3697.333333333333</v>
      </c>
      <c r="F204" s="14">
        <f>892.7*(2/3*10)</f>
        <v>5951.333333333333</v>
      </c>
      <c r="G204" s="14">
        <f>122*(2/3*10)</f>
        <v>813.33333333333326</v>
      </c>
      <c r="H204" s="14">
        <f>31.8*(2/3*10)</f>
        <v>212</v>
      </c>
      <c r="I204" s="14">
        <f>78.8*(2/3*10)</f>
        <v>525.33333333333326</v>
      </c>
      <c r="K204" s="15">
        <v>201</v>
      </c>
      <c r="L204">
        <f t="shared" si="3"/>
        <v>1</v>
      </c>
    </row>
    <row r="205" spans="1:12" ht="16.5" x14ac:dyDescent="0.2">
      <c r="A205" s="4" t="s">
        <v>327</v>
      </c>
      <c r="B205">
        <v>2010</v>
      </c>
      <c r="C205" s="14">
        <f>847.7*(2/3*10)</f>
        <v>5651.333333333333</v>
      </c>
      <c r="D205" s="14">
        <f>5.7*(2/3*10)</f>
        <v>38</v>
      </c>
      <c r="E205" s="14">
        <f>553.7*(2/3*10)</f>
        <v>3691.3333333333335</v>
      </c>
      <c r="F205" s="14">
        <f>890.9*(2/3*10)</f>
        <v>5939.333333333333</v>
      </c>
      <c r="G205" s="14">
        <f>123.6*(2/3*10)</f>
        <v>823.99999999999989</v>
      </c>
      <c r="H205" s="14">
        <f>32.1*(2/3*10)</f>
        <v>214</v>
      </c>
      <c r="I205" s="14">
        <f>78.5*(2/3*10)</f>
        <v>523.33333333333326</v>
      </c>
      <c r="K205">
        <v>202</v>
      </c>
      <c r="L205">
        <f t="shared" si="3"/>
        <v>2</v>
      </c>
    </row>
    <row r="206" spans="1:12" ht="16.5" x14ac:dyDescent="0.2">
      <c r="A206" s="4" t="s">
        <v>327</v>
      </c>
      <c r="B206">
        <v>2011</v>
      </c>
      <c r="C206" s="14">
        <f>846.9*(2/3*10)</f>
        <v>5645.9999999999991</v>
      </c>
      <c r="D206" s="14">
        <f>5.6*(2/3*10)</f>
        <v>37.333333333333329</v>
      </c>
      <c r="E206" s="14">
        <f>552.5*(2/3*10)</f>
        <v>3683.333333333333</v>
      </c>
      <c r="F206" s="14">
        <f>889.6*(2/3*10)</f>
        <v>5930.6666666666661</v>
      </c>
      <c r="G206" s="14">
        <f>124.8*(2/3*10)</f>
        <v>831.99999999999989</v>
      </c>
      <c r="H206" s="14">
        <f>33.4*(2/3*10)</f>
        <v>222.66666666666663</v>
      </c>
      <c r="I206" s="14">
        <f>78.3*(2/3*10)</f>
        <v>521.99999999999989</v>
      </c>
      <c r="K206" s="15">
        <v>203</v>
      </c>
      <c r="L206">
        <f t="shared" si="3"/>
        <v>3</v>
      </c>
    </row>
    <row r="207" spans="1:12" ht="16.5" x14ac:dyDescent="0.2">
      <c r="A207" s="4" t="s">
        <v>327</v>
      </c>
      <c r="B207">
        <v>2012</v>
      </c>
      <c r="C207" s="14">
        <f>842.3*(2/3*10)</f>
        <v>5615.3333333333321</v>
      </c>
      <c r="D207" s="14">
        <f>7.4*(2/3*10)</f>
        <v>49.333333333333329</v>
      </c>
      <c r="E207" s="14">
        <f>551.2*(2/3*10)</f>
        <v>3674.6666666666665</v>
      </c>
      <c r="F207" s="14">
        <f>889*(2/3*10)</f>
        <v>5926.6666666666661</v>
      </c>
      <c r="G207" s="14">
        <f>127*(2/3*10)</f>
        <v>846.66666666666674</v>
      </c>
      <c r="H207" s="14">
        <f>35*(2/3*10)</f>
        <v>233.33333333333331</v>
      </c>
      <c r="I207" s="14">
        <f>78.1*(2/3*10)</f>
        <v>520.66666666666663</v>
      </c>
      <c r="K207">
        <v>204</v>
      </c>
      <c r="L207">
        <f t="shared" si="3"/>
        <v>4</v>
      </c>
    </row>
    <row r="208" spans="1:12" ht="16.5" x14ac:dyDescent="0.2">
      <c r="A208" s="4" t="s">
        <v>327</v>
      </c>
      <c r="B208">
        <v>2013</v>
      </c>
      <c r="C208" s="14">
        <f>840.1*(2/3*10)</f>
        <v>5600.6666666666661</v>
      </c>
      <c r="D208" s="14">
        <f>7.3*(2/3*10)</f>
        <v>48.666666666666664</v>
      </c>
      <c r="E208" s="14">
        <f>550.2*(2/3*10)</f>
        <v>3668</v>
      </c>
      <c r="F208" s="14">
        <f>888.1*(2/3*10)</f>
        <v>5920.6666666666661</v>
      </c>
      <c r="G208" s="14">
        <f>129.8*(2/3*10)</f>
        <v>865.33333333333337</v>
      </c>
      <c r="H208" s="14">
        <f>35.7*(2/3*10)</f>
        <v>238</v>
      </c>
      <c r="I208" s="14">
        <f>78*(2/3*10)</f>
        <v>520</v>
      </c>
      <c r="K208" s="15">
        <v>205</v>
      </c>
      <c r="L208">
        <f t="shared" si="3"/>
        <v>5</v>
      </c>
    </row>
    <row r="209" spans="1:12" ht="16.5" x14ac:dyDescent="0.2">
      <c r="A209" s="4" t="s">
        <v>327</v>
      </c>
      <c r="B209">
        <v>2014</v>
      </c>
      <c r="C209" s="14">
        <f>840.8*(2/3*10)</f>
        <v>5605.3333333333321</v>
      </c>
      <c r="D209" s="14">
        <f>7.2*(2/3*10)</f>
        <v>48</v>
      </c>
      <c r="E209" s="14">
        <f>549.6*(2/3*10)</f>
        <v>3664</v>
      </c>
      <c r="F209" s="14">
        <f>884.6*(2/3*10)</f>
        <v>5897.333333333333</v>
      </c>
      <c r="G209" s="14">
        <f>132.4*(2/3*10)</f>
        <v>882.66666666666663</v>
      </c>
      <c r="H209" s="14">
        <f>36.8*(2/3*10)</f>
        <v>245.33333333333329</v>
      </c>
      <c r="I209" s="14">
        <f>77.9*(2/3*10)</f>
        <v>519.33333333333337</v>
      </c>
      <c r="K209">
        <v>206</v>
      </c>
      <c r="L209">
        <f t="shared" si="3"/>
        <v>6</v>
      </c>
    </row>
    <row r="210" spans="1:12" ht="16.5" x14ac:dyDescent="0.2">
      <c r="A210" s="4" t="s">
        <v>327</v>
      </c>
      <c r="B210">
        <v>2015</v>
      </c>
      <c r="C210" s="14">
        <f>840.3*(2/3*10)</f>
        <v>5601.9999999999991</v>
      </c>
      <c r="D210" s="14">
        <f>7.2*(2/3*10)</f>
        <v>48</v>
      </c>
      <c r="E210" s="14">
        <f>549.1*(2/3*10)</f>
        <v>3660.6666666666665</v>
      </c>
      <c r="F210" s="14">
        <f>882.8*(2/3*10)</f>
        <v>5885.3333333333321</v>
      </c>
      <c r="G210" s="14">
        <f>134.4*(2/3*10)</f>
        <v>896</v>
      </c>
      <c r="H210" s="14">
        <f>37.3*(2/3*10)</f>
        <v>248.66666666666663</v>
      </c>
      <c r="I210" s="14">
        <f>78.2*(2/3*10)</f>
        <v>521.33333333333326</v>
      </c>
      <c r="K210" s="15">
        <v>207</v>
      </c>
      <c r="L210">
        <f t="shared" si="3"/>
        <v>7</v>
      </c>
    </row>
    <row r="211" spans="1:12" ht="16.5" x14ac:dyDescent="0.2">
      <c r="A211" s="4" t="s">
        <v>327</v>
      </c>
      <c r="B211">
        <v>2016</v>
      </c>
      <c r="C211" s="14">
        <f>839.4*(2/3*10)</f>
        <v>5595.9999999999991</v>
      </c>
      <c r="D211" s="14">
        <f>7.2*(2/3*10)</f>
        <v>48</v>
      </c>
      <c r="E211" s="14">
        <f>548.4*(2/3*10)</f>
        <v>3655.9999999999995</v>
      </c>
      <c r="F211" s="14">
        <f>881.2*(2/3*10)</f>
        <v>5874.6666666666661</v>
      </c>
      <c r="G211" s="14">
        <f>136.9*(2/3*10)</f>
        <v>912.66666666666663</v>
      </c>
      <c r="H211" s="14">
        <f>37.9*(2/3*10)</f>
        <v>252.66666666666663</v>
      </c>
      <c r="I211" s="14">
        <f>78.2*(2/3*10)</f>
        <v>521.33333333333326</v>
      </c>
      <c r="K211">
        <v>208</v>
      </c>
      <c r="L211">
        <f t="shared" si="3"/>
        <v>0</v>
      </c>
    </row>
    <row r="212" spans="1:12" ht="16.5" x14ac:dyDescent="0.2">
      <c r="A212" s="4" t="s">
        <v>326</v>
      </c>
      <c r="B212">
        <v>2009</v>
      </c>
      <c r="C212" s="14">
        <f>641.6*(2/3*10)</f>
        <v>4277.333333333333</v>
      </c>
      <c r="D212" s="14">
        <f>3.2*(2/3*10)</f>
        <v>21.333333333333332</v>
      </c>
      <c r="E212" s="14">
        <f>184.5*(2/3*10)</f>
        <v>1230</v>
      </c>
      <c r="F212" s="14">
        <f>3011.5*(2/3*10)</f>
        <v>20076.666666666664</v>
      </c>
      <c r="G212" s="14">
        <f>117.3*(2/3*10)</f>
        <v>782</v>
      </c>
      <c r="H212" s="14">
        <f>29.3*(2/3*10)</f>
        <v>195.33333333333331</v>
      </c>
      <c r="I212" s="14">
        <f>113.7*(2/3*10)</f>
        <v>758</v>
      </c>
      <c r="K212" s="15">
        <v>209</v>
      </c>
      <c r="L212">
        <f t="shared" si="3"/>
        <v>1</v>
      </c>
    </row>
    <row r="213" spans="1:12" ht="16.5" x14ac:dyDescent="0.2">
      <c r="A213" s="4" t="s">
        <v>326</v>
      </c>
      <c r="B213">
        <v>2010</v>
      </c>
      <c r="C213" s="14">
        <f>640.3*(2/3*10)</f>
        <v>4268.6666666666661</v>
      </c>
      <c r="D213" s="14">
        <f>3.3*(2/3*10)</f>
        <v>21.999999999999996</v>
      </c>
      <c r="E213" s="14">
        <f>184.1*(2/3*10)</f>
        <v>1227.3333333333333</v>
      </c>
      <c r="F213" s="14">
        <f>3009.5*(2/3*10)</f>
        <v>20063.333333333332</v>
      </c>
      <c r="G213" s="14">
        <f>119.5*(2/3*10)</f>
        <v>796.66666666666663</v>
      </c>
      <c r="H213" s="14">
        <f>30.5*(2/3*10)</f>
        <v>203.33333333333331</v>
      </c>
      <c r="I213" s="14">
        <f>113.6*(2/3*10)</f>
        <v>757.33333333333326</v>
      </c>
      <c r="K213">
        <v>210</v>
      </c>
      <c r="L213">
        <f t="shared" si="3"/>
        <v>2</v>
      </c>
    </row>
    <row r="214" spans="1:12" ht="16.5" x14ac:dyDescent="0.2">
      <c r="A214" s="4" t="s">
        <v>326</v>
      </c>
      <c r="B214">
        <v>2011</v>
      </c>
      <c r="C214" s="14">
        <f>639.1*(2/3*10)</f>
        <v>4260.6666666666661</v>
      </c>
      <c r="D214" s="14">
        <f>3.3*(2/3*10)</f>
        <v>21.999999999999996</v>
      </c>
      <c r="E214" s="14">
        <f>184*(2/3*10)</f>
        <v>1226.6666666666665</v>
      </c>
      <c r="F214" s="14">
        <f>3008.6*(2/3*10)</f>
        <v>20057.333333333332</v>
      </c>
      <c r="G214" s="14">
        <f>121.5*(2/3*10)</f>
        <v>809.99999999999989</v>
      </c>
      <c r="H214" s="14">
        <f>30.7*(2/3*10)</f>
        <v>204.66666666666666</v>
      </c>
      <c r="I214" s="14">
        <f>113.5*(2/3*10)</f>
        <v>756.66666666666663</v>
      </c>
      <c r="K214" s="15">
        <v>211</v>
      </c>
      <c r="L214">
        <f t="shared" si="3"/>
        <v>3</v>
      </c>
    </row>
    <row r="215" spans="1:12" ht="16.5" x14ac:dyDescent="0.2">
      <c r="A215" s="4" t="s">
        <v>326</v>
      </c>
      <c r="B215">
        <v>2012</v>
      </c>
      <c r="C215" s="14">
        <f>638.2*(2/3*10)</f>
        <v>4254.666666666667</v>
      </c>
      <c r="D215" s="14">
        <f>3.3*(2/3*10)</f>
        <v>21.999999999999996</v>
      </c>
      <c r="E215" s="14">
        <f>183.9*(2/3*10)</f>
        <v>1226</v>
      </c>
      <c r="F215" s="14">
        <f>3006.8*(2/3*10)</f>
        <v>20045.333333333332</v>
      </c>
      <c r="G215" s="14">
        <f>123.6*(2/3*10)</f>
        <v>823.99999999999989</v>
      </c>
      <c r="H215" s="14">
        <f>31.1*(2/3*10)</f>
        <v>207.33333333333331</v>
      </c>
      <c r="I215" s="14">
        <f>113.6*(2/3*10)</f>
        <v>757.33333333333326</v>
      </c>
      <c r="K215">
        <v>212</v>
      </c>
      <c r="L215">
        <f t="shared" si="3"/>
        <v>4</v>
      </c>
    </row>
    <row r="216" spans="1:12" ht="16.5" x14ac:dyDescent="0.2">
      <c r="A216" s="4" t="s">
        <v>326</v>
      </c>
      <c r="B216">
        <v>2013</v>
      </c>
      <c r="C216" s="14">
        <f>638.8*(2/3*10)</f>
        <v>4258.6666666666661</v>
      </c>
      <c r="D216" s="14">
        <f>3.2*(2/3*10)</f>
        <v>21.333333333333332</v>
      </c>
      <c r="E216" s="14">
        <f>183.8*(2/3*10)</f>
        <v>1225.3333333333333</v>
      </c>
      <c r="F216" s="14">
        <f>3004.9*(2/3*10)</f>
        <v>20032.666666666664</v>
      </c>
      <c r="G216" s="14">
        <f>125.3*(2/3*10)</f>
        <v>835.33333333333326</v>
      </c>
      <c r="H216" s="14">
        <f>31.3*(2/3*10)</f>
        <v>208.66666666666666</v>
      </c>
      <c r="I216" s="14">
        <f>113.4*(2/3*10)</f>
        <v>756</v>
      </c>
      <c r="K216" s="15">
        <v>213</v>
      </c>
      <c r="L216">
        <f t="shared" si="3"/>
        <v>5</v>
      </c>
    </row>
    <row r="217" spans="1:12" ht="16.5" x14ac:dyDescent="0.2">
      <c r="A217" s="4" t="s">
        <v>326</v>
      </c>
      <c r="B217">
        <v>2014</v>
      </c>
      <c r="C217" s="14">
        <f>638.6*(2/3*10)</f>
        <v>4257.333333333333</v>
      </c>
      <c r="D217" s="14">
        <f>3.2*(2/3*10)</f>
        <v>21.333333333333332</v>
      </c>
      <c r="E217" s="14">
        <f>183.6*(2/3*10)</f>
        <v>1223.9999999999998</v>
      </c>
      <c r="F217" s="14">
        <f>3003.5*(2/3*10)</f>
        <v>20023.333333333332</v>
      </c>
      <c r="G217" s="14">
        <f>127*(2/3*10)</f>
        <v>846.66666666666674</v>
      </c>
      <c r="H217" s="14">
        <f>31.6*(2/3*10)</f>
        <v>210.66666666666666</v>
      </c>
      <c r="I217" s="14">
        <f>113.4*(2/3*10)</f>
        <v>756</v>
      </c>
      <c r="K217">
        <v>214</v>
      </c>
      <c r="L217">
        <f t="shared" si="3"/>
        <v>6</v>
      </c>
    </row>
    <row r="218" spans="1:12" ht="16.5" x14ac:dyDescent="0.2">
      <c r="A218" s="4" t="s">
        <v>326</v>
      </c>
      <c r="B218">
        <v>2015</v>
      </c>
      <c r="C218" s="14">
        <f>637.6*(2/3*10)</f>
        <v>4250.6666666666661</v>
      </c>
      <c r="D218" s="14">
        <f>3.2*(2/3*10)</f>
        <v>21.333333333333332</v>
      </c>
      <c r="E218" s="14">
        <f>183.5*(2/3*10)</f>
        <v>1223.3333333333333</v>
      </c>
      <c r="F218" s="14">
        <f>3002.4*(2/3*10)</f>
        <v>20016</v>
      </c>
      <c r="G218" s="14">
        <f>129*(2/3*10)</f>
        <v>859.99999999999989</v>
      </c>
      <c r="H218" s="14">
        <f>31.7*(2/3*10)</f>
        <v>211.33333333333331</v>
      </c>
      <c r="I218" s="14">
        <f>113.3*(2/3*10)</f>
        <v>755.33333333333326</v>
      </c>
      <c r="K218" s="15">
        <v>215</v>
      </c>
      <c r="L218">
        <f t="shared" si="3"/>
        <v>7</v>
      </c>
    </row>
    <row r="219" spans="1:12" ht="16.5" x14ac:dyDescent="0.2">
      <c r="A219" s="4" t="s">
        <v>326</v>
      </c>
      <c r="B219">
        <v>2016</v>
      </c>
      <c r="C219" s="14">
        <f>636.6*(2/3*10)</f>
        <v>4244</v>
      </c>
      <c r="D219" s="14">
        <f>3.2*(2/3*10)</f>
        <v>21.333333333333332</v>
      </c>
      <c r="E219" s="14">
        <f>183.4*(2/3*10)</f>
        <v>1222.6666666666665</v>
      </c>
      <c r="F219" s="14">
        <f>2999.9*(2/3*10)</f>
        <v>19999.333333333332</v>
      </c>
      <c r="G219" s="14">
        <f>132.1*(2/3*10)</f>
        <v>880.66666666666652</v>
      </c>
      <c r="H219" s="14">
        <f>32.4*(2/3*10)</f>
        <v>215.99999999999997</v>
      </c>
      <c r="I219" s="14">
        <f>113.1*(2/3*10)</f>
        <v>753.99999999999989</v>
      </c>
      <c r="K219">
        <v>216</v>
      </c>
      <c r="L219">
        <f t="shared" si="3"/>
        <v>0</v>
      </c>
    </row>
    <row r="220" spans="1:12" ht="16.5" x14ac:dyDescent="0.2">
      <c r="A220" s="4" t="s">
        <v>325</v>
      </c>
      <c r="B220">
        <v>2009</v>
      </c>
      <c r="C220" s="14">
        <f>13.2*(2/3*10)</f>
        <v>87.999999999999986</v>
      </c>
      <c r="D220" s="14">
        <f>1.7*(2/3*10)</f>
        <v>11.333333333333332</v>
      </c>
      <c r="E220" s="14">
        <f>10.1*(2/3*10)</f>
        <v>67.333333333333329</v>
      </c>
      <c r="F220" s="14">
        <f>144.9*(2/3*10)</f>
        <v>966</v>
      </c>
      <c r="G220" s="14">
        <f>32.3*(2/3*10)</f>
        <v>215.33333333333329</v>
      </c>
      <c r="H220" s="14">
        <f>4.2*(2/3*10)</f>
        <v>28</v>
      </c>
      <c r="I220" s="14">
        <f>20.5*(2/3*10)</f>
        <v>136.66666666666666</v>
      </c>
      <c r="K220" s="15">
        <v>217</v>
      </c>
      <c r="L220">
        <f t="shared" si="3"/>
        <v>1</v>
      </c>
    </row>
    <row r="221" spans="1:12" ht="16.5" x14ac:dyDescent="0.2">
      <c r="A221" s="4" t="s">
        <v>325</v>
      </c>
      <c r="B221">
        <v>2010</v>
      </c>
      <c r="C221" s="14">
        <f>13*(2/3*10)</f>
        <v>86.666666666666657</v>
      </c>
      <c r="D221" s="14">
        <f>1.6*(2/3*10)</f>
        <v>10.666666666666666</v>
      </c>
      <c r="E221" s="14">
        <f>10*(2/3*10)</f>
        <v>66.666666666666657</v>
      </c>
      <c r="F221" s="14">
        <f>143.5*(2/3*10)</f>
        <v>956.66666666666663</v>
      </c>
      <c r="G221" s="14">
        <f>33.3*(2/3*10)</f>
        <v>222</v>
      </c>
      <c r="H221" s="14">
        <f>4.5*(2/3*10)</f>
        <v>29.999999999999996</v>
      </c>
      <c r="I221" s="14">
        <f>20.8*(2/3*10)</f>
        <v>138.66666666666666</v>
      </c>
      <c r="K221">
        <v>218</v>
      </c>
      <c r="L221">
        <f t="shared" si="3"/>
        <v>2</v>
      </c>
    </row>
    <row r="222" spans="1:12" ht="16.5" x14ac:dyDescent="0.2">
      <c r="A222" s="4" t="s">
        <v>325</v>
      </c>
      <c r="B222">
        <v>2011</v>
      </c>
      <c r="C222" s="14">
        <f>13*(2/3*10)</f>
        <v>86.666666666666657</v>
      </c>
      <c r="D222" s="14">
        <f>1.6*(2/3*10)</f>
        <v>10.666666666666666</v>
      </c>
      <c r="E222" s="14">
        <f>9.8*(2/3*10)</f>
        <v>65.333333333333329</v>
      </c>
      <c r="F222" s="14">
        <f>142.9*(2/3*10)</f>
        <v>952.66666666666663</v>
      </c>
      <c r="G222" s="14">
        <f>34.1*(2/3*10)</f>
        <v>227.33333333333331</v>
      </c>
      <c r="H222" s="14">
        <f>4.7*(2/3*10)</f>
        <v>31.333333333333332</v>
      </c>
      <c r="I222" s="14">
        <f>20.8*(2/3*10)</f>
        <v>138.66666666666666</v>
      </c>
      <c r="K222" s="15">
        <v>219</v>
      </c>
      <c r="L222">
        <f t="shared" si="3"/>
        <v>3</v>
      </c>
    </row>
    <row r="223" spans="1:12" ht="16.5" x14ac:dyDescent="0.2">
      <c r="A223" s="4" t="s">
        <v>325</v>
      </c>
      <c r="B223">
        <v>2012</v>
      </c>
      <c r="C223" s="14">
        <f>12.9*(2/3*10)</f>
        <v>86</v>
      </c>
      <c r="D223" s="14">
        <f>1.6*(2/3*10)</f>
        <v>10.666666666666666</v>
      </c>
      <c r="E223" s="14">
        <f>9.7*(2/3*10)</f>
        <v>64.666666666666657</v>
      </c>
      <c r="F223" s="14">
        <f>141.7*(2/3*10)</f>
        <v>944.66666666666652</v>
      </c>
      <c r="G223" s="14">
        <f>35.2*(2/3*10)</f>
        <v>234.66666666666666</v>
      </c>
      <c r="H223" s="14">
        <f>5*(2/3*10)</f>
        <v>33.333333333333329</v>
      </c>
      <c r="I223" s="14">
        <f>20.7*(2/3*10)</f>
        <v>137.99999999999997</v>
      </c>
      <c r="K223">
        <v>220</v>
      </c>
      <c r="L223">
        <f t="shared" si="3"/>
        <v>4</v>
      </c>
    </row>
    <row r="224" spans="1:12" ht="16.5" x14ac:dyDescent="0.2">
      <c r="A224" s="4" t="s">
        <v>325</v>
      </c>
      <c r="B224">
        <v>2013</v>
      </c>
      <c r="C224" s="14">
        <f>12.5*(2/3*10)</f>
        <v>83.333333333333329</v>
      </c>
      <c r="D224" s="14">
        <f>1.6*(2/3*10)</f>
        <v>10.666666666666666</v>
      </c>
      <c r="E224" s="14">
        <f>9.7*(2/3*10)</f>
        <v>64.666666666666657</v>
      </c>
      <c r="F224" s="14">
        <f>141.4*(2/3*10)</f>
        <v>942.66666666666663</v>
      </c>
      <c r="G224" s="14">
        <f>36*(2/3*10)</f>
        <v>239.99999999999997</v>
      </c>
      <c r="H224" s="14">
        <f>5.2*(2/3*10)</f>
        <v>34.666666666666664</v>
      </c>
      <c r="I224" s="14">
        <f>20.6*(2/3*10)</f>
        <v>137.33333333333334</v>
      </c>
      <c r="K224" s="15">
        <v>221</v>
      </c>
      <c r="L224">
        <f t="shared" si="3"/>
        <v>5</v>
      </c>
    </row>
    <row r="225" spans="1:12" ht="16.5" x14ac:dyDescent="0.2">
      <c r="A225" s="4" t="s">
        <v>325</v>
      </c>
      <c r="B225">
        <v>2014</v>
      </c>
      <c r="C225" s="14">
        <f>12.2*(2/3*10)</f>
        <v>81.333333333333314</v>
      </c>
      <c r="D225" s="14">
        <f>1.6*(2/3*10)</f>
        <v>10.666666666666666</v>
      </c>
      <c r="E225" s="14">
        <f>9.6*(2/3*10)</f>
        <v>63.999999999999993</v>
      </c>
      <c r="F225" s="14">
        <f>140.8*(2/3*10)</f>
        <v>938.66666666666663</v>
      </c>
      <c r="G225" s="14">
        <f>36.2*(2/3*10)</f>
        <v>241.33333333333334</v>
      </c>
      <c r="H225" s="14">
        <f>5.2*(2/3*10)</f>
        <v>34.666666666666664</v>
      </c>
      <c r="I225" s="14">
        <f>21.2*(2/3*10)</f>
        <v>141.33333333333331</v>
      </c>
      <c r="K225">
        <v>222</v>
      </c>
      <c r="L225">
        <f t="shared" si="3"/>
        <v>6</v>
      </c>
    </row>
    <row r="226" spans="1:12" ht="16.5" x14ac:dyDescent="0.2">
      <c r="A226" s="4" t="s">
        <v>325</v>
      </c>
      <c r="B226">
        <v>2015</v>
      </c>
      <c r="C226" s="14">
        <f>10.6*(2/3*10)</f>
        <v>70.666666666666657</v>
      </c>
      <c r="D226" s="14">
        <f>1.5*(2/3*10)</f>
        <v>10</v>
      </c>
      <c r="E226" s="14">
        <f>9.5*(2/3*10)</f>
        <v>63.333333333333329</v>
      </c>
      <c r="F226" s="14">
        <f>139.2*(2/3*10)</f>
        <v>927.99999999999989</v>
      </c>
      <c r="G226" s="14">
        <f>36.3*(2/3*10)</f>
        <v>241.99999999999997</v>
      </c>
      <c r="H226" s="14">
        <f>5.5*(2/3*10)</f>
        <v>36.666666666666664</v>
      </c>
      <c r="I226" s="14">
        <f>24.6*(2/3*10)</f>
        <v>164</v>
      </c>
      <c r="K226" s="15">
        <v>223</v>
      </c>
      <c r="L226">
        <f t="shared" si="3"/>
        <v>7</v>
      </c>
    </row>
    <row r="227" spans="1:12" ht="16.5" x14ac:dyDescent="0.2">
      <c r="A227" s="4" t="s">
        <v>325</v>
      </c>
      <c r="B227">
        <v>2016</v>
      </c>
      <c r="C227" s="14">
        <f>10.6*(2/3*10)</f>
        <v>70.666666666666657</v>
      </c>
      <c r="D227" s="14">
        <f>1.5*(2/3*10)</f>
        <v>10</v>
      </c>
      <c r="E227" s="14">
        <f>9.5*(2/3*10)</f>
        <v>63.333333333333329</v>
      </c>
      <c r="F227" s="14">
        <f>138.7*(2/3*10)</f>
        <v>924.66666666666652</v>
      </c>
      <c r="G227" s="14">
        <f>36.8*(2/3*10)</f>
        <v>245.33333333333329</v>
      </c>
      <c r="H227" s="14">
        <f>5.7*(2/3*10)</f>
        <v>38</v>
      </c>
      <c r="I227" s="14">
        <f>24.6*(2/3*10)</f>
        <v>164</v>
      </c>
      <c r="K227">
        <v>224</v>
      </c>
      <c r="L227">
        <f t="shared" si="3"/>
        <v>0</v>
      </c>
    </row>
    <row r="228" spans="1:12" ht="16.5" x14ac:dyDescent="0.2">
      <c r="A228" s="4" t="s">
        <v>324</v>
      </c>
      <c r="B228">
        <v>2009</v>
      </c>
      <c r="C228" s="14">
        <f>2108.7*(2/3*10)</f>
        <v>14057.999999999998</v>
      </c>
      <c r="D228" s="14">
        <f>39.7*(2/3*10)</f>
        <v>264.66666666666669</v>
      </c>
      <c r="E228" s="14">
        <f>3947.8*(2/3*10)</f>
        <v>26318.666666666664</v>
      </c>
      <c r="F228" s="14">
        <f>5835.8*(2/3*10)</f>
        <v>38905.333333333328</v>
      </c>
      <c r="G228" s="14">
        <f>285.5*(2/3*10)</f>
        <v>1903.3333333333333</v>
      </c>
      <c r="H228" s="14">
        <f>101.7*(2/3*10)</f>
        <v>678</v>
      </c>
      <c r="I228" s="14">
        <f>254.7*(2/3*10)</f>
        <v>1697.9999999999998</v>
      </c>
      <c r="K228" s="15">
        <v>225</v>
      </c>
      <c r="L228">
        <f t="shared" si="3"/>
        <v>1</v>
      </c>
    </row>
    <row r="229" spans="1:12" ht="16.5" x14ac:dyDescent="0.2">
      <c r="A229" s="4" t="s">
        <v>324</v>
      </c>
      <c r="B229">
        <v>2010</v>
      </c>
      <c r="C229" s="14">
        <f>2110*(2/3*10)</f>
        <v>14066.666666666666</v>
      </c>
      <c r="D229" s="14">
        <f>39.7*(2/3*10)</f>
        <v>264.66666666666669</v>
      </c>
      <c r="E229" s="14">
        <f>3946.7*(2/3*10)</f>
        <v>26311.333333333328</v>
      </c>
      <c r="F229" s="14">
        <f>5831.6*(2/3*10)</f>
        <v>38877.333333333336</v>
      </c>
      <c r="G229" s="14">
        <f>289.5*(2/3*10)</f>
        <v>1929.9999999999998</v>
      </c>
      <c r="H229" s="14">
        <f>102.6*(2/3*10)</f>
        <v>683.99999999999989</v>
      </c>
      <c r="I229" s="14">
        <f>254.5*(2/3*10)</f>
        <v>1696.6666666666665</v>
      </c>
      <c r="K229">
        <v>226</v>
      </c>
      <c r="L229">
        <f t="shared" si="3"/>
        <v>2</v>
      </c>
    </row>
    <row r="230" spans="1:12" ht="16.5" x14ac:dyDescent="0.2">
      <c r="A230" s="4" t="s">
        <v>324</v>
      </c>
      <c r="B230">
        <v>2011</v>
      </c>
      <c r="C230" s="14">
        <f>2108.5*(2/3*10)</f>
        <v>14056.666666666666</v>
      </c>
      <c r="D230" s="14">
        <f>39.7*(2/3*10)</f>
        <v>264.66666666666669</v>
      </c>
      <c r="E230" s="14">
        <f>3944.4*(2/3*10)</f>
        <v>26296</v>
      </c>
      <c r="F230" s="14">
        <f>5828.5*(2/3*10)</f>
        <v>38856.666666666664</v>
      </c>
      <c r="G230" s="14">
        <f>292.8*(2/3*10)</f>
        <v>1952</v>
      </c>
      <c r="H230" s="14">
        <f>103.4*(2/3*10)</f>
        <v>689.33333333333326</v>
      </c>
      <c r="I230" s="14">
        <f>256.2*(2/3*10)</f>
        <v>1707.9999999999998</v>
      </c>
      <c r="K230" s="15">
        <v>227</v>
      </c>
      <c r="L230">
        <f t="shared" si="3"/>
        <v>3</v>
      </c>
    </row>
    <row r="231" spans="1:12" ht="16.5" x14ac:dyDescent="0.2">
      <c r="A231" s="4" t="s">
        <v>324</v>
      </c>
      <c r="B231">
        <v>2012</v>
      </c>
      <c r="C231" s="14">
        <f>2108.9*(2/3*10)</f>
        <v>14059.333333333332</v>
      </c>
      <c r="D231" s="14">
        <f>39.7*(2/3*10)</f>
        <v>264.66666666666669</v>
      </c>
      <c r="E231" s="14">
        <f>3942.8*(2/3*10)</f>
        <v>26285.333333333332</v>
      </c>
      <c r="F231" s="14">
        <f>5825.4*(2/3*10)</f>
        <v>38835.999999999993</v>
      </c>
      <c r="G231" s="14">
        <f>295.6*(2/3*10)</f>
        <v>1970.6666666666667</v>
      </c>
      <c r="H231" s="14">
        <f>104.5*(2/3*10)</f>
        <v>696.66666666666663</v>
      </c>
      <c r="I231" s="14">
        <f>256*(2/3*10)</f>
        <v>1706.6666666666665</v>
      </c>
      <c r="K231">
        <v>228</v>
      </c>
      <c r="L231">
        <f t="shared" si="3"/>
        <v>4</v>
      </c>
    </row>
    <row r="232" spans="1:12" ht="16.5" x14ac:dyDescent="0.2">
      <c r="A232" s="4" t="s">
        <v>324</v>
      </c>
      <c r="B232">
        <v>2013</v>
      </c>
      <c r="C232" s="14">
        <f>2114.8*(2/3*10)</f>
        <v>14098.666666666666</v>
      </c>
      <c r="D232" s="14">
        <f>39.6*(2/3*10)</f>
        <v>264</v>
      </c>
      <c r="E232" s="14">
        <f>3936.1*(2/3*10)</f>
        <v>26240.666666666664</v>
      </c>
      <c r="F232" s="14">
        <f>5822.3*(2/3*10)</f>
        <v>38815.333333333328</v>
      </c>
      <c r="G232" s="14">
        <f>298.4*(2/3*10)</f>
        <v>1989.3333333333335</v>
      </c>
      <c r="H232" s="14">
        <f>105*(2/3*10)</f>
        <v>699.99999999999989</v>
      </c>
      <c r="I232" s="14">
        <f>255.9*(2/3*10)</f>
        <v>1706</v>
      </c>
      <c r="K232" s="15">
        <v>229</v>
      </c>
      <c r="L232">
        <f t="shared" si="3"/>
        <v>5</v>
      </c>
    </row>
    <row r="233" spans="1:12" ht="16.5" x14ac:dyDescent="0.2">
      <c r="A233" s="4" t="s">
        <v>324</v>
      </c>
      <c r="B233">
        <v>2014</v>
      </c>
      <c r="C233" s="14">
        <f>2115*(2/3*10)</f>
        <v>14099.999999999998</v>
      </c>
      <c r="D233" s="14">
        <f>39.6*(2/3*10)</f>
        <v>264</v>
      </c>
      <c r="E233" s="14">
        <f>3935*(2/3*10)</f>
        <v>26233.333333333332</v>
      </c>
      <c r="F233" s="14">
        <f>5820.5*(2/3*10)</f>
        <v>38803.333333333328</v>
      </c>
      <c r="G233" s="14">
        <f>300.6*(2/3*10)</f>
        <v>2004</v>
      </c>
      <c r="H233" s="14">
        <f>105.4*(2/3*10)</f>
        <v>702.66666666666663</v>
      </c>
      <c r="I233" s="14">
        <f>255.4*(2/3*10)</f>
        <v>1702.6666666666665</v>
      </c>
      <c r="K233">
        <v>230</v>
      </c>
      <c r="L233">
        <f t="shared" si="3"/>
        <v>6</v>
      </c>
    </row>
    <row r="234" spans="1:12" ht="16.5" x14ac:dyDescent="0.2">
      <c r="A234" s="4" t="s">
        <v>324</v>
      </c>
      <c r="B234">
        <v>2015</v>
      </c>
      <c r="C234" s="14">
        <f>2116*(2/3*10)</f>
        <v>14106.666666666666</v>
      </c>
      <c r="D234" s="14">
        <f>39.5*(2/3*10)</f>
        <v>263.33333333333331</v>
      </c>
      <c r="E234" s="14">
        <f>3934.1*(2/3*10)</f>
        <v>26227.333333333332</v>
      </c>
      <c r="F234" s="14">
        <f>5818.1*(2/3*10)</f>
        <v>38787.333333333336</v>
      </c>
      <c r="G234" s="14">
        <f>302.3*(2/3*10)</f>
        <v>2015.3333333333333</v>
      </c>
      <c r="H234" s="14">
        <f>106.5*(2/3*10)</f>
        <v>709.99999999999989</v>
      </c>
      <c r="I234" s="14">
        <f>255.4*(2/3*10)</f>
        <v>1702.6666666666665</v>
      </c>
      <c r="K234" s="15">
        <v>231</v>
      </c>
      <c r="L234">
        <f t="shared" si="3"/>
        <v>7</v>
      </c>
    </row>
    <row r="235" spans="1:12" ht="16.5" x14ac:dyDescent="0.2">
      <c r="A235" s="4" t="s">
        <v>324</v>
      </c>
      <c r="B235">
        <v>2016</v>
      </c>
      <c r="C235" s="14">
        <f>2126.2*(2/3*10)</f>
        <v>14174.666666666664</v>
      </c>
      <c r="D235" s="14">
        <f>39.4*(2/3*10)</f>
        <v>262.66666666666663</v>
      </c>
      <c r="E235" s="14">
        <f>3929.8*(2/3*10)</f>
        <v>26198.666666666664</v>
      </c>
      <c r="F235" s="14">
        <f>5809.4*(2/3*10)</f>
        <v>38729.333333333328</v>
      </c>
      <c r="G235" s="14">
        <f>304.4*(2/3*10)</f>
        <v>2029.333333333333</v>
      </c>
      <c r="H235" s="14">
        <f>106.9*(2/3*10)</f>
        <v>712.66666666666663</v>
      </c>
      <c r="I235" s="14">
        <f>255.3*(2/3*10)</f>
        <v>1702</v>
      </c>
      <c r="K235">
        <v>232</v>
      </c>
      <c r="L235">
        <f t="shared" si="3"/>
        <v>0</v>
      </c>
    </row>
    <row r="236" spans="1:12" ht="16.5" x14ac:dyDescent="0.2">
      <c r="A236" s="4" t="s">
        <v>323</v>
      </c>
      <c r="B236">
        <v>2009</v>
      </c>
      <c r="C236" s="14">
        <f>2021*(2/3*10)</f>
        <v>13473.333333333332</v>
      </c>
      <c r="D236" s="14">
        <f>10.1*(2/3*10)</f>
        <v>67.333333333333329</v>
      </c>
      <c r="E236" s="14">
        <f>2130*(2/3*10)</f>
        <v>14199.999999999998</v>
      </c>
      <c r="F236" s="14">
        <f>3559.3*(2/3*10)</f>
        <v>23728.666666666664</v>
      </c>
      <c r="G236" s="14">
        <f>271.6*(2/3*10)</f>
        <v>1810.6666666666667</v>
      </c>
      <c r="H236" s="14">
        <f>115.5*(2/3*10)</f>
        <v>769.99999999999989</v>
      </c>
      <c r="I236" s="14">
        <f>208*(2/3*10)</f>
        <v>1386.6666666666665</v>
      </c>
      <c r="K236" s="15">
        <v>233</v>
      </c>
      <c r="L236">
        <f t="shared" si="3"/>
        <v>1</v>
      </c>
    </row>
    <row r="237" spans="1:12" ht="16.5" x14ac:dyDescent="0.2">
      <c r="A237" s="4" t="s">
        <v>323</v>
      </c>
      <c r="B237">
        <v>2010</v>
      </c>
      <c r="C237" s="14">
        <f>2021.5*(2/3*10)</f>
        <v>13476.666666666666</v>
      </c>
      <c r="D237" s="14">
        <f>10.1*(2/3*10)</f>
        <v>67.333333333333329</v>
      </c>
      <c r="E237" s="14">
        <f>2129.1*(2/3*10)</f>
        <v>14193.999999999998</v>
      </c>
      <c r="F237" s="14">
        <f>3556*(2/3*10)</f>
        <v>23706.666666666664</v>
      </c>
      <c r="G237" s="14">
        <f>273.5*(2/3*10)</f>
        <v>1823.3333333333333</v>
      </c>
      <c r="H237" s="14">
        <f>117*(2/3*10)</f>
        <v>779.99999999999989</v>
      </c>
      <c r="I237" s="14">
        <f>208*(2/3*10)</f>
        <v>1386.6666666666665</v>
      </c>
      <c r="K237">
        <v>234</v>
      </c>
      <c r="L237">
        <f t="shared" si="3"/>
        <v>2</v>
      </c>
    </row>
    <row r="238" spans="1:12" ht="16.5" x14ac:dyDescent="0.2">
      <c r="A238" s="4" t="s">
        <v>323</v>
      </c>
      <c r="B238">
        <v>2011</v>
      </c>
      <c r="C238" s="14">
        <f>2021.6*(2/3*10)</f>
        <v>13477.333333333332</v>
      </c>
      <c r="D238" s="14">
        <f>10*(2/3*10)</f>
        <v>66.666666666666657</v>
      </c>
      <c r="E238" s="14">
        <f>2128*(2/3*10)</f>
        <v>14186.666666666666</v>
      </c>
      <c r="F238" s="14">
        <f>3552.9*(2/3*10)</f>
        <v>23686</v>
      </c>
      <c r="G238" s="14">
        <f>276*(2/3*10)</f>
        <v>1839.9999999999998</v>
      </c>
      <c r="H238" s="14">
        <f>117.7*(2/3*10)</f>
        <v>784.66666666666663</v>
      </c>
      <c r="I238" s="14">
        <f>208*(2/3*10)</f>
        <v>1386.6666666666665</v>
      </c>
      <c r="K238" s="15">
        <v>235</v>
      </c>
      <c r="L238">
        <f t="shared" si="3"/>
        <v>3</v>
      </c>
    </row>
    <row r="239" spans="1:12" ht="16.5" x14ac:dyDescent="0.2">
      <c r="A239" s="4" t="s">
        <v>323</v>
      </c>
      <c r="B239">
        <v>2012</v>
      </c>
      <c r="C239" s="14">
        <f>2022*(2/3*10)</f>
        <v>13479.999999999998</v>
      </c>
      <c r="D239" s="14">
        <f>10*(2/3*10)</f>
        <v>66.666666666666657</v>
      </c>
      <c r="E239" s="14">
        <f>2126.5*(2/3*10)</f>
        <v>14176.666666666666</v>
      </c>
      <c r="F239" s="14">
        <f>3548*(2/3*10)</f>
        <v>23653.333333333332</v>
      </c>
      <c r="G239" s="14">
        <f>279*(2/3*10)</f>
        <v>1859.9999999999998</v>
      </c>
      <c r="H239" s="14">
        <f>118.3*(2/3*10)</f>
        <v>788.66666666666663</v>
      </c>
      <c r="I239" s="14">
        <f>209.2*(2/3*10)</f>
        <v>1394.6666666666665</v>
      </c>
      <c r="K239">
        <v>236</v>
      </c>
      <c r="L239">
        <f t="shared" si="3"/>
        <v>4</v>
      </c>
    </row>
    <row r="240" spans="1:12" ht="16.5" x14ac:dyDescent="0.2">
      <c r="A240" s="4" t="s">
        <v>323</v>
      </c>
      <c r="B240">
        <v>2013</v>
      </c>
      <c r="C240" s="14">
        <f>2026.3*(2/3*10)</f>
        <v>13508.666666666666</v>
      </c>
      <c r="D240" s="14">
        <f>9.9*(2/3*10)</f>
        <v>66</v>
      </c>
      <c r="E240" s="14">
        <f>2125*(2/3*10)</f>
        <v>14166.666666666666</v>
      </c>
      <c r="F240" s="14">
        <f>3546.1*(2/3*10)</f>
        <v>23640.666666666664</v>
      </c>
      <c r="G240" s="14">
        <f>281.1*(2/3*10)</f>
        <v>1873.9999999999995</v>
      </c>
      <c r="H240" s="14">
        <f>120*(2/3*10)</f>
        <v>799.99999999999989</v>
      </c>
      <c r="I240" s="14">
        <f>204.8*(2/3*10)</f>
        <v>1365.3333333333333</v>
      </c>
      <c r="K240" s="15">
        <v>237</v>
      </c>
      <c r="L240">
        <f t="shared" si="3"/>
        <v>5</v>
      </c>
    </row>
    <row r="241" spans="1:12" ht="16.5" x14ac:dyDescent="0.2">
      <c r="A241" s="4" t="s">
        <v>323</v>
      </c>
      <c r="B241">
        <v>2014</v>
      </c>
      <c r="C241" s="14">
        <f>2058.4*(2/3*10)</f>
        <v>13722.666666666666</v>
      </c>
      <c r="D241" s="14">
        <f>9.7*(2/3*10)</f>
        <v>64.666666666666657</v>
      </c>
      <c r="E241" s="14">
        <f>2111.7*(2/3*10)</f>
        <v>14077.999999999998</v>
      </c>
      <c r="F241" s="14">
        <f>3523.9*(2/3*10)</f>
        <v>23492.666666666664</v>
      </c>
      <c r="G241" s="14">
        <f>284.2*(2/3*10)</f>
        <v>1894.6666666666665</v>
      </c>
      <c r="H241" s="14">
        <f>120.5*(2/3*10)</f>
        <v>803.33333333333326</v>
      </c>
      <c r="I241" s="14">
        <f>203.6*(2/3*10)</f>
        <v>1357.3333333333333</v>
      </c>
      <c r="K241">
        <v>238</v>
      </c>
      <c r="L241">
        <f t="shared" si="3"/>
        <v>6</v>
      </c>
    </row>
    <row r="242" spans="1:12" ht="16.5" x14ac:dyDescent="0.2">
      <c r="A242" s="4" t="s">
        <v>323</v>
      </c>
      <c r="B242">
        <v>2015</v>
      </c>
      <c r="C242" s="14">
        <f>2071*(2/3*10)</f>
        <v>13806.666666666666</v>
      </c>
      <c r="D242" s="14">
        <f>9.6*(2/3*10)</f>
        <v>63.999999999999993</v>
      </c>
      <c r="E242" s="14">
        <f>2111*(2/3*10)</f>
        <v>14073.333333333332</v>
      </c>
      <c r="F242" s="14">
        <f>3509.6*(2/3*10)</f>
        <v>23397.333333333332</v>
      </c>
      <c r="G242" s="14">
        <f>286.5*(2/3*10)</f>
        <v>1909.9999999999998</v>
      </c>
      <c r="H242" s="14">
        <f>120.8*(2/3*10)</f>
        <v>805.33333333333326</v>
      </c>
      <c r="I242" s="14">
        <f>203.3*(2/3*10)</f>
        <v>1355.3333333333333</v>
      </c>
      <c r="K242" s="15">
        <v>239</v>
      </c>
      <c r="L242">
        <f t="shared" si="3"/>
        <v>7</v>
      </c>
    </row>
    <row r="243" spans="1:12" ht="16.5" x14ac:dyDescent="0.2">
      <c r="A243" s="4" t="s">
        <v>323</v>
      </c>
      <c r="B243">
        <v>2016</v>
      </c>
      <c r="C243" s="14">
        <f>2083.8*(2/3*10)</f>
        <v>13892</v>
      </c>
      <c r="D243" s="14">
        <f>9.6*(2/3*10)</f>
        <v>63.999999999999993</v>
      </c>
      <c r="E243" s="14">
        <f>2107.6*(2/3*10)</f>
        <v>14050.666666666664</v>
      </c>
      <c r="F243" s="14">
        <f>3497.9*(2/3*10)</f>
        <v>23319.333333333332</v>
      </c>
      <c r="G243" s="14">
        <f>289.3*(2/3*10)</f>
        <v>1928.6666666666663</v>
      </c>
      <c r="H243" s="14">
        <f>121.4*(2/3*10)</f>
        <v>809.33333333333326</v>
      </c>
      <c r="I243" s="14">
        <f>203.2*(2/3*10)</f>
        <v>1354.6666666666665</v>
      </c>
      <c r="K243">
        <v>240</v>
      </c>
      <c r="L243">
        <f t="shared" si="3"/>
        <v>0</v>
      </c>
    </row>
    <row r="244" spans="1:12" ht="16.5" x14ac:dyDescent="0.2">
      <c r="A244" s="4" t="s">
        <v>322</v>
      </c>
      <c r="B244">
        <v>2009</v>
      </c>
      <c r="C244" s="14">
        <f>610.6*(2/3*10)</f>
        <v>4070.6666666666665</v>
      </c>
      <c r="D244" s="14">
        <f>3.6*(2/3*10)</f>
        <v>24</v>
      </c>
      <c r="E244" s="14">
        <f>1970.4*(2/3*10)</f>
        <v>13136</v>
      </c>
      <c r="F244" s="14">
        <f>8084.5*(2/3*10)</f>
        <v>53896.666666666664</v>
      </c>
      <c r="G244" s="14">
        <f>151.8*(2/3*10)</f>
        <v>1012</v>
      </c>
      <c r="H244" s="14">
        <f>80.1*(2/3*10)</f>
        <v>533.99999999999989</v>
      </c>
      <c r="I244" s="14">
        <f>248.9*(2/3*10)</f>
        <v>1659.3333333333333</v>
      </c>
      <c r="K244" s="15">
        <v>241</v>
      </c>
      <c r="L244">
        <f t="shared" si="3"/>
        <v>1</v>
      </c>
    </row>
    <row r="245" spans="1:12" ht="16.5" x14ac:dyDescent="0.2">
      <c r="A245" s="4" t="s">
        <v>322</v>
      </c>
      <c r="B245">
        <v>2010</v>
      </c>
      <c r="C245" s="14">
        <f>610.5*(2/3*10)</f>
        <v>4069.9999999999995</v>
      </c>
      <c r="D245" s="14">
        <f>3.6*(2/3*10)</f>
        <v>24</v>
      </c>
      <c r="E245" s="14">
        <f>1963.7*(2/3*10)</f>
        <v>13091.333333333332</v>
      </c>
      <c r="F245" s="14">
        <f>8072.5*(2/3*10)</f>
        <v>53816.666666666664</v>
      </c>
      <c r="G245" s="14">
        <f>163.1*(2/3*10)</f>
        <v>1087.3333333333335</v>
      </c>
      <c r="H245" s="14">
        <f>87.7*(2/3*10)</f>
        <v>584.66666666666663</v>
      </c>
      <c r="I245" s="14">
        <f>249.3*(2/3*10)</f>
        <v>1662</v>
      </c>
      <c r="K245">
        <v>242</v>
      </c>
      <c r="L245">
        <f t="shared" si="3"/>
        <v>2</v>
      </c>
    </row>
    <row r="246" spans="1:12" ht="16.5" x14ac:dyDescent="0.2">
      <c r="A246" s="4" t="s">
        <v>322</v>
      </c>
      <c r="B246">
        <v>2011</v>
      </c>
      <c r="C246" s="14">
        <f>612.1*(2/3*10)</f>
        <v>4080.6666666666665</v>
      </c>
      <c r="D246" s="14">
        <f>3.6*(2/3*10)</f>
        <v>24</v>
      </c>
      <c r="E246" s="14">
        <f>1961.3*(2/3*10)</f>
        <v>13075.333333333332</v>
      </c>
      <c r="F246" s="14">
        <f>8062.5*(2/3*10)</f>
        <v>53749.999999999993</v>
      </c>
      <c r="G246" s="14">
        <f>171*(2/3*10)</f>
        <v>1140</v>
      </c>
      <c r="H246" s="14">
        <f>90.7*(2/3*10)</f>
        <v>604.66666666666663</v>
      </c>
      <c r="I246" s="14">
        <f>249.1*(2/3*10)</f>
        <v>1660.6666666666665</v>
      </c>
      <c r="K246" s="15">
        <v>243</v>
      </c>
      <c r="L246">
        <f t="shared" si="3"/>
        <v>3</v>
      </c>
    </row>
    <row r="247" spans="1:12" ht="16.5" x14ac:dyDescent="0.2">
      <c r="A247" s="4" t="s">
        <v>322</v>
      </c>
      <c r="B247">
        <v>2012</v>
      </c>
      <c r="C247" s="14">
        <f>612.1*(2/3*10)</f>
        <v>4080.6666666666665</v>
      </c>
      <c r="D247" s="14">
        <f>3.6*(2/3*10)</f>
        <v>24</v>
      </c>
      <c r="E247" s="14">
        <f>1956.4*(2/3*10)</f>
        <v>13042.666666666666</v>
      </c>
      <c r="F247" s="14">
        <f>8060.7*(2/3*10)</f>
        <v>53737.999999999993</v>
      </c>
      <c r="G247" s="14">
        <f>175.5*(2/3*10)</f>
        <v>1170</v>
      </c>
      <c r="H247" s="14">
        <f>94.2*(2/3*10)</f>
        <v>628</v>
      </c>
      <c r="I247" s="14">
        <f>248.8*(2/3*10)</f>
        <v>1658.6666666666665</v>
      </c>
      <c r="K247">
        <v>244</v>
      </c>
      <c r="L247">
        <f t="shared" si="3"/>
        <v>4</v>
      </c>
    </row>
    <row r="248" spans="1:12" ht="16.5" x14ac:dyDescent="0.2">
      <c r="A248" s="4" t="s">
        <v>322</v>
      </c>
      <c r="B248">
        <v>2013</v>
      </c>
      <c r="C248" s="14">
        <f>617.2*(2/3*10)</f>
        <v>4114.666666666667</v>
      </c>
      <c r="D248" s="14">
        <f>3.6*(2/3*10)</f>
        <v>24</v>
      </c>
      <c r="E248" s="14">
        <f>1954.1*(2/3*10)</f>
        <v>13027.333333333332</v>
      </c>
      <c r="F248" s="14">
        <f>8050.3*(2/3*10)</f>
        <v>53668.666666666664</v>
      </c>
      <c r="G248" s="14">
        <f>181.6*(2/3*10)</f>
        <v>1210.6666666666665</v>
      </c>
      <c r="H248" s="14">
        <f>95.9*(2/3*10)</f>
        <v>639.33333333333337</v>
      </c>
      <c r="I248" s="14">
        <f>249.4*(2/3*10)</f>
        <v>1662.6666666666665</v>
      </c>
      <c r="K248" s="15">
        <v>245</v>
      </c>
      <c r="L248">
        <f t="shared" si="3"/>
        <v>5</v>
      </c>
    </row>
    <row r="249" spans="1:12" ht="16.5" x14ac:dyDescent="0.2">
      <c r="A249" s="4" t="s">
        <v>322</v>
      </c>
      <c r="B249">
        <v>2014</v>
      </c>
      <c r="C249" s="14">
        <f>618.8*(2/3*10)</f>
        <v>4125.333333333333</v>
      </c>
      <c r="D249" s="14">
        <f>3.5*(2/3*10)</f>
        <v>23.333333333333332</v>
      </c>
      <c r="E249" s="14">
        <f>1952.6*(2/3*10)</f>
        <v>13017.333333333332</v>
      </c>
      <c r="F249" s="14">
        <f>8043.1*(2/3*10)</f>
        <v>53620.666666666664</v>
      </c>
      <c r="G249" s="14">
        <f>187*(2/3*10)</f>
        <v>1246.6666666666665</v>
      </c>
      <c r="H249" s="14">
        <f>97*(2/3*10)</f>
        <v>646.66666666666663</v>
      </c>
      <c r="I249" s="14">
        <f>250.2*(2/3*10)</f>
        <v>1667.9999999999998</v>
      </c>
      <c r="K249">
        <v>246</v>
      </c>
      <c r="L249">
        <f t="shared" si="3"/>
        <v>6</v>
      </c>
    </row>
    <row r="250" spans="1:12" ht="16.5" x14ac:dyDescent="0.2">
      <c r="A250" s="4" t="s">
        <v>322</v>
      </c>
      <c r="B250">
        <v>2015</v>
      </c>
      <c r="C250" s="14">
        <f>618.4*(2/3*10)</f>
        <v>4122.6666666666661</v>
      </c>
      <c r="D250" s="14">
        <f>3.5*(2/3*10)</f>
        <v>23.333333333333332</v>
      </c>
      <c r="E250" s="14">
        <f>1951.6*(2/3*10)</f>
        <v>13010.666666666664</v>
      </c>
      <c r="F250" s="14">
        <f>8039.3*(2/3*10)</f>
        <v>53595.333333333328</v>
      </c>
      <c r="G250" s="14">
        <f>190.5*(2/3*10)</f>
        <v>1269.9999999999998</v>
      </c>
      <c r="H250" s="14">
        <f>97.5*(2/3*10)</f>
        <v>649.99999999999989</v>
      </c>
      <c r="I250" s="14">
        <f>250.7*(2/3*10)</f>
        <v>1671.333333333333</v>
      </c>
      <c r="K250" s="15">
        <v>247</v>
      </c>
      <c r="L250">
        <f t="shared" si="3"/>
        <v>7</v>
      </c>
    </row>
    <row r="251" spans="1:12" ht="16.5" x14ac:dyDescent="0.2">
      <c r="A251" s="4" t="s">
        <v>322</v>
      </c>
      <c r="B251">
        <v>2016</v>
      </c>
      <c r="C251" s="14">
        <f>619.7*(2/3*10)</f>
        <v>4131.333333333333</v>
      </c>
      <c r="D251" s="14">
        <f>3.5*(2/3*10)</f>
        <v>23.333333333333332</v>
      </c>
      <c r="E251" s="14">
        <f>1949.3*(2/3*10)</f>
        <v>12995.333333333332</v>
      </c>
      <c r="F251" s="14">
        <f>8032.1*(2/3*10)</f>
        <v>53547.333333333328</v>
      </c>
      <c r="G251" s="14">
        <f>194.4*(2/3*10)</f>
        <v>1296</v>
      </c>
      <c r="H251" s="14">
        <f>102.8*(2/3*10)</f>
        <v>685.33333333333326</v>
      </c>
      <c r="I251" s="14">
        <f>251.2*(2/3*10)</f>
        <v>1674.6666666666665</v>
      </c>
      <c r="K251">
        <v>248</v>
      </c>
      <c r="L251">
        <f t="shared" si="3"/>
        <v>0</v>
      </c>
    </row>
    <row r="252" spans="1:12" ht="16.5" x14ac:dyDescent="0.2">
      <c r="A252" s="4" t="s">
        <v>321</v>
      </c>
      <c r="B252">
        <v>2009</v>
      </c>
      <c r="C252" s="14">
        <f>2782*(2/3*10)</f>
        <v>18546.666666666664</v>
      </c>
      <c r="D252" s="14">
        <f>5.2*(2/3*10)</f>
        <v>34.666666666666664</v>
      </c>
      <c r="E252" s="14">
        <f>20138.7*(2/3*10)</f>
        <v>134258</v>
      </c>
      <c r="F252" s="14">
        <f>12092.1*(2/3*10)</f>
        <v>80614</v>
      </c>
      <c r="G252" s="14">
        <f>238.8*(2/3*10)</f>
        <v>1592</v>
      </c>
      <c r="H252" s="14">
        <f>152.7*(2/3*10)</f>
        <v>1017.9999999999999</v>
      </c>
      <c r="I252" s="14">
        <f>739*(2/3*10)</f>
        <v>4926.6666666666661</v>
      </c>
      <c r="K252" s="15">
        <v>249</v>
      </c>
      <c r="L252">
        <f t="shared" si="3"/>
        <v>1</v>
      </c>
    </row>
    <row r="253" spans="1:12" ht="16.5" x14ac:dyDescent="0.2">
      <c r="A253" s="4" t="s">
        <v>321</v>
      </c>
      <c r="B253">
        <v>2010</v>
      </c>
      <c r="C253" s="14">
        <f>2781.8*(2/3*10)</f>
        <v>18545.333333333332</v>
      </c>
      <c r="D253" s="14">
        <f>5.2*(2/3*10)</f>
        <v>34.666666666666664</v>
      </c>
      <c r="E253" s="14">
        <f>20139.2*(2/3*10)</f>
        <v>134261.33333333331</v>
      </c>
      <c r="F253" s="14">
        <f>12088.3*(2/3*10)</f>
        <v>80588.666666666657</v>
      </c>
      <c r="G253" s="14">
        <f>242*(2/3*10)</f>
        <v>1613.3333333333333</v>
      </c>
      <c r="H253" s="14">
        <f>153.4*(2/3*10)</f>
        <v>1022.6666666666666</v>
      </c>
      <c r="I253" s="14">
        <f>738.8*(2/3*10)</f>
        <v>4925.333333333333</v>
      </c>
      <c r="K253">
        <v>250</v>
      </c>
      <c r="L253">
        <f t="shared" si="3"/>
        <v>2</v>
      </c>
    </row>
    <row r="254" spans="1:12" ht="16.5" x14ac:dyDescent="0.2">
      <c r="A254" s="4" t="s">
        <v>321</v>
      </c>
      <c r="B254">
        <v>2011</v>
      </c>
      <c r="C254" s="14">
        <f>2786.6*(2/3*10)</f>
        <v>18577.333333333332</v>
      </c>
      <c r="D254" s="14">
        <f>5.2*(2/3*10)</f>
        <v>34.666666666666664</v>
      </c>
      <c r="E254" s="14">
        <f>20133.3*(2/3*10)</f>
        <v>134221.99999999997</v>
      </c>
      <c r="F254" s="14">
        <f>12085.8*(2/3*10)</f>
        <v>80571.999999999985</v>
      </c>
      <c r="G254" s="14">
        <f>244.7*(2/3*10)</f>
        <v>1631.3333333333333</v>
      </c>
      <c r="H254" s="14">
        <f>155*(2/3*10)</f>
        <v>1033.3333333333333</v>
      </c>
      <c r="I254" s="14">
        <f>739.5*(2/3*10)</f>
        <v>4930</v>
      </c>
      <c r="K254" s="15">
        <v>251</v>
      </c>
      <c r="L254">
        <f t="shared" si="3"/>
        <v>3</v>
      </c>
    </row>
    <row r="255" spans="1:12" ht="16.5" x14ac:dyDescent="0.2">
      <c r="A255" s="4" t="s">
        <v>321</v>
      </c>
      <c r="B255">
        <v>2012</v>
      </c>
      <c r="C255" s="14">
        <f>2789.3*(2/3*10)</f>
        <v>18595.333333333332</v>
      </c>
      <c r="D255" s="14">
        <f>5.2*(2/3*10)</f>
        <v>34.666666666666664</v>
      </c>
      <c r="E255" s="14">
        <f>20132.6*(2/3*10)</f>
        <v>134217.33333333331</v>
      </c>
      <c r="F255" s="14">
        <f>12078.9*(2/3*10)</f>
        <v>80525.999999999985</v>
      </c>
      <c r="G255" s="14">
        <f>247.6*(2/3*10)</f>
        <v>1650.6666666666665</v>
      </c>
      <c r="H255" s="14">
        <f>155.5*(2/3*10)</f>
        <v>1036.6666666666665</v>
      </c>
      <c r="I255" s="14">
        <f>740.4*(2/3*10)</f>
        <v>4935.9999999999991</v>
      </c>
      <c r="K255">
        <v>252</v>
      </c>
      <c r="L255">
        <f t="shared" si="3"/>
        <v>4</v>
      </c>
    </row>
    <row r="256" spans="1:12" ht="16.5" x14ac:dyDescent="0.2">
      <c r="A256" s="4" t="s">
        <v>321</v>
      </c>
      <c r="B256">
        <v>2013</v>
      </c>
      <c r="C256" s="14">
        <f>2793.9*(2/3*10)</f>
        <v>18626</v>
      </c>
      <c r="D256" s="14">
        <f>5.2*(2/3*10)</f>
        <v>34.666666666666664</v>
      </c>
      <c r="E256" s="14">
        <f>20131.9*(2/3*10)</f>
        <v>134212.66666666666</v>
      </c>
      <c r="F256" s="14">
        <f>12072.3*(2/3*10)</f>
        <v>80481.999999999985</v>
      </c>
      <c r="G256" s="14">
        <f>249*(2/3*10)</f>
        <v>1659.9999999999998</v>
      </c>
      <c r="H256" s="14">
        <f>156.5*(2/3*10)</f>
        <v>1043.3333333333333</v>
      </c>
      <c r="I256" s="14">
        <f>740.4*(2/3*10)</f>
        <v>4935.9999999999991</v>
      </c>
      <c r="K256" s="15">
        <v>253</v>
      </c>
      <c r="L256">
        <f t="shared" si="3"/>
        <v>5</v>
      </c>
    </row>
    <row r="257" spans="1:12" ht="16.5" x14ac:dyDescent="0.2">
      <c r="A257" s="4" t="s">
        <v>321</v>
      </c>
      <c r="B257">
        <v>2014</v>
      </c>
      <c r="C257" s="14">
        <f>2798.2*(2/3*10)</f>
        <v>18654.666666666664</v>
      </c>
      <c r="D257" s="14">
        <f>5.2*(2/3*10)</f>
        <v>34.666666666666664</v>
      </c>
      <c r="E257" s="14">
        <f>20126*(2/3*10)</f>
        <v>134173.33333333331</v>
      </c>
      <c r="F257" s="14">
        <f>12067.9*(2/3*10)</f>
        <v>80452.666666666657</v>
      </c>
      <c r="G257" s="14">
        <f>251.2*(2/3*10)</f>
        <v>1674.6666666666665</v>
      </c>
      <c r="H257" s="14">
        <f>159.7*(2/3*10)</f>
        <v>1064.6666666666665</v>
      </c>
      <c r="I257" s="14">
        <f>740.7*(2/3*10)</f>
        <v>4938</v>
      </c>
      <c r="K257">
        <v>254</v>
      </c>
      <c r="L257">
        <f t="shared" si="3"/>
        <v>6</v>
      </c>
    </row>
    <row r="258" spans="1:12" ht="16.5" x14ac:dyDescent="0.2">
      <c r="A258" s="4" t="s">
        <v>321</v>
      </c>
      <c r="B258">
        <v>2015</v>
      </c>
      <c r="C258" s="14">
        <f>2797.7*(2/3*10)</f>
        <v>18651.333333333332</v>
      </c>
      <c r="D258" s="14">
        <f>5.2*(2/3*10)</f>
        <v>34.666666666666664</v>
      </c>
      <c r="E258" s="14">
        <f>20125.9*(2/3*10)</f>
        <v>134172.66666666666</v>
      </c>
      <c r="F258" s="14">
        <f>12066*(2/3*10)</f>
        <v>80440</v>
      </c>
      <c r="G258" s="14">
        <f>253*(2/3*10)</f>
        <v>1686.6666666666665</v>
      </c>
      <c r="H258" s="14">
        <f>160.6*(2/3*10)</f>
        <v>1070.6666666666665</v>
      </c>
      <c r="I258" s="14">
        <f>740.3*(2/3*10)</f>
        <v>4935.333333333333</v>
      </c>
      <c r="K258" s="15">
        <v>255</v>
      </c>
      <c r="L258">
        <f t="shared" si="3"/>
        <v>7</v>
      </c>
    </row>
    <row r="259" spans="1:12" ht="16.5" x14ac:dyDescent="0.2">
      <c r="A259" s="4" t="s">
        <v>321</v>
      </c>
      <c r="B259">
        <v>2016</v>
      </c>
      <c r="C259" s="14">
        <f>2799.7*(2/3*10)</f>
        <v>18664.666666666664</v>
      </c>
      <c r="D259" s="14">
        <f>5.2*(2/3*10)</f>
        <v>34.666666666666664</v>
      </c>
      <c r="E259" s="14">
        <f>20125.8*(2/3*10)</f>
        <v>134171.99999999997</v>
      </c>
      <c r="F259" s="14">
        <f>12058.6*(2/3*10)</f>
        <v>80390.666666666657</v>
      </c>
      <c r="G259" s="14">
        <f>258*(2/3*10)</f>
        <v>1719.9999999999998</v>
      </c>
      <c r="H259" s="14">
        <f>161.6*(2/3*10)</f>
        <v>1077.3333333333333</v>
      </c>
      <c r="I259" s="14">
        <f>740.5*(2/3*10)</f>
        <v>4936.6666666666661</v>
      </c>
      <c r="K259">
        <v>256</v>
      </c>
      <c r="L259">
        <f t="shared" si="3"/>
        <v>0</v>
      </c>
    </row>
    <row r="260" spans="1:12" ht="16.5" x14ac:dyDescent="0.2">
      <c r="A260" s="4" t="s">
        <v>320</v>
      </c>
      <c r="B260">
        <v>2009</v>
      </c>
      <c r="C260" s="14">
        <f>1053.5*(2/3*10)</f>
        <v>7023.333333333333</v>
      </c>
      <c r="D260" s="14">
        <f>6.9*(2/3*10)</f>
        <v>46</v>
      </c>
      <c r="E260" s="14">
        <f>240.2*(2/3*10)</f>
        <v>1601.333333333333</v>
      </c>
      <c r="F260" s="14">
        <f>6420.9*(2/3*10)</f>
        <v>42805.999999999993</v>
      </c>
      <c r="G260" s="14">
        <f>135.5*(2/3*10)</f>
        <v>903.33333333333326</v>
      </c>
      <c r="H260" s="14">
        <f>55.3*(2/3*10)</f>
        <v>368.66666666666663</v>
      </c>
      <c r="I260" s="14">
        <f>429.1*(2/3*10)</f>
        <v>2860.6666666666665</v>
      </c>
      <c r="K260" s="15">
        <v>257</v>
      </c>
      <c r="L260">
        <f t="shared" si="3"/>
        <v>1</v>
      </c>
    </row>
    <row r="261" spans="1:12" ht="16.5" x14ac:dyDescent="0.2">
      <c r="A261" s="4" t="s">
        <v>320</v>
      </c>
      <c r="B261">
        <v>2010</v>
      </c>
      <c r="C261" s="14">
        <f>1052.1*(2/3*10)</f>
        <v>7013.9999999999991</v>
      </c>
      <c r="D261" s="14">
        <f>6.9*(2/3*10)</f>
        <v>46</v>
      </c>
      <c r="E261" s="14">
        <f>239.9*(2/3*10)</f>
        <v>1599.3333333333333</v>
      </c>
      <c r="F261" s="14">
        <f>6417.7*(2/3*10)</f>
        <v>42784.666666666664</v>
      </c>
      <c r="G261" s="14">
        <f>139.9*(2/3*10)</f>
        <v>932.66666666666663</v>
      </c>
      <c r="H261" s="14">
        <f>57.1*(2/3*10)</f>
        <v>380.66666666666663</v>
      </c>
      <c r="I261" s="14">
        <f>429.1*(2/3*10)</f>
        <v>2860.6666666666665</v>
      </c>
      <c r="K261">
        <v>258</v>
      </c>
      <c r="L261">
        <f t="shared" ref="L261:L324" si="4">MOD(K261,8)</f>
        <v>2</v>
      </c>
    </row>
    <row r="262" spans="1:12" ht="16.5" x14ac:dyDescent="0.2">
      <c r="A262" s="4" t="s">
        <v>320</v>
      </c>
      <c r="B262">
        <v>2011</v>
      </c>
      <c r="C262" s="14">
        <f>1055*(2/3*10)</f>
        <v>7033.333333333333</v>
      </c>
      <c r="D262" s="14">
        <f>6.8*(2/3*10)</f>
        <v>45.333333333333329</v>
      </c>
      <c r="E262" s="14">
        <f>239.6*(2/3*10)</f>
        <v>1597.3333333333333</v>
      </c>
      <c r="F262" s="14">
        <f>6415.1*(2/3*10)</f>
        <v>42767.333333333328</v>
      </c>
      <c r="G262" s="14">
        <f>142.9*(2/3*10)</f>
        <v>952.66666666666663</v>
      </c>
      <c r="H262" s="14">
        <f>57.3*(2/3*10)</f>
        <v>381.99999999999994</v>
      </c>
      <c r="I262" s="14">
        <f>429.1*(2/3*10)</f>
        <v>2860.6666666666665</v>
      </c>
      <c r="K262" s="15">
        <v>259</v>
      </c>
      <c r="L262">
        <f t="shared" si="4"/>
        <v>3</v>
      </c>
    </row>
    <row r="263" spans="1:12" ht="16.5" x14ac:dyDescent="0.2">
      <c r="A263" s="4" t="s">
        <v>320</v>
      </c>
      <c r="B263">
        <v>2012</v>
      </c>
      <c r="C263" s="14">
        <f>1058.3*(2/3*10)</f>
        <v>7055.3333333333321</v>
      </c>
      <c r="D263" s="14">
        <f>6.9*(2/3*10)</f>
        <v>46</v>
      </c>
      <c r="E263" s="14">
        <f>239.4*(2/3*10)</f>
        <v>1596</v>
      </c>
      <c r="F263" s="14">
        <f>6412.9*(2/3*10)</f>
        <v>42752.666666666657</v>
      </c>
      <c r="G263" s="14">
        <f>144.8*(2/3*10)</f>
        <v>965.33333333333337</v>
      </c>
      <c r="H263" s="14">
        <f>57.9*(2/3*10)</f>
        <v>385.99999999999994</v>
      </c>
      <c r="I263" s="14">
        <f>429*(2/3*10)</f>
        <v>2859.9999999999995</v>
      </c>
      <c r="K263">
        <v>260</v>
      </c>
      <c r="L263">
        <f t="shared" si="4"/>
        <v>4</v>
      </c>
    </row>
    <row r="264" spans="1:12" ht="16.5" x14ac:dyDescent="0.2">
      <c r="A264" s="4" t="s">
        <v>320</v>
      </c>
      <c r="B264">
        <v>2013</v>
      </c>
      <c r="C264" s="14">
        <f>1059.7*(2/3*10)</f>
        <v>7064.6666666666661</v>
      </c>
      <c r="D264" s="14">
        <f>6.9*(2/3*10)</f>
        <v>46</v>
      </c>
      <c r="E264" s="14">
        <f>239.4*(2/3*10)</f>
        <v>1596</v>
      </c>
      <c r="F264" s="14">
        <f>6411.6*(2/3*10)</f>
        <v>42744</v>
      </c>
      <c r="G264" s="14">
        <f>146*(2/3*10)</f>
        <v>973.33333333333326</v>
      </c>
      <c r="H264" s="14">
        <f>58.5*(2/3*10)</f>
        <v>389.99999999999994</v>
      </c>
      <c r="I264" s="14">
        <f>428.8*(2/3*10)</f>
        <v>2858.6666666666665</v>
      </c>
      <c r="K264" s="15">
        <v>261</v>
      </c>
      <c r="L264">
        <f t="shared" si="4"/>
        <v>5</v>
      </c>
    </row>
    <row r="265" spans="1:12" ht="16.5" x14ac:dyDescent="0.2">
      <c r="A265" s="4" t="s">
        <v>320</v>
      </c>
      <c r="B265">
        <v>2014</v>
      </c>
      <c r="C265" s="14">
        <f>1069.6*(2/3*10)</f>
        <v>7130.6666666666652</v>
      </c>
      <c r="D265" s="14">
        <f>6.9*(2/3*10)</f>
        <v>46</v>
      </c>
      <c r="E265" s="14">
        <f>239.2*(2/3*10)</f>
        <v>1594.6666666666665</v>
      </c>
      <c r="F265" s="14">
        <f>6407.9*(2/3*10)</f>
        <v>42719.333333333328</v>
      </c>
      <c r="G265" s="14">
        <f>147.1*(2/3*10)</f>
        <v>980.66666666666674</v>
      </c>
      <c r="H265" s="14">
        <f>59.3*(2/3*10)</f>
        <v>395.33333333333326</v>
      </c>
      <c r="I265" s="14">
        <f>428.7*(2/3*10)</f>
        <v>2857.9999999999995</v>
      </c>
      <c r="K265">
        <v>262</v>
      </c>
      <c r="L265">
        <f t="shared" si="4"/>
        <v>6</v>
      </c>
    </row>
    <row r="266" spans="1:12" ht="16.5" x14ac:dyDescent="0.2">
      <c r="A266" s="4" t="s">
        <v>320</v>
      </c>
      <c r="B266">
        <v>2015</v>
      </c>
      <c r="C266" s="14">
        <f>1072.6*(2/3*10)</f>
        <v>7150.6666666666652</v>
      </c>
      <c r="D266" s="14">
        <f>6.9*(2/3*10)</f>
        <v>46</v>
      </c>
      <c r="E266" s="14">
        <f>239.2*(2/3*10)</f>
        <v>1594.6666666666665</v>
      </c>
      <c r="F266" s="14">
        <f>6407.1*(2/3*10)</f>
        <v>42714</v>
      </c>
      <c r="G266" s="14">
        <f>148.2*(2/3*10)</f>
        <v>987.99999999999989</v>
      </c>
      <c r="H266" s="14">
        <f>59.6*(2/3*10)</f>
        <v>397.33333333333331</v>
      </c>
      <c r="I266" s="14">
        <f>428.3*(2/3*10)</f>
        <v>2855.333333333333</v>
      </c>
      <c r="K266" s="15">
        <v>263</v>
      </c>
      <c r="L266">
        <f t="shared" si="4"/>
        <v>7</v>
      </c>
    </row>
    <row r="267" spans="1:12" ht="16.5" x14ac:dyDescent="0.2">
      <c r="A267" s="4" t="s">
        <v>320</v>
      </c>
      <c r="B267">
        <v>2016</v>
      </c>
      <c r="C267" s="14">
        <f>1079.2*(2/3*10)</f>
        <v>7194.6666666666661</v>
      </c>
      <c r="D267" s="14">
        <f>6.8*(2/3*10)</f>
        <v>45.333333333333329</v>
      </c>
      <c r="E267" s="14">
        <f>239*(2/3*10)</f>
        <v>1593.3333333333333</v>
      </c>
      <c r="F267" s="14">
        <f>6402.4*(2/3*10)</f>
        <v>42682.666666666657</v>
      </c>
      <c r="G267" s="14">
        <f>149.6*(2/3*10)</f>
        <v>997.33333333333326</v>
      </c>
      <c r="H267" s="14">
        <f>60.5*(2/3*10)</f>
        <v>403.33333333333331</v>
      </c>
      <c r="I267" s="14">
        <f>428*(2/3*10)</f>
        <v>2853.333333333333</v>
      </c>
      <c r="K267">
        <v>264</v>
      </c>
      <c r="L267">
        <f t="shared" si="4"/>
        <v>0</v>
      </c>
    </row>
    <row r="268" spans="1:12" ht="16.5" x14ac:dyDescent="0.2">
      <c r="A268" s="4" t="s">
        <v>319</v>
      </c>
      <c r="B268">
        <v>2009</v>
      </c>
      <c r="C268" s="14">
        <f>1370.6*(2/3*10)</f>
        <v>9137.3333333333321</v>
      </c>
      <c r="D268" s="14">
        <f>1.8*(2/3*10)</f>
        <v>12</v>
      </c>
      <c r="E268" s="14">
        <f>1110.5*(2/3*10)</f>
        <v>7403.333333333333</v>
      </c>
      <c r="F268" s="14">
        <f>5137.1*(2/3*10)</f>
        <v>34247.333333333336</v>
      </c>
      <c r="G268" s="14">
        <f>136.4*(2/3*10)</f>
        <v>909.33333333333326</v>
      </c>
      <c r="H268" s="14">
        <f>54.8*(2/3*10)</f>
        <v>365.33333333333326</v>
      </c>
      <c r="I268" s="14">
        <f>131.7*(2/3*10)</f>
        <v>877.99999999999989</v>
      </c>
      <c r="K268" s="15">
        <v>265</v>
      </c>
      <c r="L268">
        <f t="shared" si="4"/>
        <v>1</v>
      </c>
    </row>
    <row r="269" spans="1:12" ht="16.5" x14ac:dyDescent="0.2">
      <c r="A269" s="4" t="s">
        <v>319</v>
      </c>
      <c r="B269">
        <v>2010</v>
      </c>
      <c r="C269" s="14">
        <f>1369.9*(2/3*10)</f>
        <v>9132.6666666666661</v>
      </c>
      <c r="D269" s="14">
        <f>1.8*(2/3*10)</f>
        <v>12</v>
      </c>
      <c r="E269" s="14">
        <f>1109.9*(2/3*10)</f>
        <v>7399.333333333333</v>
      </c>
      <c r="F269" s="14">
        <f>5135.6*(2/3*10)</f>
        <v>34237.333333333336</v>
      </c>
      <c r="G269" s="14">
        <f>138.4*(2/3*10)</f>
        <v>922.66666666666663</v>
      </c>
      <c r="H269" s="14">
        <f>55.6*(2/3*10)</f>
        <v>370.66666666666663</v>
      </c>
      <c r="I269" s="14">
        <f>131.7*(2/3*10)</f>
        <v>877.99999999999989</v>
      </c>
      <c r="K269">
        <v>266</v>
      </c>
      <c r="L269">
        <f t="shared" si="4"/>
        <v>2</v>
      </c>
    </row>
    <row r="270" spans="1:12" ht="16.5" x14ac:dyDescent="0.2">
      <c r="A270" s="4" t="s">
        <v>319</v>
      </c>
      <c r="B270">
        <v>2011</v>
      </c>
      <c r="C270" s="14">
        <f>1368.3*(2/3*10)</f>
        <v>9121.9999999999982</v>
      </c>
      <c r="D270" s="14">
        <f>1.8*(2/3*10)</f>
        <v>12</v>
      </c>
      <c r="E270" s="14">
        <f>1109*(2/3*10)</f>
        <v>7393.333333333333</v>
      </c>
      <c r="F270" s="14">
        <f>5133.9*(2/3*10)</f>
        <v>34225.999999999993</v>
      </c>
      <c r="G270" s="14">
        <f>141*(2/3*10)</f>
        <v>939.99999999999989</v>
      </c>
      <c r="H270" s="14">
        <f>57*(2/3*10)</f>
        <v>379.99999999999994</v>
      </c>
      <c r="I270" s="14">
        <f>131.6*(2/3*10)</f>
        <v>877.33333333333326</v>
      </c>
      <c r="K270" s="15">
        <v>267</v>
      </c>
      <c r="L270">
        <f t="shared" si="4"/>
        <v>3</v>
      </c>
    </row>
    <row r="271" spans="1:12" ht="16.5" x14ac:dyDescent="0.2">
      <c r="A271" s="4" t="s">
        <v>319</v>
      </c>
      <c r="B271">
        <v>2012</v>
      </c>
      <c r="C271" s="14">
        <f>1364.6*(2/3*10)</f>
        <v>9097.3333333333321</v>
      </c>
      <c r="D271" s="14">
        <f>1.8*(2/3*10)</f>
        <v>12</v>
      </c>
      <c r="E271" s="14">
        <f>1108*(2/3*10)</f>
        <v>7386.6666666666661</v>
      </c>
      <c r="F271" s="14">
        <f>5136.1*(2/3*10)</f>
        <v>34240.666666666664</v>
      </c>
      <c r="G271" s="14">
        <f>143.5*(2/3*10)</f>
        <v>956.66666666666663</v>
      </c>
      <c r="H271" s="14">
        <f>58.1*(2/3*10)</f>
        <v>387.33333333333331</v>
      </c>
      <c r="I271" s="14">
        <f>131.5*(2/3*10)</f>
        <v>876.66666666666663</v>
      </c>
      <c r="K271">
        <v>268</v>
      </c>
      <c r="L271">
        <f t="shared" si="4"/>
        <v>4</v>
      </c>
    </row>
    <row r="272" spans="1:12" ht="16.5" x14ac:dyDescent="0.2">
      <c r="A272" s="4" t="s">
        <v>319</v>
      </c>
      <c r="B272">
        <v>2013</v>
      </c>
      <c r="C272" s="14">
        <f>1362.5*(2/3*10)</f>
        <v>9083.3333333333321</v>
      </c>
      <c r="D272" s="14">
        <f>1.8*(2/3*10)</f>
        <v>12</v>
      </c>
      <c r="E272" s="14">
        <f>1106.6*(2/3*10)</f>
        <v>7377.3333333333321</v>
      </c>
      <c r="F272" s="14">
        <f>5132.1*(2/3*10)</f>
        <v>34214</v>
      </c>
      <c r="G272" s="14">
        <f>147.6*(2/3*10)</f>
        <v>983.99999999999989</v>
      </c>
      <c r="H272" s="14">
        <f>60.9*(2/3*10)</f>
        <v>405.99999999999994</v>
      </c>
      <c r="I272" s="14">
        <f>131.4*(2/3*10)</f>
        <v>876</v>
      </c>
      <c r="K272" s="15">
        <v>269</v>
      </c>
      <c r="L272">
        <f t="shared" si="4"/>
        <v>5</v>
      </c>
    </row>
    <row r="273" spans="1:12" ht="16.5" x14ac:dyDescent="0.2">
      <c r="A273" s="4" t="s">
        <v>319</v>
      </c>
      <c r="B273">
        <v>2014</v>
      </c>
      <c r="C273" s="14">
        <f>1362.7*(2/3*10)</f>
        <v>9084.6666666666661</v>
      </c>
      <c r="D273" s="14">
        <f>1.8*(2/3*10)</f>
        <v>12</v>
      </c>
      <c r="E273" s="14">
        <f>1105.2*(2/3*10)</f>
        <v>7368</v>
      </c>
      <c r="F273" s="14">
        <f>5128.7*(2/3*10)</f>
        <v>34191.333333333328</v>
      </c>
      <c r="G273" s="14">
        <f>150.4*(2/3*10)</f>
        <v>1002.6666666666664</v>
      </c>
      <c r="H273" s="14">
        <f>62.6*(2/3*10)</f>
        <v>417.33333333333331</v>
      </c>
      <c r="I273" s="14">
        <f>131.3*(2/3*10)</f>
        <v>875.33333333333337</v>
      </c>
      <c r="K273">
        <v>270</v>
      </c>
      <c r="L273">
        <f t="shared" si="4"/>
        <v>6</v>
      </c>
    </row>
    <row r="274" spans="1:12" ht="16.5" x14ac:dyDescent="0.2">
      <c r="A274" s="4" t="s">
        <v>319</v>
      </c>
      <c r="B274">
        <v>2015</v>
      </c>
      <c r="C274" s="14">
        <f>1361.4*(2/3*10)</f>
        <v>9076</v>
      </c>
      <c r="D274" s="14">
        <f>1.8*(2/3*10)</f>
        <v>12</v>
      </c>
      <c r="E274" s="14">
        <f>1104.5*(2/3*10)</f>
        <v>7363.333333333333</v>
      </c>
      <c r="F274" s="14">
        <f>5127.3*(2/3*10)</f>
        <v>34182</v>
      </c>
      <c r="G274" s="14">
        <f>152.8*(2/3*10)</f>
        <v>1018.6666666666665</v>
      </c>
      <c r="H274" s="14">
        <f>63.5*(2/3*10)</f>
        <v>423.33333333333331</v>
      </c>
      <c r="I274" s="14">
        <f>131.3*(2/3*10)</f>
        <v>875.33333333333337</v>
      </c>
      <c r="K274" s="15">
        <v>271</v>
      </c>
      <c r="L274">
        <f t="shared" si="4"/>
        <v>7</v>
      </c>
    </row>
    <row r="275" spans="1:12" ht="16.5" x14ac:dyDescent="0.2">
      <c r="A275" s="4" t="s">
        <v>319</v>
      </c>
      <c r="B275">
        <v>2016</v>
      </c>
      <c r="C275" s="14">
        <f>1360.6*(2/3*10)</f>
        <v>9070.6666666666661</v>
      </c>
      <c r="D275" s="14">
        <f>1.8*(2/3*10)</f>
        <v>12</v>
      </c>
      <c r="E275" s="14">
        <f>1103.6*(2/3*10)</f>
        <v>7357.3333333333321</v>
      </c>
      <c r="F275" s="14">
        <f>5125.3*(2/3*10)</f>
        <v>34168.666666666664</v>
      </c>
      <c r="G275" s="14">
        <f>155.2*(2/3*10)</f>
        <v>1034.6666666666665</v>
      </c>
      <c r="H275" s="14">
        <f>64.6*(2/3*10)</f>
        <v>430.66666666666657</v>
      </c>
      <c r="I275" s="14">
        <f>131.2*(2/3*10)</f>
        <v>874.66666666666652</v>
      </c>
      <c r="K275">
        <v>272</v>
      </c>
      <c r="L275">
        <f t="shared" si="4"/>
        <v>0</v>
      </c>
    </row>
    <row r="276" spans="1:12" ht="16.5" x14ac:dyDescent="0.2">
      <c r="A276" s="4" t="s">
        <v>318</v>
      </c>
      <c r="B276">
        <v>2009</v>
      </c>
      <c r="C276" s="14">
        <f>1903.9*(2/3*10)</f>
        <v>12692.666666666666</v>
      </c>
      <c r="D276" s="14">
        <f>5.8*(2/3*10)</f>
        <v>38.666666666666664</v>
      </c>
      <c r="E276" s="14">
        <f>2573.9*(2/3*10)</f>
        <v>17159.333333333332</v>
      </c>
      <c r="F276" s="14">
        <f>3266.2*(2/3*10)</f>
        <v>21774.666666666664</v>
      </c>
      <c r="G276" s="14">
        <f>144.9*(2/3*10)</f>
        <v>966</v>
      </c>
      <c r="H276" s="14">
        <f>67.5*(2/3*10)</f>
        <v>449.99999999999994</v>
      </c>
      <c r="I276" s="14">
        <f>149.6*(2/3*10)</f>
        <v>997.33333333333326</v>
      </c>
      <c r="K276" s="15">
        <v>273</v>
      </c>
      <c r="L276">
        <f t="shared" si="4"/>
        <v>1</v>
      </c>
    </row>
    <row r="277" spans="1:12" ht="16.5" x14ac:dyDescent="0.2">
      <c r="A277" s="4" t="s">
        <v>318</v>
      </c>
      <c r="B277">
        <v>2010</v>
      </c>
      <c r="C277" s="14">
        <f>1903.7*(2/3*10)</f>
        <v>12691.333333333332</v>
      </c>
      <c r="D277" s="14">
        <f>5.7*(2/3*10)</f>
        <v>38</v>
      </c>
      <c r="E277" s="14">
        <f>2575.8*(2/3*10)</f>
        <v>17172</v>
      </c>
      <c r="F277" s="14">
        <f>3263.9*(2/3*10)</f>
        <v>21759.333333333332</v>
      </c>
      <c r="G277" s="14">
        <f>145.9*(2/3*10)</f>
        <v>972.66666666666663</v>
      </c>
      <c r="H277" s="14">
        <f>67.7*(2/3*10)</f>
        <v>451.33333333333331</v>
      </c>
      <c r="I277" s="14">
        <f>149.3*(2/3*10)</f>
        <v>995.33333333333337</v>
      </c>
      <c r="K277">
        <v>274</v>
      </c>
      <c r="L277">
        <f t="shared" si="4"/>
        <v>2</v>
      </c>
    </row>
    <row r="278" spans="1:12" ht="16.5" x14ac:dyDescent="0.2">
      <c r="A278" s="4" t="s">
        <v>318</v>
      </c>
      <c r="B278">
        <v>2011</v>
      </c>
      <c r="C278" s="14">
        <f>1901.8*(2/3*10)</f>
        <v>12678.666666666666</v>
      </c>
      <c r="D278" s="14">
        <f>5.7*(2/3*10)</f>
        <v>38</v>
      </c>
      <c r="E278" s="14">
        <f>2575.7*(2/3*10)</f>
        <v>17171.333333333332</v>
      </c>
      <c r="F278" s="14">
        <f>3262.5*(2/3*10)</f>
        <v>21749.999999999996</v>
      </c>
      <c r="G278" s="14">
        <f>148.4*(2/3*10)</f>
        <v>989.33333333333326</v>
      </c>
      <c r="H278" s="14">
        <f>67.9*(2/3*10)</f>
        <v>452.66666666666669</v>
      </c>
      <c r="I278" s="14">
        <f>149.4*(2/3*10)</f>
        <v>996</v>
      </c>
      <c r="K278" s="15">
        <v>275</v>
      </c>
      <c r="L278">
        <f t="shared" si="4"/>
        <v>3</v>
      </c>
    </row>
    <row r="279" spans="1:12" ht="16.5" x14ac:dyDescent="0.2">
      <c r="A279" s="4" t="s">
        <v>318</v>
      </c>
      <c r="B279">
        <v>2012</v>
      </c>
      <c r="C279" s="14">
        <f>1899.4*(2/3*10)</f>
        <v>12662.666666666666</v>
      </c>
      <c r="D279" s="14">
        <f>5.7*(2/3*10)</f>
        <v>38</v>
      </c>
      <c r="E279" s="14">
        <f>2575.2*(2/3*10)</f>
        <v>17167.999999999996</v>
      </c>
      <c r="F279" s="14">
        <f>3260.9*(2/3*10)</f>
        <v>21739.333333333332</v>
      </c>
      <c r="G279" s="14">
        <f>151.3*(2/3*10)</f>
        <v>1008.6666666666666</v>
      </c>
      <c r="H279" s="14">
        <f>68.7*(2/3*10)</f>
        <v>458</v>
      </c>
      <c r="I279" s="14">
        <f>149.6*(2/3*10)</f>
        <v>997.33333333333326</v>
      </c>
      <c r="K279">
        <v>276</v>
      </c>
      <c r="L279">
        <f t="shared" si="4"/>
        <v>4</v>
      </c>
    </row>
    <row r="280" spans="1:12" ht="16.5" x14ac:dyDescent="0.2">
      <c r="A280" s="4" t="s">
        <v>318</v>
      </c>
      <c r="B280">
        <v>2013</v>
      </c>
      <c r="C280" s="14">
        <f>1897.6*(2/3*10)</f>
        <v>12650.666666666664</v>
      </c>
      <c r="D280" s="14">
        <f>5.7*(2/3*10)</f>
        <v>38</v>
      </c>
      <c r="E280" s="14">
        <f>2577.4*(2/3*10)</f>
        <v>17182.666666666664</v>
      </c>
      <c r="F280" s="14">
        <f>3259.5*(2/3*10)</f>
        <v>21729.999999999996</v>
      </c>
      <c r="G280" s="14">
        <f>151.5*(2/3*10)</f>
        <v>1009.9999999999999</v>
      </c>
      <c r="H280" s="14">
        <f>69.3*(2/3*10)</f>
        <v>461.99999999999994</v>
      </c>
      <c r="I280" s="14">
        <f>149.8*(2/3*10)</f>
        <v>998.66666666666663</v>
      </c>
      <c r="K280" s="15">
        <v>277</v>
      </c>
      <c r="L280">
        <f t="shared" si="4"/>
        <v>5</v>
      </c>
    </row>
    <row r="281" spans="1:12" ht="16.5" x14ac:dyDescent="0.2">
      <c r="A281" s="4" t="s">
        <v>318</v>
      </c>
      <c r="B281">
        <v>2014</v>
      </c>
      <c r="C281" s="14">
        <f>1896.4*(2/3*10)</f>
        <v>12642.666666666666</v>
      </c>
      <c r="D281" s="14">
        <f>5.7*(2/3*10)</f>
        <v>38</v>
      </c>
      <c r="E281" s="14">
        <f>2577*(2/3*10)</f>
        <v>17180</v>
      </c>
      <c r="F281" s="14">
        <f>3257.9*(2/3*10)</f>
        <v>21719.333333333332</v>
      </c>
      <c r="G281" s="14">
        <f>153.2*(2/3*10)</f>
        <v>1021.3333333333334</v>
      </c>
      <c r="H281" s="14">
        <f>70.1*(2/3*10)</f>
        <v>467.33333333333326</v>
      </c>
      <c r="I281" s="14">
        <f>149.8*(2/3*10)</f>
        <v>998.66666666666663</v>
      </c>
      <c r="K281">
        <v>278</v>
      </c>
      <c r="L281">
        <f t="shared" si="4"/>
        <v>6</v>
      </c>
    </row>
    <row r="282" spans="1:12" ht="16.5" x14ac:dyDescent="0.2">
      <c r="A282" s="4" t="s">
        <v>318</v>
      </c>
      <c r="B282">
        <v>2015</v>
      </c>
      <c r="C282" s="14">
        <f>1895.5*(2/3*10)</f>
        <v>12636.666666666666</v>
      </c>
      <c r="D282" s="14">
        <f>5.6*(2/3*10)</f>
        <v>37.333333333333329</v>
      </c>
      <c r="E282" s="14">
        <f>2576.6*(2/3*10)</f>
        <v>17177.333333333332</v>
      </c>
      <c r="F282" s="14">
        <f>3256.5*(2/3*10)</f>
        <v>21709.999999999996</v>
      </c>
      <c r="G282" s="14">
        <f>154*(2/3*10)</f>
        <v>1026.6666666666665</v>
      </c>
      <c r="H282" s="14">
        <f>71.3*(2/3*10)</f>
        <v>475.33333333333326</v>
      </c>
      <c r="I282" s="14">
        <f>149.8*(2/3*10)</f>
        <v>998.66666666666663</v>
      </c>
      <c r="K282" s="15">
        <v>279</v>
      </c>
      <c r="L282">
        <f t="shared" si="4"/>
        <v>7</v>
      </c>
    </row>
    <row r="283" spans="1:12" ht="16.5" x14ac:dyDescent="0.2">
      <c r="A283" s="4" t="s">
        <v>318</v>
      </c>
      <c r="B283">
        <v>2016</v>
      </c>
      <c r="C283" s="14">
        <f>1895.1*(2/3*10)</f>
        <v>12633.999999999998</v>
      </c>
      <c r="D283" s="14">
        <f>5.6*(2/3*10)</f>
        <v>37.333333333333329</v>
      </c>
      <c r="E283" s="14">
        <f>2576.5*(2/3*10)</f>
        <v>17176.666666666664</v>
      </c>
      <c r="F283" s="14">
        <f>3255.5*(2/3*10)</f>
        <v>21703.333333333332</v>
      </c>
      <c r="G283" s="14">
        <f>155.4*(2/3*10)</f>
        <v>1036</v>
      </c>
      <c r="H283" s="14">
        <f>71.5*(2/3*10)</f>
        <v>476.66666666666663</v>
      </c>
      <c r="I283" s="14">
        <f>149.8*(2/3*10)</f>
        <v>998.66666666666663</v>
      </c>
      <c r="K283">
        <v>280</v>
      </c>
      <c r="L283">
        <f t="shared" si="4"/>
        <v>0</v>
      </c>
    </row>
    <row r="284" spans="1:12" ht="16.5" x14ac:dyDescent="0.2">
      <c r="A284" s="4" t="s">
        <v>317</v>
      </c>
      <c r="B284">
        <v>2009</v>
      </c>
      <c r="C284" s="14">
        <f>361.7*(2/3*10)</f>
        <v>2411.333333333333</v>
      </c>
      <c r="D284" s="14">
        <f>0.6*(2/3*10)</f>
        <v>3.9999999999999996</v>
      </c>
      <c r="E284" s="14">
        <f>929.3*(2/3*10)</f>
        <v>6195.3333333333321</v>
      </c>
      <c r="F284" s="14">
        <f>26949.2*(2/3*10)</f>
        <v>179661.33333333331</v>
      </c>
      <c r="G284" s="14">
        <f>111.6*(2/3*10)</f>
        <v>744</v>
      </c>
      <c r="H284" s="14">
        <f>92*(2/3*10)</f>
        <v>613.33333333333326</v>
      </c>
      <c r="I284" s="14">
        <f>730.8*(2/3*10)</f>
        <v>4871.9999999999991</v>
      </c>
      <c r="K284" s="15">
        <v>281</v>
      </c>
      <c r="L284">
        <f t="shared" si="4"/>
        <v>1</v>
      </c>
    </row>
    <row r="285" spans="1:12" ht="16.5" x14ac:dyDescent="0.2">
      <c r="A285" s="4" t="s">
        <v>317</v>
      </c>
      <c r="B285">
        <v>2010</v>
      </c>
      <c r="C285" s="14">
        <f>362*(2/3*10)</f>
        <v>2413.333333333333</v>
      </c>
      <c r="D285" s="14">
        <f>0.6*(2/3*10)</f>
        <v>3.9999999999999996</v>
      </c>
      <c r="E285" s="14">
        <f>928.8*(2/3*10)</f>
        <v>6191.9999999999991</v>
      </c>
      <c r="F285" s="14">
        <f>26940.5*(2/3*10)</f>
        <v>179603.33333333331</v>
      </c>
      <c r="G285" s="14">
        <f>116.1*(2/3*10)</f>
        <v>773.99999999999989</v>
      </c>
      <c r="H285" s="14">
        <f>96.6*(2/3*10)</f>
        <v>643.99999999999989</v>
      </c>
      <c r="I285" s="14">
        <f>730.5*(2/3*10)</f>
        <v>4870</v>
      </c>
      <c r="K285">
        <v>282</v>
      </c>
      <c r="L285">
        <f t="shared" si="4"/>
        <v>2</v>
      </c>
    </row>
    <row r="286" spans="1:12" ht="16.5" x14ac:dyDescent="0.2">
      <c r="A286" s="4" t="s">
        <v>317</v>
      </c>
      <c r="B286">
        <v>2011</v>
      </c>
      <c r="C286" s="14">
        <f>361.9*(2/3*10)</f>
        <v>2412.6666666666665</v>
      </c>
      <c r="D286" s="14">
        <f>0.6*(2/3*10)</f>
        <v>3.9999999999999996</v>
      </c>
      <c r="E286" s="14">
        <f>928.6*(2/3*10)</f>
        <v>6190.6666666666661</v>
      </c>
      <c r="F286" s="14">
        <f>26936.3*(2/3*10)</f>
        <v>179575.33333333331</v>
      </c>
      <c r="G286" s="14">
        <f>119.2*(2/3*10)</f>
        <v>794.66666666666663</v>
      </c>
      <c r="H286" s="14">
        <f>97.5*(2/3*10)</f>
        <v>649.99999999999989</v>
      </c>
      <c r="I286" s="14">
        <f>730.5*(2/3*10)</f>
        <v>4870</v>
      </c>
      <c r="K286" s="15">
        <v>283</v>
      </c>
      <c r="L286">
        <f t="shared" si="4"/>
        <v>3</v>
      </c>
    </row>
    <row r="287" spans="1:12" ht="16.5" x14ac:dyDescent="0.2">
      <c r="A287" s="4" t="s">
        <v>317</v>
      </c>
      <c r="B287">
        <v>2012</v>
      </c>
      <c r="C287" s="14">
        <f>362.9*(2/3*10)</f>
        <v>2419.333333333333</v>
      </c>
      <c r="D287" s="14">
        <f>0.6*(2/3*10)</f>
        <v>3.9999999999999996</v>
      </c>
      <c r="E287" s="14">
        <f>928.2*(2/3*10)</f>
        <v>6188</v>
      </c>
      <c r="F287" s="14">
        <f>26931.7*(2/3*10)</f>
        <v>179544.66666666666</v>
      </c>
      <c r="G287" s="14">
        <f>121.9*(2/3*10)</f>
        <v>812.66666666666663</v>
      </c>
      <c r="H287" s="14">
        <f>98.3*(2/3*10)</f>
        <v>655.33333333333326</v>
      </c>
      <c r="I287" s="14">
        <f>730.5*(2/3*10)</f>
        <v>4870</v>
      </c>
      <c r="K287">
        <v>284</v>
      </c>
      <c r="L287">
        <f t="shared" si="4"/>
        <v>4</v>
      </c>
    </row>
    <row r="288" spans="1:12" ht="16.5" x14ac:dyDescent="0.2">
      <c r="A288" s="4" t="s">
        <v>317</v>
      </c>
      <c r="B288">
        <v>2013</v>
      </c>
      <c r="C288" s="14">
        <f>363.8*(2/3*10)</f>
        <v>2425.333333333333</v>
      </c>
      <c r="D288" s="14">
        <f>0.6*(2/3*10)</f>
        <v>3.9999999999999996</v>
      </c>
      <c r="E288" s="14">
        <f>927.5*(2/3*10)</f>
        <v>6183.333333333333</v>
      </c>
      <c r="F288" s="14">
        <f>26928.1*(2/3*10)</f>
        <v>179520.66666666663</v>
      </c>
      <c r="G288" s="14">
        <f>122.4*(2/3*10)</f>
        <v>816</v>
      </c>
      <c r="H288" s="14">
        <f>101.6*(2/3*10)</f>
        <v>677.33333333333326</v>
      </c>
      <c r="I288" s="14">
        <f>729.9*(2/3*10)</f>
        <v>4865.9999999999991</v>
      </c>
      <c r="K288" s="15">
        <v>285</v>
      </c>
      <c r="L288">
        <f t="shared" si="4"/>
        <v>5</v>
      </c>
    </row>
    <row r="289" spans="1:12" ht="16.5" x14ac:dyDescent="0.2">
      <c r="A289" s="4" t="s">
        <v>317</v>
      </c>
      <c r="B289">
        <v>2014</v>
      </c>
      <c r="C289" s="14">
        <f>364.3*(2/3*10)</f>
        <v>2428.6666666666665</v>
      </c>
      <c r="D289" s="14">
        <f>0.6*(2/3*10)</f>
        <v>3.9999999999999996</v>
      </c>
      <c r="E289" s="14">
        <f>927.3*(2/3*10)</f>
        <v>6181.9999999999991</v>
      </c>
      <c r="F289" s="14">
        <f>26923.6*(2/3*10)</f>
        <v>179490.66666666663</v>
      </c>
      <c r="G289" s="14">
        <f>124.2*(2/3*10)</f>
        <v>827.99999999999989</v>
      </c>
      <c r="H289" s="14">
        <f>103.1*(2/3*10)</f>
        <v>687.33333333333326</v>
      </c>
      <c r="I289" s="14">
        <f>729.9*(2/3*10)</f>
        <v>4865.9999999999991</v>
      </c>
      <c r="K289">
        <v>286</v>
      </c>
      <c r="L289">
        <f t="shared" si="4"/>
        <v>6</v>
      </c>
    </row>
    <row r="290" spans="1:12" ht="16.5" x14ac:dyDescent="0.2">
      <c r="A290" s="4" t="s">
        <v>317</v>
      </c>
      <c r="B290">
        <v>2015</v>
      </c>
      <c r="C290" s="14">
        <f>364.9*(2/3*10)</f>
        <v>2432.6666666666665</v>
      </c>
      <c r="D290" s="14">
        <f>0.6*(2/3*10)</f>
        <v>3.9999999999999996</v>
      </c>
      <c r="E290" s="14">
        <f>927.2*(2/3*10)</f>
        <v>6181.333333333333</v>
      </c>
      <c r="F290" s="14">
        <f>26920.3*(2/3*10)</f>
        <v>179468.66666666666</v>
      </c>
      <c r="G290" s="14">
        <f>125.6*(2/3*10)</f>
        <v>837.33333333333326</v>
      </c>
      <c r="H290" s="14">
        <f>103.6*(2/3*10)</f>
        <v>690.66666666666652</v>
      </c>
      <c r="I290" s="14">
        <f>730*(2/3*10)</f>
        <v>4866.6666666666661</v>
      </c>
      <c r="K290" s="15">
        <v>287</v>
      </c>
      <c r="L290">
        <f t="shared" si="4"/>
        <v>7</v>
      </c>
    </row>
    <row r="291" spans="1:12" ht="16.5" x14ac:dyDescent="0.2">
      <c r="A291" s="4" t="s">
        <v>317</v>
      </c>
      <c r="B291">
        <v>2016</v>
      </c>
      <c r="C291" s="14">
        <f>365.1*(2/3*10)</f>
        <v>2434</v>
      </c>
      <c r="D291" s="14">
        <f>0.5*(2/3*10)</f>
        <v>3.333333333333333</v>
      </c>
      <c r="E291" s="14">
        <f>927*(2/3*10)</f>
        <v>6179.9999999999991</v>
      </c>
      <c r="F291" s="14">
        <f>26916.9*(2/3*10)</f>
        <v>179446</v>
      </c>
      <c r="G291" s="14">
        <f>127.6*(2/3*10)</f>
        <v>850.66666666666652</v>
      </c>
      <c r="H291" s="14">
        <f>105.3*(2/3*10)</f>
        <v>701.99999999999989</v>
      </c>
      <c r="I291" s="14">
        <f>730*(2/3*10)</f>
        <v>4866.6666666666661</v>
      </c>
      <c r="K291">
        <v>288</v>
      </c>
      <c r="L291">
        <f t="shared" si="4"/>
        <v>0</v>
      </c>
    </row>
    <row r="292" spans="1:12" ht="16.5" x14ac:dyDescent="0.2">
      <c r="A292" s="4" t="s">
        <v>316</v>
      </c>
      <c r="B292">
        <v>2009</v>
      </c>
      <c r="C292" s="14">
        <f>69.1*(2/3*10)</f>
        <v>460.66666666666657</v>
      </c>
      <c r="D292" s="14">
        <f>0.4*(2/3*10)</f>
        <v>2.6666666666666665</v>
      </c>
      <c r="E292" s="14">
        <f>1146.3*(2/3*10)</f>
        <v>7641.9999999999991</v>
      </c>
      <c r="F292" s="14">
        <f>13336.2*(2/3*10)</f>
        <v>88908</v>
      </c>
      <c r="G292" s="14">
        <f>43.9*(2/3*10)</f>
        <v>292.66666666666669</v>
      </c>
      <c r="H292" s="14">
        <f>15.5*(2/3*10)</f>
        <v>103.33333333333333</v>
      </c>
      <c r="I292" s="14">
        <f>62.5*(2/3*10)</f>
        <v>416.66666666666663</v>
      </c>
      <c r="K292" s="15">
        <v>289</v>
      </c>
      <c r="L292">
        <f t="shared" si="4"/>
        <v>1</v>
      </c>
    </row>
    <row r="293" spans="1:12" ht="16.5" x14ac:dyDescent="0.2">
      <c r="A293" s="4" t="s">
        <v>316</v>
      </c>
      <c r="B293">
        <v>2010</v>
      </c>
      <c r="C293" s="14">
        <f>69.1*(2/3*10)</f>
        <v>460.66666666666657</v>
      </c>
      <c r="D293" s="14">
        <f>0.4*(2/3*10)</f>
        <v>2.6666666666666665</v>
      </c>
      <c r="E293" s="14">
        <f>1146.3*(2/3*10)</f>
        <v>7641.9999999999991</v>
      </c>
      <c r="F293" s="14">
        <f>13334.4*(2/3*10)</f>
        <v>88895.999999999985</v>
      </c>
      <c r="G293" s="14">
        <f>47*(2/3*10)</f>
        <v>313.33333333333331</v>
      </c>
      <c r="H293" s="14">
        <f>16.1*(2/3*10)</f>
        <v>107.33333333333333</v>
      </c>
      <c r="I293" s="14">
        <f>62.6*(2/3*10)</f>
        <v>417.33333333333331</v>
      </c>
      <c r="K293">
        <v>290</v>
      </c>
      <c r="L293">
        <f t="shared" si="4"/>
        <v>2</v>
      </c>
    </row>
    <row r="294" spans="1:12" ht="16.5" x14ac:dyDescent="0.2">
      <c r="A294" s="4" t="s">
        <v>316</v>
      </c>
      <c r="B294">
        <v>2011</v>
      </c>
      <c r="C294" s="14">
        <f>69.3*(2/3*10)</f>
        <v>461.99999999999994</v>
      </c>
      <c r="D294" s="14">
        <f>0.4*(2/3*10)</f>
        <v>2.6666666666666665</v>
      </c>
      <c r="E294" s="14">
        <f>1146*(2/3*10)</f>
        <v>7639.9999999999991</v>
      </c>
      <c r="F294" s="14">
        <f>13333.4*(2/3*10)</f>
        <v>88889.333333333328</v>
      </c>
      <c r="G294" s="14">
        <f>48.9*(2/3*10)</f>
        <v>326</v>
      </c>
      <c r="H294" s="14">
        <f>16.2*(2/3*10)</f>
        <v>107.99999999999999</v>
      </c>
      <c r="I294" s="14">
        <f>63.6*(2/3*10)</f>
        <v>424</v>
      </c>
      <c r="K294" s="15">
        <v>291</v>
      </c>
      <c r="L294">
        <f t="shared" si="4"/>
        <v>3</v>
      </c>
    </row>
    <row r="295" spans="1:12" ht="16.5" x14ac:dyDescent="0.2">
      <c r="A295" s="4" t="s">
        <v>316</v>
      </c>
      <c r="B295">
        <v>2012</v>
      </c>
      <c r="C295" s="14">
        <f>69.3*(2/3*10)</f>
        <v>461.99999999999994</v>
      </c>
      <c r="D295" s="14">
        <f>0.4*(2/3*10)</f>
        <v>2.6666666666666665</v>
      </c>
      <c r="E295" s="14">
        <f>1145.9*(2/3*10)</f>
        <v>7639.333333333333</v>
      </c>
      <c r="F295" s="14">
        <f>13332.4*(2/3*10)</f>
        <v>88882.666666666657</v>
      </c>
      <c r="G295" s="14">
        <f>50*(2/3*10)</f>
        <v>333.33333333333331</v>
      </c>
      <c r="H295" s="14">
        <f>17.7*(2/3*10)</f>
        <v>117.99999999999999</v>
      </c>
      <c r="I295" s="14">
        <f>63.6*(2/3*10)</f>
        <v>424</v>
      </c>
      <c r="K295">
        <v>292</v>
      </c>
      <c r="L295">
        <f t="shared" si="4"/>
        <v>4</v>
      </c>
    </row>
    <row r="296" spans="1:12" ht="16.5" x14ac:dyDescent="0.2">
      <c r="A296" s="4" t="s">
        <v>316</v>
      </c>
      <c r="B296">
        <v>2013</v>
      </c>
      <c r="C296" s="14">
        <f>71*(2/3*10)</f>
        <v>473.33333333333331</v>
      </c>
      <c r="D296" s="14">
        <f>0.4*(2/3*10)</f>
        <v>2.6666666666666665</v>
      </c>
      <c r="E296" s="14">
        <f>1142.6*(2/3*10)</f>
        <v>7617.3333333333321</v>
      </c>
      <c r="F296" s="14">
        <f>13332.9*(2/3*10)</f>
        <v>88885.999999999985</v>
      </c>
      <c r="G296" s="14">
        <f>50*(2/3*10)</f>
        <v>333.33333333333331</v>
      </c>
      <c r="H296" s="14">
        <f>18.4*(2/3*10)</f>
        <v>122.66666666666664</v>
      </c>
      <c r="I296" s="14">
        <f>64.2*(2/3*10)</f>
        <v>428</v>
      </c>
      <c r="K296" s="15">
        <v>293</v>
      </c>
      <c r="L296">
        <f t="shared" si="4"/>
        <v>5</v>
      </c>
    </row>
    <row r="297" spans="1:12" ht="16.5" x14ac:dyDescent="0.2">
      <c r="A297" s="4" t="s">
        <v>316</v>
      </c>
      <c r="B297">
        <v>2014</v>
      </c>
      <c r="C297" s="14">
        <f>71*(2/3*10)</f>
        <v>473.33333333333331</v>
      </c>
      <c r="D297" s="14">
        <f>0.4*(2/3*10)</f>
        <v>2.6666666666666665</v>
      </c>
      <c r="E297" s="14">
        <f>1142.6*(2/3*10)</f>
        <v>7617.3333333333321</v>
      </c>
      <c r="F297" s="14">
        <f>13332.5*(2/3*10)</f>
        <v>88883.333333333328</v>
      </c>
      <c r="G297" s="14">
        <f>50.1*(2/3*10)</f>
        <v>333.99999999999994</v>
      </c>
      <c r="H297" s="14">
        <f>19.3*(2/3*10)</f>
        <v>128.66666666666666</v>
      </c>
      <c r="I297" s="14">
        <f>64.3*(2/3*10)</f>
        <v>428.66666666666663</v>
      </c>
      <c r="K297">
        <v>294</v>
      </c>
      <c r="L297">
        <f t="shared" si="4"/>
        <v>6</v>
      </c>
    </row>
    <row r="298" spans="1:12" ht="16.5" x14ac:dyDescent="0.2">
      <c r="A298" s="4" t="s">
        <v>316</v>
      </c>
      <c r="B298">
        <v>2015</v>
      </c>
      <c r="C298" s="14">
        <f>70.9*(2/3*10)</f>
        <v>472.66666666666669</v>
      </c>
      <c r="D298" s="14">
        <f>0.4*(2/3*10)</f>
        <v>2.6666666666666665</v>
      </c>
      <c r="E298" s="14">
        <f>1142.5*(2/3*10)</f>
        <v>7616.6666666666661</v>
      </c>
      <c r="F298" s="14">
        <f>13330.5*(2/3*10)</f>
        <v>88869.999999999985</v>
      </c>
      <c r="G298" s="14">
        <f>51.1*(2/3*10)</f>
        <v>340.66666666666663</v>
      </c>
      <c r="H298" s="14">
        <f>21.6*(2/3*10)</f>
        <v>144</v>
      </c>
      <c r="I298" s="14">
        <f>64.3*(2/3*10)</f>
        <v>428.66666666666663</v>
      </c>
      <c r="K298" s="15">
        <v>295</v>
      </c>
      <c r="L298">
        <f t="shared" si="4"/>
        <v>7</v>
      </c>
    </row>
    <row r="299" spans="1:12" ht="16.5" x14ac:dyDescent="0.2">
      <c r="A299" s="4" t="s">
        <v>316</v>
      </c>
      <c r="B299">
        <v>2016</v>
      </c>
      <c r="C299" s="14">
        <f>70.9*(2/3*10)</f>
        <v>472.66666666666669</v>
      </c>
      <c r="D299" s="14">
        <f>0.4*(2/3*10)</f>
        <v>2.6666666666666665</v>
      </c>
      <c r="E299" s="14">
        <f>1142.3*(2/3*10)</f>
        <v>7615.3333333333321</v>
      </c>
      <c r="F299" s="14">
        <f>13324.7*(2/3*10)</f>
        <v>88831.333333333328</v>
      </c>
      <c r="G299" s="14">
        <f>52.1*(2/3*10)</f>
        <v>347.33333333333326</v>
      </c>
      <c r="H299" s="14">
        <f>31.7*(2/3*10)</f>
        <v>211.33333333333331</v>
      </c>
      <c r="I299" s="14">
        <f>64.3*(2/3*10)</f>
        <v>428.66666666666663</v>
      </c>
      <c r="K299">
        <v>296</v>
      </c>
      <c r="L299">
        <f t="shared" si="4"/>
        <v>0</v>
      </c>
    </row>
    <row r="300" spans="1:12" ht="16.5" x14ac:dyDescent="0.2">
      <c r="A300" s="4" t="s">
        <v>315</v>
      </c>
      <c r="B300">
        <v>2009</v>
      </c>
      <c r="C300" s="14">
        <f>7562.9*(2/3*10)</f>
        <v>50419.333333333328</v>
      </c>
      <c r="D300" s="14">
        <f>716.6*(2/3*10)</f>
        <v>4777.333333333333</v>
      </c>
      <c r="E300" s="14">
        <f>8452.9*(2/3*10)</f>
        <v>56352.666666666657</v>
      </c>
      <c r="F300" s="14">
        <f>1646.7*(2/3*10)</f>
        <v>10978</v>
      </c>
      <c r="G300" s="14">
        <f>1794.4*(2/3*10)</f>
        <v>11962.666666666666</v>
      </c>
      <c r="H300" s="14">
        <f>484.9*(2/3*10)</f>
        <v>3232.6666666666661</v>
      </c>
      <c r="I300" s="14">
        <f>1445.8*(2/3*10)</f>
        <v>9638.6666666666661</v>
      </c>
      <c r="K300" s="15">
        <v>297</v>
      </c>
      <c r="L300">
        <f t="shared" si="4"/>
        <v>1</v>
      </c>
    </row>
    <row r="301" spans="1:12" ht="16.5" x14ac:dyDescent="0.2">
      <c r="A301" s="4" t="s">
        <v>315</v>
      </c>
      <c r="B301">
        <v>2010</v>
      </c>
      <c r="C301" s="14">
        <f>7546.8*(2/3*10)</f>
        <v>50312</v>
      </c>
      <c r="D301" s="14">
        <f>713.7*(2/3*10)</f>
        <v>4758</v>
      </c>
      <c r="E301" s="14">
        <f>8446.1*(2/3*10)</f>
        <v>56307.333333333328</v>
      </c>
      <c r="F301" s="14">
        <f>1639.6*(2/3*10)</f>
        <v>10930.666666666664</v>
      </c>
      <c r="G301" s="14">
        <f>1838.1*(2/3*10)</f>
        <v>12253.999999999998</v>
      </c>
      <c r="H301" s="14">
        <f>489.9*(2/3*10)</f>
        <v>3265.9999999999995</v>
      </c>
      <c r="I301" s="14">
        <f>1428.6*(2/3*10)</f>
        <v>9523.9999999999982</v>
      </c>
      <c r="K301">
        <v>298</v>
      </c>
      <c r="L301">
        <f t="shared" si="4"/>
        <v>2</v>
      </c>
    </row>
    <row r="302" spans="1:12" ht="16.5" x14ac:dyDescent="0.2">
      <c r="A302" s="4" t="s">
        <v>315</v>
      </c>
      <c r="B302">
        <v>2011</v>
      </c>
      <c r="C302" s="14">
        <f>7519.8*(2/3*10)</f>
        <v>50132</v>
      </c>
      <c r="D302" s="14">
        <f>710.8*(2/3*10)</f>
        <v>4738.6666666666661</v>
      </c>
      <c r="E302" s="14">
        <f>8439.9*(2/3*10)</f>
        <v>56265.999999999993</v>
      </c>
      <c r="F302" s="14">
        <f>1629.4*(2/3*10)</f>
        <v>10862.666666666666</v>
      </c>
      <c r="G302" s="14">
        <f>1873.4*(2/3*10)</f>
        <v>12489.333333333332</v>
      </c>
      <c r="H302" s="14">
        <f>496.7*(2/3*10)</f>
        <v>3311.333333333333</v>
      </c>
      <c r="I302" s="14">
        <f>1438.4*(2/3*10)</f>
        <v>9589.3333333333339</v>
      </c>
      <c r="K302" s="15">
        <v>299</v>
      </c>
      <c r="L302">
        <f t="shared" si="4"/>
        <v>3</v>
      </c>
    </row>
    <row r="303" spans="1:12" ht="16.5" x14ac:dyDescent="0.2">
      <c r="A303" s="4" t="s">
        <v>315</v>
      </c>
      <c r="B303">
        <v>2012</v>
      </c>
      <c r="C303" s="14">
        <f>7498.3*(2/3*10)</f>
        <v>49988.666666666664</v>
      </c>
      <c r="D303" s="14">
        <f>708.2*(2/3*10)</f>
        <v>4721.333333333333</v>
      </c>
      <c r="E303" s="14">
        <f>8435.4*(2/3*10)</f>
        <v>56235.999999999993</v>
      </c>
      <c r="F303" s="14">
        <f>1626.6*(2/3*10)</f>
        <v>10843.999999999998</v>
      </c>
      <c r="G303" s="14">
        <f>1901.8*(2/3*10)</f>
        <v>12678.666666666666</v>
      </c>
      <c r="H303" s="14">
        <f>502.2*(2/3*10)</f>
        <v>3347.9999999999995</v>
      </c>
      <c r="I303" s="14">
        <f>1435.3*(2/3*10)</f>
        <v>9568.6666666666661</v>
      </c>
      <c r="K303">
        <v>300</v>
      </c>
      <c r="L303">
        <f t="shared" si="4"/>
        <v>4</v>
      </c>
    </row>
    <row r="304" spans="1:12" ht="16.5" x14ac:dyDescent="0.2">
      <c r="A304" s="4" t="s">
        <v>315</v>
      </c>
      <c r="B304">
        <v>2013</v>
      </c>
      <c r="C304" s="14">
        <f>7484.8*(2/3*10)</f>
        <v>49898.666666666664</v>
      </c>
      <c r="D304" s="14">
        <f>706.1*(2/3*10)</f>
        <v>4707.333333333333</v>
      </c>
      <c r="E304" s="14">
        <f>8431.2*(2/3*10)</f>
        <v>56208</v>
      </c>
      <c r="F304" s="14">
        <f>1623.4*(2/3*10)</f>
        <v>10822.666666666666</v>
      </c>
      <c r="G304" s="14">
        <f>1918*(2/3*10)</f>
        <v>12786.666666666666</v>
      </c>
      <c r="H304" s="14">
        <f>505.6*(2/3*10)</f>
        <v>3370.6666666666665</v>
      </c>
      <c r="I304" s="14">
        <f>1436.7*(2/3*10)</f>
        <v>9578</v>
      </c>
      <c r="K304" s="15">
        <v>301</v>
      </c>
      <c r="L304">
        <f t="shared" si="4"/>
        <v>5</v>
      </c>
    </row>
    <row r="305" spans="1:12" ht="16.5" x14ac:dyDescent="0.2">
      <c r="A305" s="4" t="s">
        <v>315</v>
      </c>
      <c r="B305">
        <v>2014</v>
      </c>
      <c r="C305" s="14">
        <f>7472.5*(2/3*10)</f>
        <v>49816.666666666664</v>
      </c>
      <c r="D305" s="14">
        <f>704*(2/3*10)</f>
        <v>4693.333333333333</v>
      </c>
      <c r="E305" s="14">
        <f>8428*(2/3*10)</f>
        <v>56186.666666666664</v>
      </c>
      <c r="F305" s="14">
        <f>1621*(2/3*10)</f>
        <v>10806.666666666666</v>
      </c>
      <c r="G305" s="14">
        <f>1933.7*(2/3*10)</f>
        <v>12891.333333333332</v>
      </c>
      <c r="H305" s="14">
        <f>510.5*(2/3*10)</f>
        <v>3403.333333333333</v>
      </c>
      <c r="I305" s="14">
        <f>1433.6*(2/3*10)</f>
        <v>9557.3333333333321</v>
      </c>
      <c r="K305">
        <v>302</v>
      </c>
      <c r="L305">
        <f t="shared" si="4"/>
        <v>6</v>
      </c>
    </row>
    <row r="306" spans="1:12" ht="16.5" x14ac:dyDescent="0.2">
      <c r="A306" s="4" t="s">
        <v>315</v>
      </c>
      <c r="B306">
        <v>2015</v>
      </c>
      <c r="C306" s="14">
        <f>7466.1*(2/3*10)</f>
        <v>49774</v>
      </c>
      <c r="D306" s="14">
        <f>702.9*(2/3*10)</f>
        <v>4685.9999999999991</v>
      </c>
      <c r="E306" s="14">
        <f>8425.6*(2/3*10)</f>
        <v>56170.666666666664</v>
      </c>
      <c r="F306" s="14">
        <f>1618.2*(2/3*10)</f>
        <v>10788</v>
      </c>
      <c r="G306" s="14">
        <f>1946.2*(2/3*10)</f>
        <v>12974.666666666664</v>
      </c>
      <c r="H306" s="14">
        <f>515.3*(2/3*10)</f>
        <v>3435.3333333333326</v>
      </c>
      <c r="I306" s="14">
        <f>1428.8*(2/3*10)</f>
        <v>9525.3333333333321</v>
      </c>
      <c r="K306" s="15">
        <v>303</v>
      </c>
      <c r="L306">
        <f t="shared" si="4"/>
        <v>7</v>
      </c>
    </row>
    <row r="307" spans="1:12" ht="16.5" x14ac:dyDescent="0.2">
      <c r="A307" s="4" t="s">
        <v>315</v>
      </c>
      <c r="B307">
        <v>2016</v>
      </c>
      <c r="C307" s="14">
        <f>7461.8*(2/3*10)</f>
        <v>49745.333333333328</v>
      </c>
      <c r="D307" s="14">
        <f>702.3*(2/3*10)</f>
        <v>4681.9999999999991</v>
      </c>
      <c r="E307" s="14">
        <f>8423.8*(2/3*10)</f>
        <v>56158.666666666657</v>
      </c>
      <c r="F307" s="14">
        <f>1616.9*(2/3*10)</f>
        <v>10779.333333333332</v>
      </c>
      <c r="G307" s="14">
        <f>1952.9*(2/3*10)</f>
        <v>13019.333333333332</v>
      </c>
      <c r="H307" s="14">
        <f>518.4*(2/3*10)</f>
        <v>3455.9999999999995</v>
      </c>
      <c r="I307" s="14">
        <f>1425.6*(2/3*10)</f>
        <v>9503.9999999999982</v>
      </c>
      <c r="K307">
        <v>304</v>
      </c>
      <c r="L307">
        <f t="shared" si="4"/>
        <v>0</v>
      </c>
    </row>
    <row r="308" spans="1:12" ht="16.5" x14ac:dyDescent="0.2">
      <c r="A308" s="4" t="s">
        <v>314</v>
      </c>
      <c r="B308">
        <v>2009</v>
      </c>
      <c r="C308" s="14">
        <f>1158.6*(2/3*10)</f>
        <v>7723.9999999999991</v>
      </c>
      <c r="D308" s="14">
        <f>13.9*(2/3*10)</f>
        <v>92.666666666666657</v>
      </c>
      <c r="E308" s="14">
        <f>232.2*(2/3*10)</f>
        <v>1547.9999999999998</v>
      </c>
      <c r="F308" s="14">
        <f>32.5*(2/3*10)</f>
        <v>216.66666666666666</v>
      </c>
      <c r="G308" s="14">
        <f>253.3*(2/3*10)</f>
        <v>1688.6666666666665</v>
      </c>
      <c r="H308" s="14">
        <f>69.7*(2/3*10)</f>
        <v>464.66666666666663</v>
      </c>
      <c r="I308" s="14">
        <f>151.9*(2/3*10)</f>
        <v>1012.6666666666666</v>
      </c>
      <c r="K308" s="15">
        <v>305</v>
      </c>
      <c r="L308">
        <f t="shared" si="4"/>
        <v>1</v>
      </c>
    </row>
    <row r="309" spans="1:12" ht="16.5" x14ac:dyDescent="0.2">
      <c r="A309" s="4" t="s">
        <v>314</v>
      </c>
      <c r="B309">
        <v>2010</v>
      </c>
      <c r="C309" s="14">
        <f>1157.8*(2/3*10)</f>
        <v>7718.6666666666661</v>
      </c>
      <c r="D309" s="14">
        <f>13.8*(2/3*10)</f>
        <v>92</v>
      </c>
      <c r="E309" s="14">
        <f>231.8*(2/3*10)</f>
        <v>1545.3333333333333</v>
      </c>
      <c r="F309" s="14">
        <f>30.4*(2/3*10)</f>
        <v>202.66666666666663</v>
      </c>
      <c r="G309" s="14">
        <f>259.1*(2/3*10)</f>
        <v>1727.3333333333333</v>
      </c>
      <c r="H309" s="14">
        <f>69.9*(2/3*10)</f>
        <v>466</v>
      </c>
      <c r="I309" s="14">
        <f>149.8*(2/3*10)</f>
        <v>998.66666666666663</v>
      </c>
      <c r="K309">
        <v>306</v>
      </c>
      <c r="L309">
        <f t="shared" si="4"/>
        <v>2</v>
      </c>
    </row>
    <row r="310" spans="1:12" ht="16.5" x14ac:dyDescent="0.2">
      <c r="A310" s="4" t="s">
        <v>314</v>
      </c>
      <c r="B310">
        <v>2011</v>
      </c>
      <c r="C310" s="14">
        <f>1150.1*(2/3*10)</f>
        <v>7667.3333333333321</v>
      </c>
      <c r="D310" s="14">
        <f>13.6*(2/3*10)</f>
        <v>90.666666666666657</v>
      </c>
      <c r="E310" s="14">
        <f>231.2*(2/3*10)</f>
        <v>1541.333333333333</v>
      </c>
      <c r="F310" s="14">
        <f>29*(2/3*10)</f>
        <v>193.33333333333331</v>
      </c>
      <c r="G310" s="14">
        <f>265*(2/3*10)</f>
        <v>1766.6666666666665</v>
      </c>
      <c r="H310" s="14">
        <f>72*(2/3*10)</f>
        <v>479.99999999999994</v>
      </c>
      <c r="I310" s="14">
        <f>151.4*(2/3*10)</f>
        <v>1009.3333333333333</v>
      </c>
      <c r="K310" s="15">
        <v>307</v>
      </c>
      <c r="L310">
        <f t="shared" si="4"/>
        <v>3</v>
      </c>
    </row>
    <row r="311" spans="1:12" ht="16.5" x14ac:dyDescent="0.2">
      <c r="A311" s="4" t="s">
        <v>314</v>
      </c>
      <c r="B311">
        <v>2012</v>
      </c>
      <c r="C311" s="14">
        <f>1143.9*(2/3*10)</f>
        <v>7626</v>
      </c>
      <c r="D311" s="14">
        <f>13.2*(2/3*10)</f>
        <v>87.999999999999986</v>
      </c>
      <c r="E311" s="14">
        <f>230.3*(2/3*10)</f>
        <v>1535.3333333333333</v>
      </c>
      <c r="F311" s="14">
        <f>29.4*(2/3*10)</f>
        <v>195.99999999999997</v>
      </c>
      <c r="G311" s="14">
        <f>271.7*(2/3*10)</f>
        <v>1811.3333333333335</v>
      </c>
      <c r="H311" s="14">
        <f>73*(2/3*10)</f>
        <v>486.66666666666663</v>
      </c>
      <c r="I311" s="14">
        <f>150.7*(2/3*10)</f>
        <v>1004.6666666666665</v>
      </c>
      <c r="K311">
        <v>308</v>
      </c>
      <c r="L311">
        <f t="shared" si="4"/>
        <v>4</v>
      </c>
    </row>
    <row r="312" spans="1:12" ht="16.5" x14ac:dyDescent="0.2">
      <c r="A312" s="4" t="s">
        <v>314</v>
      </c>
      <c r="B312">
        <v>2013</v>
      </c>
      <c r="C312" s="14">
        <f>1140.9*(2/3*10)</f>
        <v>7606</v>
      </c>
      <c r="D312" s="14">
        <f>13.1*(2/3*10)</f>
        <v>87.333333333333329</v>
      </c>
      <c r="E312" s="14">
        <f>229.9*(2/3*10)</f>
        <v>1532.6666666666665</v>
      </c>
      <c r="F312" s="14">
        <f>29.6*(2/3*10)</f>
        <v>197.33333333333331</v>
      </c>
      <c r="G312" s="14">
        <f>274*(2/3*10)</f>
        <v>1826.6666666666665</v>
      </c>
      <c r="H312" s="14">
        <f>74*(2/3*10)</f>
        <v>493.33333333333331</v>
      </c>
      <c r="I312" s="14">
        <f>150.5*(2/3*10)</f>
        <v>1003.3333333333333</v>
      </c>
      <c r="K312" s="15">
        <v>309</v>
      </c>
      <c r="L312">
        <f t="shared" si="4"/>
        <v>5</v>
      </c>
    </row>
    <row r="313" spans="1:12" ht="16.5" x14ac:dyDescent="0.2">
      <c r="A313" s="4" t="s">
        <v>314</v>
      </c>
      <c r="B313">
        <v>2014</v>
      </c>
      <c r="C313" s="14">
        <f>1137.5*(2/3*10)</f>
        <v>7583.333333333333</v>
      </c>
      <c r="D313" s="14">
        <f>13*(2/3*10)</f>
        <v>86.666666666666657</v>
      </c>
      <c r="E313" s="14">
        <f>229.6*(2/3*10)</f>
        <v>1530.6666666666665</v>
      </c>
      <c r="F313" s="14">
        <f>29.2*(2/3*10)</f>
        <v>194.66666666666666</v>
      </c>
      <c r="G313" s="14">
        <f>277.1*(2/3*10)</f>
        <v>1847.3333333333333</v>
      </c>
      <c r="H313" s="14">
        <f>74.4*(2/3*10)</f>
        <v>496</v>
      </c>
      <c r="I313" s="14">
        <f>150.4*(2/3*10)</f>
        <v>1002.6666666666666</v>
      </c>
      <c r="K313">
        <v>310</v>
      </c>
      <c r="L313">
        <f t="shared" si="4"/>
        <v>6</v>
      </c>
    </row>
    <row r="314" spans="1:12" ht="16.5" x14ac:dyDescent="0.2">
      <c r="A314" s="4" t="s">
        <v>314</v>
      </c>
      <c r="B314">
        <v>2015</v>
      </c>
      <c r="C314" s="14">
        <f>1135.1*(2/3*10)</f>
        <v>7567.3333333333321</v>
      </c>
      <c r="D314" s="14">
        <f>12.8*(2/3*10)</f>
        <v>85.333333333333329</v>
      </c>
      <c r="E314" s="14">
        <f>229.3*(2/3*10)</f>
        <v>1528.6666666666665</v>
      </c>
      <c r="F314" s="14">
        <f>29*(2/3*10)</f>
        <v>193.33333333333331</v>
      </c>
      <c r="G314" s="14">
        <f>280.3*(2/3*10)</f>
        <v>1868.6666666666665</v>
      </c>
      <c r="H314" s="14">
        <f>74.6*(2/3*10)</f>
        <v>497.33333333333326</v>
      </c>
      <c r="I314" s="14">
        <f>150.2*(2/3*10)</f>
        <v>1001.3333333333331</v>
      </c>
      <c r="K314" s="15">
        <v>311</v>
      </c>
      <c r="L314">
        <f t="shared" si="4"/>
        <v>7</v>
      </c>
    </row>
    <row r="315" spans="1:12" ht="16.5" x14ac:dyDescent="0.2">
      <c r="A315" s="4" t="s">
        <v>314</v>
      </c>
      <c r="B315">
        <v>2016</v>
      </c>
      <c r="C315" s="14">
        <f>1133.8*(2/3*10)</f>
        <v>7558.6666666666661</v>
      </c>
      <c r="D315" s="14">
        <f>12.8*(2/3*10)</f>
        <v>85.333333333333329</v>
      </c>
      <c r="E315" s="14">
        <f>229*(2/3*10)</f>
        <v>1526.6666666666665</v>
      </c>
      <c r="F315" s="14">
        <f>28.8*(2/3*10)</f>
        <v>192</v>
      </c>
      <c r="G315" s="14">
        <f>281.8*(2/3*10)</f>
        <v>1878.666666666667</v>
      </c>
      <c r="H315" s="14">
        <f>75.1*(2/3*10)</f>
        <v>500.66666666666657</v>
      </c>
      <c r="I315" s="14">
        <f>150*(2/3*10)</f>
        <v>999.99999999999989</v>
      </c>
      <c r="K315">
        <v>312</v>
      </c>
      <c r="L315">
        <f t="shared" si="4"/>
        <v>0</v>
      </c>
    </row>
    <row r="316" spans="1:12" ht="16.5" x14ac:dyDescent="0.2">
      <c r="A316" s="4" t="s">
        <v>313</v>
      </c>
      <c r="B316">
        <v>2009</v>
      </c>
      <c r="C316" s="14">
        <f>632.8*(2/3*10)</f>
        <v>4218.6666666666661</v>
      </c>
      <c r="D316" s="14">
        <f>133.2*(2/3*10)</f>
        <v>887.99999999999989</v>
      </c>
      <c r="E316" s="14">
        <f>566.6*(2/3*10)</f>
        <v>3777.333333333333</v>
      </c>
      <c r="F316" s="14">
        <f>120.5*(2/3*10)</f>
        <v>803.33333333333326</v>
      </c>
      <c r="G316" s="14">
        <f>271.8*(2/3*10)</f>
        <v>1811.9999999999995</v>
      </c>
      <c r="H316" s="14">
        <f>59.1*(2/3*10)</f>
        <v>394</v>
      </c>
      <c r="I316" s="14">
        <f>229.3*(2/3*10)</f>
        <v>1528.6666666666665</v>
      </c>
      <c r="K316" s="15">
        <v>313</v>
      </c>
      <c r="L316">
        <f t="shared" si="4"/>
        <v>1</v>
      </c>
    </row>
    <row r="317" spans="1:12" ht="16.5" x14ac:dyDescent="0.2">
      <c r="A317" s="4" t="s">
        <v>313</v>
      </c>
      <c r="B317">
        <v>2010</v>
      </c>
      <c r="C317" s="14">
        <f>630.7*(2/3*10)</f>
        <v>4204.666666666667</v>
      </c>
      <c r="D317" s="14">
        <f>132.2*(2/3*10)</f>
        <v>881.33333333333314</v>
      </c>
      <c r="E317" s="14">
        <f>565.3*(2/3*10)</f>
        <v>3768.6666666666661</v>
      </c>
      <c r="F317" s="14">
        <f>119.3*(2/3*10)</f>
        <v>795.33333333333326</v>
      </c>
      <c r="G317" s="14">
        <f>277.6*(2/3*10)</f>
        <v>1850.6666666666667</v>
      </c>
      <c r="H317" s="14">
        <f>59.7*(2/3*10)</f>
        <v>398</v>
      </c>
      <c r="I317" s="14">
        <f>228.9*(2/3*10)</f>
        <v>1526</v>
      </c>
      <c r="K317">
        <v>314</v>
      </c>
      <c r="L317">
        <f t="shared" si="4"/>
        <v>2</v>
      </c>
    </row>
    <row r="318" spans="1:12" ht="16.5" x14ac:dyDescent="0.2">
      <c r="A318" s="4" t="s">
        <v>313</v>
      </c>
      <c r="B318">
        <v>2011</v>
      </c>
      <c r="C318" s="14">
        <f>628.2*(2/3*10)</f>
        <v>4188</v>
      </c>
      <c r="D318" s="14">
        <f>131.2*(2/3*10)</f>
        <v>874.66666666666652</v>
      </c>
      <c r="E318" s="14">
        <f>563.8*(2/3*10)</f>
        <v>3758.6666666666661</v>
      </c>
      <c r="F318" s="14">
        <f>118.2*(2/3*10)</f>
        <v>788</v>
      </c>
      <c r="G318" s="14">
        <f>284.5*(2/3*10)</f>
        <v>1896.6666666666665</v>
      </c>
      <c r="H318" s="14">
        <f>61.6*(2/3*10)</f>
        <v>410.66666666666663</v>
      </c>
      <c r="I318" s="14">
        <f>228.3*(2/3*10)</f>
        <v>1522</v>
      </c>
      <c r="K318" s="15">
        <v>315</v>
      </c>
      <c r="L318">
        <f t="shared" si="4"/>
        <v>3</v>
      </c>
    </row>
    <row r="319" spans="1:12" ht="16.5" x14ac:dyDescent="0.2">
      <c r="A319" s="4" t="s">
        <v>313</v>
      </c>
      <c r="B319">
        <v>2012</v>
      </c>
      <c r="C319" s="14">
        <f>626.2*(2/3*10)</f>
        <v>4174.666666666667</v>
      </c>
      <c r="D319" s="14">
        <f>130.4*(2/3*10)</f>
        <v>869.33333333333326</v>
      </c>
      <c r="E319" s="14">
        <f>563.1*(2/3*10)</f>
        <v>3754</v>
      </c>
      <c r="F319" s="14">
        <f>117*(2/3*10)</f>
        <v>779.99999999999989</v>
      </c>
      <c r="G319" s="14">
        <f>290.2*(2/3*10)</f>
        <v>1934.6666666666665</v>
      </c>
      <c r="H319" s="14">
        <f>62.4*(2/3*10)</f>
        <v>415.99999999999994</v>
      </c>
      <c r="I319" s="14">
        <f>226.8*(2/3*10)</f>
        <v>1512</v>
      </c>
      <c r="K319">
        <v>316</v>
      </c>
      <c r="L319">
        <f t="shared" si="4"/>
        <v>4</v>
      </c>
    </row>
    <row r="320" spans="1:12" ht="16.5" x14ac:dyDescent="0.2">
      <c r="A320" s="4" t="s">
        <v>313</v>
      </c>
      <c r="B320">
        <v>2013</v>
      </c>
      <c r="C320" s="14">
        <f>624.4*(2/3*10)</f>
        <v>4162.6666666666661</v>
      </c>
      <c r="D320" s="14">
        <f>129.6*(2/3*10)</f>
        <v>863.99999999999989</v>
      </c>
      <c r="E320" s="14">
        <f>562.4*(2/3*10)</f>
        <v>3749.333333333333</v>
      </c>
      <c r="F320" s="14">
        <f>116*(2/3*10)</f>
        <v>773.33333333333326</v>
      </c>
      <c r="G320" s="14">
        <f>294.5*(2/3*10)</f>
        <v>1963.3333333333333</v>
      </c>
      <c r="H320" s="14">
        <f>62.7*(2/3*10)</f>
        <v>418</v>
      </c>
      <c r="I320" s="14">
        <f>226.2*(2/3*10)</f>
        <v>1507.9999999999998</v>
      </c>
      <c r="K320" s="15">
        <v>317</v>
      </c>
      <c r="L320">
        <f t="shared" si="4"/>
        <v>5</v>
      </c>
    </row>
    <row r="321" spans="1:12" ht="16.5" x14ac:dyDescent="0.2">
      <c r="A321" s="4" t="s">
        <v>313</v>
      </c>
      <c r="B321">
        <v>2014</v>
      </c>
      <c r="C321" s="14">
        <f>623.2*(2/3*10)</f>
        <v>4154.666666666667</v>
      </c>
      <c r="D321" s="14">
        <f>129.3*(2/3*10)</f>
        <v>862</v>
      </c>
      <c r="E321" s="14">
        <f>562.1*(2/3*10)</f>
        <v>3747.333333333333</v>
      </c>
      <c r="F321" s="14">
        <f>115.7*(2/3*10)</f>
        <v>771.33333333333326</v>
      </c>
      <c r="G321" s="14">
        <f>295.8*(2/3*10)</f>
        <v>1972</v>
      </c>
      <c r="H321" s="14">
        <f>63.8*(2/3*10)</f>
        <v>425.33333333333326</v>
      </c>
      <c r="I321" s="14">
        <f>225.8*(2/3*10)</f>
        <v>1505.3333333333333</v>
      </c>
      <c r="K321">
        <v>318</v>
      </c>
      <c r="L321">
        <f t="shared" si="4"/>
        <v>6</v>
      </c>
    </row>
    <row r="322" spans="1:12" ht="16.5" x14ac:dyDescent="0.2">
      <c r="A322" s="4" t="s">
        <v>313</v>
      </c>
      <c r="B322">
        <v>2015</v>
      </c>
      <c r="C322" s="14">
        <f>623.1*(2/3*10)</f>
        <v>4154</v>
      </c>
      <c r="D322" s="14">
        <f>129*(2/3*10)</f>
        <v>859.99999999999989</v>
      </c>
      <c r="E322" s="14">
        <f>561.7*(2/3*10)</f>
        <v>3744.6666666666665</v>
      </c>
      <c r="F322" s="14">
        <f>114.8*(2/3*10)</f>
        <v>765.33333333333326</v>
      </c>
      <c r="G322" s="14">
        <f>297.2*(2/3*10)</f>
        <v>1981.333333333333</v>
      </c>
      <c r="H322" s="14">
        <f>64.5*(2/3*10)</f>
        <v>429.99999999999994</v>
      </c>
      <c r="I322" s="14">
        <f>225.4*(2/3*10)</f>
        <v>1502.6666666666665</v>
      </c>
      <c r="K322" s="15">
        <v>319</v>
      </c>
      <c r="L322">
        <f t="shared" si="4"/>
        <v>7</v>
      </c>
    </row>
    <row r="323" spans="1:12" ht="16.5" x14ac:dyDescent="0.2">
      <c r="A323" s="4" t="s">
        <v>313</v>
      </c>
      <c r="B323">
        <v>2016</v>
      </c>
      <c r="C323" s="14">
        <f>622.9*(2/3*10)</f>
        <v>4152.6666666666661</v>
      </c>
      <c r="D323" s="14">
        <f>128.9*(2/3*10)</f>
        <v>859.33333333333326</v>
      </c>
      <c r="E323" s="14">
        <f>561.6*(2/3*10)</f>
        <v>3744</v>
      </c>
      <c r="F323" s="14">
        <f>114.4*(2/3*10)</f>
        <v>762.66666666666663</v>
      </c>
      <c r="G323" s="14">
        <f>298*(2/3*10)</f>
        <v>1986.6666666666665</v>
      </c>
      <c r="H323" s="14">
        <f>64.7*(2/3*10)</f>
        <v>431.33333333333331</v>
      </c>
      <c r="I323" s="14">
        <f>225.2*(2/3*10)</f>
        <v>1501.333333333333</v>
      </c>
      <c r="K323">
        <v>320</v>
      </c>
      <c r="L323">
        <f t="shared" si="4"/>
        <v>0</v>
      </c>
    </row>
    <row r="324" spans="1:12" ht="16.5" x14ac:dyDescent="0.2">
      <c r="A324" s="4" t="s">
        <v>312</v>
      </c>
      <c r="B324">
        <v>2009</v>
      </c>
      <c r="C324" s="14">
        <f>456.9*(2/3*10)</f>
        <v>3045.9999999999995</v>
      </c>
      <c r="D324" s="14">
        <f>59.4*(2/3*10)</f>
        <v>395.99999999999994</v>
      </c>
      <c r="E324" s="14">
        <f>618.8*(2/3*10)</f>
        <v>4125.333333333333</v>
      </c>
      <c r="F324" s="14">
        <f>28.5*(2/3*10)</f>
        <v>189.99999999999997</v>
      </c>
      <c r="G324" s="14">
        <f>136.3*(2/3*10)</f>
        <v>908.66666666666663</v>
      </c>
      <c r="H324" s="14">
        <f>25.4*(2/3*10)</f>
        <v>169.33333333333331</v>
      </c>
      <c r="I324" s="14">
        <f>56.1*(2/3*10)</f>
        <v>374</v>
      </c>
      <c r="K324" s="15">
        <v>321</v>
      </c>
      <c r="L324">
        <f t="shared" si="4"/>
        <v>1</v>
      </c>
    </row>
    <row r="325" spans="1:12" ht="16.5" x14ac:dyDescent="0.2">
      <c r="A325" s="4" t="s">
        <v>312</v>
      </c>
      <c r="B325">
        <v>2010</v>
      </c>
      <c r="C325" s="14">
        <f>456*(2/3*10)</f>
        <v>3039.9999999999995</v>
      </c>
      <c r="D325" s="14">
        <f>59.3*(2/3*10)</f>
        <v>395.33333333333326</v>
      </c>
      <c r="E325" s="14">
        <f>618.3*(2/3*10)</f>
        <v>4121.9999999999991</v>
      </c>
      <c r="F325" s="14">
        <f>28.5*(2/3*10)</f>
        <v>189.99999999999997</v>
      </c>
      <c r="G325" s="14">
        <f>138.1*(2/3*10)</f>
        <v>920.66666666666674</v>
      </c>
      <c r="H325" s="14">
        <f>25.4*(2/3*10)</f>
        <v>169.33333333333331</v>
      </c>
      <c r="I325" s="14">
        <f>56*(2/3*10)</f>
        <v>373.33333333333331</v>
      </c>
      <c r="K325">
        <v>322</v>
      </c>
      <c r="L325">
        <f t="shared" ref="L325:L388" si="5">MOD(K325,8)</f>
        <v>2</v>
      </c>
    </row>
    <row r="326" spans="1:12" ht="16.5" x14ac:dyDescent="0.2">
      <c r="A326" s="4" t="s">
        <v>312</v>
      </c>
      <c r="B326">
        <v>2011</v>
      </c>
      <c r="C326" s="14">
        <f>454.9*(2/3*10)</f>
        <v>3032.6666666666661</v>
      </c>
      <c r="D326" s="14">
        <f>59.2*(2/3*10)</f>
        <v>394.66666666666663</v>
      </c>
      <c r="E326" s="14">
        <f>618.1*(2/3*10)</f>
        <v>4120.6666666666661</v>
      </c>
      <c r="F326" s="14">
        <f>28.4*(2/3*10)</f>
        <v>189.33333333333331</v>
      </c>
      <c r="G326" s="14">
        <f>139.5*(2/3*10)</f>
        <v>929.99999999999989</v>
      </c>
      <c r="H326" s="14">
        <f>25.5*(2/3*10)</f>
        <v>169.99999999999997</v>
      </c>
      <c r="I326" s="14">
        <f>56*(2/3*10)</f>
        <v>373.33333333333331</v>
      </c>
      <c r="K326" s="15">
        <v>323</v>
      </c>
      <c r="L326">
        <f t="shared" si="5"/>
        <v>3</v>
      </c>
    </row>
    <row r="327" spans="1:12" ht="16.5" x14ac:dyDescent="0.2">
      <c r="A327" s="4" t="s">
        <v>312</v>
      </c>
      <c r="B327">
        <v>2012</v>
      </c>
      <c r="C327" s="14">
        <f>453.8*(2/3*10)</f>
        <v>3025.333333333333</v>
      </c>
      <c r="D327" s="14">
        <f>59.1*(2/3*10)</f>
        <v>394</v>
      </c>
      <c r="E327" s="14">
        <f>617.9*(2/3*10)</f>
        <v>4119.333333333333</v>
      </c>
      <c r="F327" s="14">
        <f>28.6*(2/3*10)</f>
        <v>190.66666666666666</v>
      </c>
      <c r="G327" s="14">
        <f>140.5*(2/3*10)</f>
        <v>936.66666666666663</v>
      </c>
      <c r="H327" s="14">
        <f>25.7*(2/3*10)</f>
        <v>171.33333333333331</v>
      </c>
      <c r="I327" s="14">
        <f>55.9*(2/3*10)</f>
        <v>372.66666666666663</v>
      </c>
      <c r="K327">
        <v>324</v>
      </c>
      <c r="L327">
        <f t="shared" si="5"/>
        <v>4</v>
      </c>
    </row>
    <row r="328" spans="1:12" ht="16.5" x14ac:dyDescent="0.2">
      <c r="A328" s="4" t="s">
        <v>312</v>
      </c>
      <c r="B328">
        <v>2013</v>
      </c>
      <c r="C328" s="14">
        <f>453.1*(2/3*10)</f>
        <v>3020.6666666666665</v>
      </c>
      <c r="D328" s="14">
        <f>59*(2/3*10)</f>
        <v>393.33333333333331</v>
      </c>
      <c r="E328" s="14">
        <f>617.7*(2/3*10)</f>
        <v>4118</v>
      </c>
      <c r="F328" s="14">
        <f>28.5*(2/3*10)</f>
        <v>189.99999999999997</v>
      </c>
      <c r="G328" s="14">
        <f>141.4*(2/3*10)</f>
        <v>942.66666666666663</v>
      </c>
      <c r="H328" s="14">
        <f>26*(2/3*10)</f>
        <v>173.33333333333331</v>
      </c>
      <c r="I328" s="14">
        <f>55.7*(2/3*10)</f>
        <v>371.33333333333331</v>
      </c>
      <c r="K328" s="15">
        <v>325</v>
      </c>
      <c r="L328">
        <f t="shared" si="5"/>
        <v>5</v>
      </c>
    </row>
    <row r="329" spans="1:12" ht="16.5" x14ac:dyDescent="0.2">
      <c r="A329" s="4" t="s">
        <v>312</v>
      </c>
      <c r="B329">
        <v>2014</v>
      </c>
      <c r="C329" s="14">
        <f>452.1*(2/3*10)</f>
        <v>3014</v>
      </c>
      <c r="D329" s="14">
        <f>58.6*(2/3*10)</f>
        <v>390.66666666666663</v>
      </c>
      <c r="E329" s="14">
        <f>616.9*(2/3*10)</f>
        <v>4112.6666666666661</v>
      </c>
      <c r="F329" s="14">
        <f>28.2*(2/3*10)</f>
        <v>187.99999999999997</v>
      </c>
      <c r="G329" s="14">
        <f>143.6*(2/3*10)</f>
        <v>957.33333333333326</v>
      </c>
      <c r="H329" s="14">
        <f>26.3*(2/3*10)</f>
        <v>175.33333333333331</v>
      </c>
      <c r="I329" s="14">
        <f>55.6*(2/3*10)</f>
        <v>370.66666666666663</v>
      </c>
      <c r="K329">
        <v>326</v>
      </c>
      <c r="L329">
        <f t="shared" si="5"/>
        <v>6</v>
      </c>
    </row>
    <row r="330" spans="1:12" ht="16.5" x14ac:dyDescent="0.2">
      <c r="A330" s="4" t="s">
        <v>312</v>
      </c>
      <c r="B330">
        <v>2015</v>
      </c>
      <c r="C330" s="14">
        <f>451.2*(2/3*10)</f>
        <v>3007.9999999999995</v>
      </c>
      <c r="D330" s="14">
        <f>58.5*(2/3*10)</f>
        <v>389.99999999999994</v>
      </c>
      <c r="E330" s="14">
        <f>616.7*(2/3*10)</f>
        <v>4111.333333333333</v>
      </c>
      <c r="F330" s="14">
        <f>28.1*(2/3*10)</f>
        <v>187.33333333333331</v>
      </c>
      <c r="G330" s="14">
        <f>144.8*(2/3*10)</f>
        <v>965.33333333333337</v>
      </c>
      <c r="H330" s="14">
        <f>26.4*(2/3*10)</f>
        <v>175.99999999999997</v>
      </c>
      <c r="I330" s="14">
        <f>55.5*(2/3*10)</f>
        <v>369.99999999999994</v>
      </c>
      <c r="K330" s="15">
        <v>327</v>
      </c>
      <c r="L330">
        <f t="shared" si="5"/>
        <v>7</v>
      </c>
    </row>
    <row r="331" spans="1:12" ht="16.5" x14ac:dyDescent="0.2">
      <c r="A331" s="4" t="s">
        <v>312</v>
      </c>
      <c r="B331">
        <v>2016</v>
      </c>
      <c r="C331" s="14">
        <f>450.8*(2/3*10)</f>
        <v>3005.333333333333</v>
      </c>
      <c r="D331" s="14">
        <f>58.4*(2/3*10)</f>
        <v>389.33333333333331</v>
      </c>
      <c r="E331" s="14">
        <f>616.6*(2/3*10)</f>
        <v>4110.6666666666661</v>
      </c>
      <c r="F331" s="14">
        <f>28.1*(2/3*10)</f>
        <v>187.33333333333331</v>
      </c>
      <c r="G331" s="14">
        <f>145.3*(2/3*10)</f>
        <v>968.66666666666663</v>
      </c>
      <c r="H331" s="14">
        <f>26.4*(2/3*10)</f>
        <v>175.99999999999997</v>
      </c>
      <c r="I331" s="14">
        <f>55.5*(2/3*10)</f>
        <v>369.99999999999994</v>
      </c>
      <c r="K331">
        <v>328</v>
      </c>
      <c r="L331">
        <f t="shared" si="5"/>
        <v>0</v>
      </c>
    </row>
    <row r="332" spans="1:12" ht="16.5" x14ac:dyDescent="0.2">
      <c r="A332" s="4" t="s">
        <v>311</v>
      </c>
      <c r="B332">
        <v>2009</v>
      </c>
      <c r="C332" s="14">
        <f>282.3*(2/3*10)</f>
        <v>1882</v>
      </c>
      <c r="D332" s="14">
        <f>9.1*(2/3*10)</f>
        <v>60.666666666666657</v>
      </c>
      <c r="E332" s="14">
        <f>1226.6*(2/3*10)</f>
        <v>8177.3333333333321</v>
      </c>
      <c r="F332" s="14">
        <f>26.6*(2/3*10)</f>
        <v>177.33333333333331</v>
      </c>
      <c r="G332" s="14">
        <f>69.4*(2/3*10)</f>
        <v>462.66666666666669</v>
      </c>
      <c r="H332" s="14">
        <f>23.3*(2/3*10)</f>
        <v>155.33333333333331</v>
      </c>
      <c r="I332" s="14">
        <f>50*(2/3*10)</f>
        <v>333.33333333333331</v>
      </c>
      <c r="K332" s="15">
        <v>329</v>
      </c>
      <c r="L332">
        <f t="shared" si="5"/>
        <v>1</v>
      </c>
    </row>
    <row r="333" spans="1:12" ht="16.5" x14ac:dyDescent="0.2">
      <c r="A333" s="4" t="s">
        <v>311</v>
      </c>
      <c r="B333">
        <v>2010</v>
      </c>
      <c r="C333" s="14">
        <f>281.4*(2/3*10)</f>
        <v>1875.9999999999998</v>
      </c>
      <c r="D333" s="14">
        <f>9.1*(2/3*10)</f>
        <v>60.666666666666657</v>
      </c>
      <c r="E333" s="14">
        <f>1226.2*(2/3*10)</f>
        <v>8174.6666666666661</v>
      </c>
      <c r="F333" s="14">
        <f>26.5*(2/3*10)</f>
        <v>176.66666666666666</v>
      </c>
      <c r="G333" s="14">
        <f>70.5*(2/3*10)</f>
        <v>469.99999999999994</v>
      </c>
      <c r="H333" s="14">
        <f>23.3*(2/3*10)</f>
        <v>155.33333333333331</v>
      </c>
      <c r="I333" s="14">
        <f>50*(2/3*10)</f>
        <v>333.33333333333331</v>
      </c>
      <c r="K333">
        <v>330</v>
      </c>
      <c r="L333">
        <f t="shared" si="5"/>
        <v>2</v>
      </c>
    </row>
    <row r="334" spans="1:12" ht="16.5" x14ac:dyDescent="0.2">
      <c r="A334" s="4" t="s">
        <v>311</v>
      </c>
      <c r="B334">
        <v>2011</v>
      </c>
      <c r="C334" s="14">
        <f>280.1*(2/3*10)</f>
        <v>1867.3333333333333</v>
      </c>
      <c r="D334" s="14">
        <f>9*(2/3*10)</f>
        <v>59.999999999999993</v>
      </c>
      <c r="E334" s="14">
        <f>1226*(2/3*10)</f>
        <v>8173.333333333333</v>
      </c>
      <c r="F334" s="14">
        <f>26.4*(2/3*10)</f>
        <v>175.99999999999997</v>
      </c>
      <c r="G334" s="14">
        <f>72.2*(2/3*10)</f>
        <v>481.3333333333332</v>
      </c>
      <c r="H334" s="14">
        <f>23.3*(2/3*10)</f>
        <v>155.33333333333331</v>
      </c>
      <c r="I334" s="14">
        <f>50*(2/3*10)</f>
        <v>333.33333333333331</v>
      </c>
      <c r="K334" s="15">
        <v>331</v>
      </c>
      <c r="L334">
        <f t="shared" si="5"/>
        <v>3</v>
      </c>
    </row>
    <row r="335" spans="1:12" ht="16.5" x14ac:dyDescent="0.2">
      <c r="A335" s="4" t="s">
        <v>311</v>
      </c>
      <c r="B335">
        <v>2012</v>
      </c>
      <c r="C335" s="14">
        <f>278.7*(2/3*10)</f>
        <v>1857.9999999999998</v>
      </c>
      <c r="D335" s="14">
        <f>9*(2/3*10)</f>
        <v>59.999999999999993</v>
      </c>
      <c r="E335" s="14">
        <f>1225.8*(2/3*10)</f>
        <v>8171.9999999999991</v>
      </c>
      <c r="F335" s="14">
        <f>26.6*(2/3*10)</f>
        <v>177.33333333333331</v>
      </c>
      <c r="G335" s="14">
        <f>73.7*(2/3*10)</f>
        <v>491.33333333333331</v>
      </c>
      <c r="H335" s="14">
        <f>23.3*(2/3*10)</f>
        <v>155.33333333333331</v>
      </c>
      <c r="I335" s="14">
        <f>49.9*(2/3*10)</f>
        <v>332.66666666666663</v>
      </c>
      <c r="K335">
        <v>332</v>
      </c>
      <c r="L335">
        <f t="shared" si="5"/>
        <v>4</v>
      </c>
    </row>
    <row r="336" spans="1:12" ht="16.5" x14ac:dyDescent="0.2">
      <c r="A336" s="4" t="s">
        <v>311</v>
      </c>
      <c r="B336">
        <v>2013</v>
      </c>
      <c r="C336" s="14">
        <f>278.2*(2/3*10)</f>
        <v>1854.6666666666665</v>
      </c>
      <c r="D336" s="14">
        <f>9*(2/3*10)</f>
        <v>59.999999999999993</v>
      </c>
      <c r="E336" s="14">
        <f>1225.7*(2/3*10)</f>
        <v>8171.333333333333</v>
      </c>
      <c r="F336" s="14">
        <f>26.4*(2/3*10)</f>
        <v>175.99999999999997</v>
      </c>
      <c r="G336" s="14">
        <f>74.5*(2/3*10)</f>
        <v>496.66666666666674</v>
      </c>
      <c r="H336" s="14">
        <f>23.4*(2/3*10)</f>
        <v>155.99999999999997</v>
      </c>
      <c r="I336" s="14">
        <f>49.8*(2/3*10)</f>
        <v>331.99999999999994</v>
      </c>
      <c r="K336" s="15">
        <v>333</v>
      </c>
      <c r="L336">
        <f t="shared" si="5"/>
        <v>5</v>
      </c>
    </row>
    <row r="337" spans="1:12" ht="16.5" x14ac:dyDescent="0.2">
      <c r="A337" s="4" t="s">
        <v>311</v>
      </c>
      <c r="B337">
        <v>2014</v>
      </c>
      <c r="C337" s="14">
        <f>277.7*(2/3*10)</f>
        <v>1851.333333333333</v>
      </c>
      <c r="D337" s="14">
        <f>9*(2/3*10)</f>
        <v>59.999999999999993</v>
      </c>
      <c r="E337" s="14">
        <f>1225.6*(2/3*10)</f>
        <v>8170.6666666666652</v>
      </c>
      <c r="F337" s="14">
        <f>26.4*(2/3*10)</f>
        <v>175.99999999999997</v>
      </c>
      <c r="G337" s="14">
        <f>75.1*(2/3*10)</f>
        <v>500.66666666666669</v>
      </c>
      <c r="H337" s="14">
        <f>23.4*(2/3*10)</f>
        <v>155.99999999999997</v>
      </c>
      <c r="I337" s="14">
        <f>49.8*(2/3*10)</f>
        <v>331.99999999999994</v>
      </c>
      <c r="K337">
        <v>334</v>
      </c>
      <c r="L337">
        <f t="shared" si="5"/>
        <v>6</v>
      </c>
    </row>
    <row r="338" spans="1:12" ht="16.5" x14ac:dyDescent="0.2">
      <c r="A338" s="4" t="s">
        <v>311</v>
      </c>
      <c r="B338">
        <v>2015</v>
      </c>
      <c r="C338" s="14">
        <f>277.5*(2/3*10)</f>
        <v>1849.9999999999998</v>
      </c>
      <c r="D338" s="14">
        <f>9*(2/3*10)</f>
        <v>59.999999999999993</v>
      </c>
      <c r="E338" s="14">
        <f>1225.6*(2/3*10)</f>
        <v>8170.6666666666652</v>
      </c>
      <c r="F338" s="14">
        <f>26.3*(2/3*10)</f>
        <v>175.33333333333331</v>
      </c>
      <c r="G338" s="14">
        <f>75.4*(2/3*10)</f>
        <v>502.66666666666669</v>
      </c>
      <c r="H338" s="14">
        <f>23.5*(2/3*10)</f>
        <v>156.66666666666666</v>
      </c>
      <c r="I338" s="14">
        <f>49.7*(2/3*10)</f>
        <v>331.33333333333331</v>
      </c>
      <c r="K338" s="15">
        <v>335</v>
      </c>
      <c r="L338">
        <f t="shared" si="5"/>
        <v>7</v>
      </c>
    </row>
    <row r="339" spans="1:12" ht="16.5" x14ac:dyDescent="0.2">
      <c r="A339" s="4" t="s">
        <v>311</v>
      </c>
      <c r="B339">
        <v>2016</v>
      </c>
      <c r="C339" s="14">
        <f>276.9*(2/3*10)</f>
        <v>1845.9999999999998</v>
      </c>
      <c r="D339" s="14">
        <f>8.9*(2/3*10)</f>
        <v>59.333333333333329</v>
      </c>
      <c r="E339" s="14">
        <f>1225.3*(2/3*10)</f>
        <v>8168.6666666666661</v>
      </c>
      <c r="F339" s="14">
        <f>26.3*(2/3*10)</f>
        <v>175.33333333333331</v>
      </c>
      <c r="G339" s="14">
        <f>75.6*(2/3*10)</f>
        <v>504</v>
      </c>
      <c r="H339" s="14">
        <f>24.3*(2/3*10)</f>
        <v>162</v>
      </c>
      <c r="I339" s="14">
        <f>49.7*(2/3*10)</f>
        <v>331.33333333333331</v>
      </c>
      <c r="K339">
        <v>336</v>
      </c>
      <c r="L339">
        <f t="shared" si="5"/>
        <v>0</v>
      </c>
    </row>
    <row r="340" spans="1:12" ht="16.5" x14ac:dyDescent="0.2">
      <c r="A340" s="4" t="s">
        <v>310</v>
      </c>
      <c r="B340">
        <v>2009</v>
      </c>
      <c r="C340" s="14">
        <f>129.2*(2/3*10)</f>
        <v>861.33333333333314</v>
      </c>
      <c r="D340" s="14">
        <f>11.9*(2/3*10)</f>
        <v>79.333333333333329</v>
      </c>
      <c r="E340" s="14">
        <f>992.2*(2/3*10)</f>
        <v>6614.6666666666661</v>
      </c>
      <c r="F340" s="14">
        <f>16.3*(2/3*10)</f>
        <v>108.66666666666666</v>
      </c>
      <c r="G340" s="14">
        <f>49.6*(2/3*10)</f>
        <v>330.66666666666657</v>
      </c>
      <c r="H340" s="14">
        <f>14.9*(2/3*10)</f>
        <v>99.333333333333329</v>
      </c>
      <c r="I340" s="14">
        <f>45.4*(2/3*10)</f>
        <v>302.66666666666663</v>
      </c>
      <c r="K340" s="15">
        <v>337</v>
      </c>
      <c r="L340">
        <f t="shared" si="5"/>
        <v>1</v>
      </c>
    </row>
    <row r="341" spans="1:12" ht="16.5" x14ac:dyDescent="0.2">
      <c r="A341" s="4" t="s">
        <v>310</v>
      </c>
      <c r="B341">
        <v>2010</v>
      </c>
      <c r="C341" s="14">
        <f>128.6*(2/3*10)</f>
        <v>857.33333333333326</v>
      </c>
      <c r="D341" s="14">
        <f>11.8*(2/3*10)</f>
        <v>78.666666666666671</v>
      </c>
      <c r="E341" s="14">
        <f>992.1*(2/3*10)</f>
        <v>6614</v>
      </c>
      <c r="F341" s="14">
        <f>16.3*(2/3*10)</f>
        <v>108.66666666666666</v>
      </c>
      <c r="G341" s="14">
        <f>50.5*(2/3*10)</f>
        <v>336.66666666666663</v>
      </c>
      <c r="H341" s="14">
        <f>14.9*(2/3*10)</f>
        <v>99.333333333333329</v>
      </c>
      <c r="I341" s="14">
        <f>45.3*(2/3*10)</f>
        <v>301.99999999999994</v>
      </c>
      <c r="K341">
        <v>338</v>
      </c>
      <c r="L341">
        <f t="shared" si="5"/>
        <v>2</v>
      </c>
    </row>
    <row r="342" spans="1:12" ht="16.5" x14ac:dyDescent="0.2">
      <c r="A342" s="4" t="s">
        <v>310</v>
      </c>
      <c r="B342">
        <v>2011</v>
      </c>
      <c r="C342" s="14">
        <f>128*(2/3*10)</f>
        <v>853.33333333333326</v>
      </c>
      <c r="D342" s="14">
        <f>11.8*(2/3*10)</f>
        <v>78.666666666666671</v>
      </c>
      <c r="E342" s="14">
        <f>991.9*(2/3*10)</f>
        <v>6612.6666666666661</v>
      </c>
      <c r="F342" s="14">
        <f>15.9*(2/3*10)</f>
        <v>106</v>
      </c>
      <c r="G342" s="14">
        <f>51.6*(2/3*10)</f>
        <v>343.99999999999994</v>
      </c>
      <c r="H342" s="14">
        <f>15*(2/3*10)</f>
        <v>99.999999999999986</v>
      </c>
      <c r="I342" s="14">
        <f>45.3*(2/3*10)</f>
        <v>301.99999999999994</v>
      </c>
      <c r="K342" s="15">
        <v>339</v>
      </c>
      <c r="L342">
        <f t="shared" si="5"/>
        <v>3</v>
      </c>
    </row>
    <row r="343" spans="1:12" ht="16.5" x14ac:dyDescent="0.2">
      <c r="A343" s="4" t="s">
        <v>310</v>
      </c>
      <c r="B343">
        <v>2012</v>
      </c>
      <c r="C343" s="14">
        <f>127.4*(2/3*10)</f>
        <v>849.33333333333326</v>
      </c>
      <c r="D343" s="14">
        <f>11.8*(2/3*10)</f>
        <v>78.666666666666671</v>
      </c>
      <c r="E343" s="14">
        <f>991.6*(2/3*10)</f>
        <v>6610.6666666666661</v>
      </c>
      <c r="F343" s="14">
        <f>15.8*(2/3*10)</f>
        <v>105.33333333333333</v>
      </c>
      <c r="G343" s="14">
        <f>52.5*(2/3*10)</f>
        <v>349.99999999999994</v>
      </c>
      <c r="H343" s="14">
        <f>15.2*(2/3*10)</f>
        <v>101.33333333333331</v>
      </c>
      <c r="I343" s="14">
        <f>45.3*(2/3*10)</f>
        <v>301.99999999999994</v>
      </c>
      <c r="K343">
        <v>340</v>
      </c>
      <c r="L343">
        <f t="shared" si="5"/>
        <v>4</v>
      </c>
    </row>
    <row r="344" spans="1:12" ht="16.5" x14ac:dyDescent="0.2">
      <c r="A344" s="4" t="s">
        <v>310</v>
      </c>
      <c r="B344">
        <v>2013</v>
      </c>
      <c r="C344" s="14">
        <f>126.9*(2/3*10)</f>
        <v>846</v>
      </c>
      <c r="D344" s="14">
        <f>11.8*(2/3*10)</f>
        <v>78.666666666666671</v>
      </c>
      <c r="E344" s="14">
        <f>991.1*(2/3*10)</f>
        <v>6607.333333333333</v>
      </c>
      <c r="F344" s="14">
        <f>15.8*(2/3*10)</f>
        <v>105.33333333333333</v>
      </c>
      <c r="G344" s="14">
        <f>53.4*(2/3*10)</f>
        <v>356</v>
      </c>
      <c r="H344" s="14">
        <f>15.2*(2/3*10)</f>
        <v>101.33333333333331</v>
      </c>
      <c r="I344" s="14">
        <f>45.3*(2/3*10)</f>
        <v>301.99999999999994</v>
      </c>
      <c r="K344" s="15">
        <v>341</v>
      </c>
      <c r="L344">
        <f t="shared" si="5"/>
        <v>5</v>
      </c>
    </row>
    <row r="345" spans="1:12" ht="16.5" x14ac:dyDescent="0.2">
      <c r="A345" s="4" t="s">
        <v>310</v>
      </c>
      <c r="B345">
        <v>2014</v>
      </c>
      <c r="C345" s="14">
        <f>126.7*(2/3*10)</f>
        <v>844.66666666666663</v>
      </c>
      <c r="D345" s="14">
        <f>11.7*(2/3*10)</f>
        <v>77.999999999999986</v>
      </c>
      <c r="E345" s="14">
        <f>990.9*(2/3*10)</f>
        <v>6605.9999999999991</v>
      </c>
      <c r="F345" s="14">
        <f>15.7*(2/3*10)</f>
        <v>104.66666666666666</v>
      </c>
      <c r="G345" s="14">
        <f>53.8*(2/3*10)</f>
        <v>358.66666666666669</v>
      </c>
      <c r="H345" s="14">
        <f>15.2*(2/3*10)</f>
        <v>101.33333333333331</v>
      </c>
      <c r="I345" s="14">
        <f>45.3*(2/3*10)</f>
        <v>301.99999999999994</v>
      </c>
      <c r="K345">
        <v>342</v>
      </c>
      <c r="L345">
        <f t="shared" si="5"/>
        <v>6</v>
      </c>
    </row>
    <row r="346" spans="1:12" ht="16.5" x14ac:dyDescent="0.2">
      <c r="A346" s="4" t="s">
        <v>310</v>
      </c>
      <c r="B346">
        <v>2015</v>
      </c>
      <c r="C346" s="14">
        <f>126.4*(2/3*10)</f>
        <v>842.66666666666663</v>
      </c>
      <c r="D346" s="14">
        <f>11.7*(2/3*10)</f>
        <v>77.999999999999986</v>
      </c>
      <c r="E346" s="14">
        <f>990.7*(2/3*10)</f>
        <v>6604.6666666666661</v>
      </c>
      <c r="F346" s="14">
        <f>15.7*(2/3*10)</f>
        <v>104.66666666666666</v>
      </c>
      <c r="G346" s="14">
        <f>54.3*(2/3*10)</f>
        <v>361.99999999999994</v>
      </c>
      <c r="H346" s="14">
        <f>15.4*(2/3*10)</f>
        <v>102.66666666666666</v>
      </c>
      <c r="I346" s="14">
        <f>45.2*(2/3*10)</f>
        <v>301.33333333333331</v>
      </c>
      <c r="K346" s="15">
        <v>343</v>
      </c>
      <c r="L346">
        <f t="shared" si="5"/>
        <v>7</v>
      </c>
    </row>
    <row r="347" spans="1:12" ht="16.5" x14ac:dyDescent="0.2">
      <c r="A347" s="4" t="s">
        <v>310</v>
      </c>
      <c r="B347">
        <v>2016</v>
      </c>
      <c r="C347" s="14">
        <f>126*(2/3*10)</f>
        <v>839.99999999999989</v>
      </c>
      <c r="D347" s="14">
        <f>11.7*(2/3*10)</f>
        <v>77.999999999999986</v>
      </c>
      <c r="E347" s="14">
        <f>990.5*(2/3*10)</f>
        <v>6603.333333333333</v>
      </c>
      <c r="F347" s="14">
        <f>15.7*(2/3*10)</f>
        <v>104.66666666666666</v>
      </c>
      <c r="G347" s="14">
        <f>54.5*(2/3*10)</f>
        <v>363.33333333333331</v>
      </c>
      <c r="H347" s="14">
        <f>15.8*(2/3*10)</f>
        <v>105.33333333333333</v>
      </c>
      <c r="I347" s="14">
        <f>45.2*(2/3*10)</f>
        <v>301.33333333333331</v>
      </c>
      <c r="K347">
        <v>344</v>
      </c>
      <c r="L347">
        <f t="shared" si="5"/>
        <v>0</v>
      </c>
    </row>
    <row r="348" spans="1:12" ht="16.5" x14ac:dyDescent="0.2">
      <c r="A348" s="4" t="s">
        <v>309</v>
      </c>
      <c r="B348">
        <v>2009</v>
      </c>
      <c r="C348" s="14">
        <f>373.3*(2/3*10)</f>
        <v>2488.6666666666665</v>
      </c>
      <c r="D348" s="14">
        <f>58.1*(2/3*10)</f>
        <v>387.33333333333331</v>
      </c>
      <c r="E348" s="14">
        <f>1471.4*(2/3*10)</f>
        <v>9809.3333333333339</v>
      </c>
      <c r="F348" s="14">
        <f>44*(2/3*10)</f>
        <v>293.33333333333331</v>
      </c>
      <c r="G348" s="14">
        <f>95*(2/3*10)</f>
        <v>633.33333333333326</v>
      </c>
      <c r="H348" s="14">
        <f>36.7*(2/3*10)</f>
        <v>244.66666666666666</v>
      </c>
      <c r="I348" s="14">
        <f>204.6*(2/3*10)</f>
        <v>1363.9999999999998</v>
      </c>
      <c r="K348" s="15">
        <v>345</v>
      </c>
      <c r="L348">
        <f t="shared" si="5"/>
        <v>1</v>
      </c>
    </row>
    <row r="349" spans="1:12" ht="16.5" x14ac:dyDescent="0.2">
      <c r="A349" s="4" t="s">
        <v>309</v>
      </c>
      <c r="B349">
        <v>2010</v>
      </c>
      <c r="C349" s="14">
        <f>372.5*(2/3*10)</f>
        <v>2483.333333333333</v>
      </c>
      <c r="D349" s="14">
        <f>58.1*(2/3*10)</f>
        <v>387.33333333333331</v>
      </c>
      <c r="E349" s="14">
        <f>1471.2*(2/3*10)</f>
        <v>9808</v>
      </c>
      <c r="F349" s="14">
        <f>43.3*(2/3*10)</f>
        <v>288.66666666666663</v>
      </c>
      <c r="G349" s="14">
        <f>96.9*(2/3*10)</f>
        <v>646</v>
      </c>
      <c r="H349" s="14">
        <f>36.9*(2/3*10)</f>
        <v>245.99999999999997</v>
      </c>
      <c r="I349" s="14">
        <f>204.4*(2/3*10)</f>
        <v>1362.6666666666665</v>
      </c>
      <c r="K349">
        <v>346</v>
      </c>
      <c r="L349">
        <f t="shared" si="5"/>
        <v>2</v>
      </c>
    </row>
    <row r="350" spans="1:12" ht="16.5" x14ac:dyDescent="0.2">
      <c r="A350" s="4" t="s">
        <v>309</v>
      </c>
      <c r="B350">
        <v>2011</v>
      </c>
      <c r="C350" s="14">
        <f>371.6*(2/3*10)</f>
        <v>2477.3333333333335</v>
      </c>
      <c r="D350" s="14">
        <f>58*(2/3*10)</f>
        <v>386.66666666666663</v>
      </c>
      <c r="E350" s="14">
        <f>1471.1*(2/3*10)</f>
        <v>9807.3333333333321</v>
      </c>
      <c r="F350" s="14">
        <f>43.2*(2/3*10)</f>
        <v>288</v>
      </c>
      <c r="G350" s="14">
        <f>98*(2/3*10)</f>
        <v>653.33333333333326</v>
      </c>
      <c r="H350" s="14">
        <f>37.1*(2/3*10)</f>
        <v>247.33333333333331</v>
      </c>
      <c r="I350" s="14">
        <f>204.3*(2/3*10)</f>
        <v>1362</v>
      </c>
      <c r="K350" s="15">
        <v>347</v>
      </c>
      <c r="L350">
        <f t="shared" si="5"/>
        <v>3</v>
      </c>
    </row>
    <row r="351" spans="1:12" ht="16.5" x14ac:dyDescent="0.2">
      <c r="A351" s="4" t="s">
        <v>309</v>
      </c>
      <c r="B351">
        <v>2012</v>
      </c>
      <c r="C351" s="14">
        <f>369.5*(2/3*10)</f>
        <v>2463.333333333333</v>
      </c>
      <c r="D351" s="14">
        <f>57.9*(2/3*10)</f>
        <v>385.99999999999994</v>
      </c>
      <c r="E351" s="14">
        <f>1470.4*(2/3*10)</f>
        <v>9802.6666666666661</v>
      </c>
      <c r="F351" s="14">
        <f>43*(2/3*10)</f>
        <v>286.66666666666663</v>
      </c>
      <c r="G351" s="14">
        <f>98.8*(2/3*10)</f>
        <v>658.66666666666663</v>
      </c>
      <c r="H351" s="14">
        <f>38.4*(2/3*10)</f>
        <v>255.99999999999997</v>
      </c>
      <c r="I351" s="14">
        <f>204.7*(2/3*10)</f>
        <v>1364.6666666666665</v>
      </c>
      <c r="K351">
        <v>348</v>
      </c>
      <c r="L351">
        <f t="shared" si="5"/>
        <v>4</v>
      </c>
    </row>
    <row r="352" spans="1:12" ht="16.5" x14ac:dyDescent="0.2">
      <c r="A352" s="4" t="s">
        <v>309</v>
      </c>
      <c r="B352">
        <v>2013</v>
      </c>
      <c r="C352" s="14">
        <f>369.2*(2/3*10)</f>
        <v>2461.333333333333</v>
      </c>
      <c r="D352" s="14">
        <f>57.9*(2/3*10)</f>
        <v>385.99999999999994</v>
      </c>
      <c r="E352" s="14">
        <f>1470.3*(2/3*10)</f>
        <v>9801.9999999999982</v>
      </c>
      <c r="F352" s="14">
        <f>42.7*(2/3*10)</f>
        <v>284.66666666666669</v>
      </c>
      <c r="G352" s="14">
        <f>99.4*(2/3*10)</f>
        <v>662.66666666666663</v>
      </c>
      <c r="H352" s="14">
        <f>38.7*(2/3*10)</f>
        <v>258</v>
      </c>
      <c r="I352" s="14">
        <f>204.4*(2/3*10)</f>
        <v>1362.6666666666665</v>
      </c>
      <c r="K352" s="15">
        <v>349</v>
      </c>
      <c r="L352">
        <f t="shared" si="5"/>
        <v>5</v>
      </c>
    </row>
    <row r="353" spans="1:12" ht="16.5" x14ac:dyDescent="0.2">
      <c r="A353" s="4" t="s">
        <v>309</v>
      </c>
      <c r="B353">
        <v>2014</v>
      </c>
      <c r="C353" s="14">
        <f>368.8*(2/3*10)</f>
        <v>2458.6666666666665</v>
      </c>
      <c r="D353" s="14">
        <f>57.9*(2/3*10)</f>
        <v>385.99999999999994</v>
      </c>
      <c r="E353" s="14">
        <f>1470.2*(2/3*10)</f>
        <v>9801.3333333333321</v>
      </c>
      <c r="F353" s="14">
        <f>42.7*(2/3*10)</f>
        <v>284.66666666666669</v>
      </c>
      <c r="G353" s="14">
        <f>100*(2/3*10)</f>
        <v>666.66666666666663</v>
      </c>
      <c r="H353" s="14">
        <f>39.1*(2/3*10)</f>
        <v>260.66666666666663</v>
      </c>
      <c r="I353" s="14">
        <f>204*(2/3*10)</f>
        <v>1359.9999999999998</v>
      </c>
      <c r="K353">
        <v>350</v>
      </c>
      <c r="L353">
        <f t="shared" si="5"/>
        <v>6</v>
      </c>
    </row>
    <row r="354" spans="1:12" ht="16.5" x14ac:dyDescent="0.2">
      <c r="A354" s="4" t="s">
        <v>309</v>
      </c>
      <c r="B354">
        <v>2015</v>
      </c>
      <c r="C354" s="14">
        <f>368.2*(2/3*10)</f>
        <v>2454.6666666666665</v>
      </c>
      <c r="D354" s="14">
        <f>57.8*(2/3*10)</f>
        <v>385.33333333333326</v>
      </c>
      <c r="E354" s="14">
        <f>1470.1*(2/3*10)</f>
        <v>9800.6666666666661</v>
      </c>
      <c r="F354" s="14">
        <f>42.4*(2/3*10)</f>
        <v>282.66666666666663</v>
      </c>
      <c r="G354" s="14">
        <f>100.8*(2/3*10)</f>
        <v>672</v>
      </c>
      <c r="H354" s="14">
        <f>41.2*(2/3*10)</f>
        <v>274.66666666666669</v>
      </c>
      <c r="I354" s="14">
        <f>202*(2/3*10)</f>
        <v>1346.6666666666665</v>
      </c>
      <c r="K354" s="15">
        <v>351</v>
      </c>
      <c r="L354">
        <f t="shared" si="5"/>
        <v>7</v>
      </c>
    </row>
    <row r="355" spans="1:12" ht="16.5" x14ac:dyDescent="0.2">
      <c r="A355" s="4" t="s">
        <v>309</v>
      </c>
      <c r="B355">
        <v>2016</v>
      </c>
      <c r="C355" s="14">
        <f>367.8*(2/3*10)</f>
        <v>2452</v>
      </c>
      <c r="D355" s="14">
        <f>57.8*(2/3*10)</f>
        <v>385.33333333333326</v>
      </c>
      <c r="E355" s="14">
        <f>1470*(2/3*10)</f>
        <v>9800</v>
      </c>
      <c r="F355" s="14">
        <f>42.3*(2/3*10)</f>
        <v>281.99999999999994</v>
      </c>
      <c r="G355" s="14">
        <f>101.3*(2/3*10)</f>
        <v>675.33333333333326</v>
      </c>
      <c r="H355" s="14">
        <f>41.3*(2/3*10)</f>
        <v>275.33333333333331</v>
      </c>
      <c r="I355" s="14">
        <f>201.9*(2/3*10)</f>
        <v>1346</v>
      </c>
      <c r="K355">
        <v>352</v>
      </c>
      <c r="L355">
        <f t="shared" si="5"/>
        <v>0</v>
      </c>
    </row>
    <row r="356" spans="1:12" ht="16.5" x14ac:dyDescent="0.2">
      <c r="A356" s="4" t="s">
        <v>308</v>
      </c>
      <c r="B356">
        <v>2009</v>
      </c>
      <c r="C356" s="14">
        <f>768.2*(2/3*10)</f>
        <v>5121.333333333333</v>
      </c>
      <c r="D356" s="14">
        <f>49.3*(2/3*10)</f>
        <v>328.66666666666663</v>
      </c>
      <c r="E356" s="14">
        <f>270.9*(2/3*10)</f>
        <v>1805.9999999999998</v>
      </c>
      <c r="F356" s="14">
        <f>114.6*(2/3*10)</f>
        <v>763.99999999999989</v>
      </c>
      <c r="G356" s="14">
        <f>138.8*(2/3*10)</f>
        <v>925.33333333333337</v>
      </c>
      <c r="H356" s="14">
        <f>43.6*(2/3*10)</f>
        <v>290.66666666666663</v>
      </c>
      <c r="I356" s="14">
        <f>93.7*(2/3*10)</f>
        <v>624.66666666666663</v>
      </c>
      <c r="K356" s="15">
        <v>353</v>
      </c>
      <c r="L356">
        <f t="shared" si="5"/>
        <v>1</v>
      </c>
    </row>
    <row r="357" spans="1:12" ht="16.5" x14ac:dyDescent="0.2">
      <c r="A357" s="4" t="s">
        <v>308</v>
      </c>
      <c r="B357">
        <v>2010</v>
      </c>
      <c r="C357" s="14">
        <f>767.6*(2/3*10)</f>
        <v>5117.333333333333</v>
      </c>
      <c r="D357" s="14">
        <f>49.3*(2/3*10)</f>
        <v>328.66666666666663</v>
      </c>
      <c r="E357" s="14">
        <f>270.8*(2/3*10)</f>
        <v>1805.3333333333333</v>
      </c>
      <c r="F357" s="14">
        <f>114.2*(2/3*10)</f>
        <v>761.33333333333326</v>
      </c>
      <c r="G357" s="14">
        <f>145.4*(2/3*10)</f>
        <v>969.33333333333314</v>
      </c>
      <c r="H357" s="14">
        <f>43.6*(2/3*10)</f>
        <v>290.66666666666663</v>
      </c>
      <c r="I357" s="14">
        <f>88*(2/3*10)</f>
        <v>586.66666666666663</v>
      </c>
      <c r="K357">
        <v>354</v>
      </c>
      <c r="L357">
        <f t="shared" si="5"/>
        <v>2</v>
      </c>
    </row>
    <row r="358" spans="1:12" ht="16.5" x14ac:dyDescent="0.2">
      <c r="A358" s="4" t="s">
        <v>308</v>
      </c>
      <c r="B358">
        <v>2011</v>
      </c>
      <c r="C358" s="14">
        <f>762*(2/3*10)</f>
        <v>5080</v>
      </c>
      <c r="D358" s="14">
        <f>49.1*(2/3*10)</f>
        <v>327.33333333333331</v>
      </c>
      <c r="E358" s="14">
        <f>269.1*(2/3*10)</f>
        <v>1794</v>
      </c>
      <c r="F358" s="14">
        <f>111.1*(2/3*10)</f>
        <v>740.66666666666652</v>
      </c>
      <c r="G358" s="14">
        <f>149.1*(2/3*10)</f>
        <v>994.00000000000011</v>
      </c>
      <c r="H358" s="14">
        <f>43.5*(2/3*10)</f>
        <v>290</v>
      </c>
      <c r="I358" s="14">
        <f>96.6*(2/3*10)</f>
        <v>643.99999999999989</v>
      </c>
      <c r="K358" s="15">
        <v>355</v>
      </c>
      <c r="L358">
        <f t="shared" si="5"/>
        <v>3</v>
      </c>
    </row>
    <row r="359" spans="1:12" ht="16.5" x14ac:dyDescent="0.2">
      <c r="A359" s="4" t="s">
        <v>308</v>
      </c>
      <c r="B359">
        <v>2012</v>
      </c>
      <c r="C359" s="14">
        <f>761.1*(2/3*10)</f>
        <v>5074</v>
      </c>
      <c r="D359" s="14">
        <f>49*(2/3*10)</f>
        <v>326.66666666666663</v>
      </c>
      <c r="E359" s="14">
        <f>269*(2/3*10)</f>
        <v>1793.3333333333333</v>
      </c>
      <c r="F359" s="14">
        <f>111*(2/3*10)</f>
        <v>739.99999999999989</v>
      </c>
      <c r="G359" s="14">
        <f>150.1*(2/3*10)</f>
        <v>1000.6666666666667</v>
      </c>
      <c r="H359" s="14">
        <f>43.6*(2/3*10)</f>
        <v>290.66666666666663</v>
      </c>
      <c r="I359" s="14">
        <f>96.5*(2/3*10)</f>
        <v>643.33333333333326</v>
      </c>
      <c r="K359">
        <v>356</v>
      </c>
      <c r="L359">
        <f t="shared" si="5"/>
        <v>4</v>
      </c>
    </row>
    <row r="360" spans="1:12" ht="16.5" x14ac:dyDescent="0.2">
      <c r="A360" s="4" t="s">
        <v>308</v>
      </c>
      <c r="B360">
        <v>2013</v>
      </c>
      <c r="C360" s="14">
        <f>760.6*(2/3*10)</f>
        <v>5070.6666666666661</v>
      </c>
      <c r="D360" s="14">
        <f>49*(2/3*10)</f>
        <v>326.66666666666663</v>
      </c>
      <c r="E360" s="14">
        <f>268.7*(2/3*10)</f>
        <v>1791.333333333333</v>
      </c>
      <c r="F360" s="14">
        <f>110.7*(2/3*10)</f>
        <v>738</v>
      </c>
      <c r="G360" s="14">
        <f>150.8*(2/3*10)</f>
        <v>1005.3333333333331</v>
      </c>
      <c r="H360" s="14">
        <f>43.6*(2/3*10)</f>
        <v>290.66666666666663</v>
      </c>
      <c r="I360" s="14">
        <f>96.5*(2/3*10)</f>
        <v>643.33333333333326</v>
      </c>
      <c r="K360" s="15">
        <v>357</v>
      </c>
      <c r="L360">
        <f t="shared" si="5"/>
        <v>5</v>
      </c>
    </row>
    <row r="361" spans="1:12" ht="16.5" x14ac:dyDescent="0.2">
      <c r="A361" s="4" t="s">
        <v>308</v>
      </c>
      <c r="B361">
        <v>2014</v>
      </c>
      <c r="C361" s="14">
        <f>759.8*(2/3*10)</f>
        <v>5065.333333333333</v>
      </c>
      <c r="D361" s="14">
        <f>48.9*(2/3*10)</f>
        <v>325.99999999999994</v>
      </c>
      <c r="E361" s="14">
        <f>268.5*(2/3*10)</f>
        <v>1789.9999999999998</v>
      </c>
      <c r="F361" s="14">
        <f>110.6*(2/3*10)</f>
        <v>737.33333333333326</v>
      </c>
      <c r="G361" s="14">
        <f>152.5*(2/3*10)</f>
        <v>1016.6666666666666</v>
      </c>
      <c r="H361" s="14">
        <f>43.7*(2/3*10)</f>
        <v>291.33333333333331</v>
      </c>
      <c r="I361" s="14">
        <f>95.7*(2/3*10)</f>
        <v>638</v>
      </c>
      <c r="K361">
        <v>358</v>
      </c>
      <c r="L361">
        <f t="shared" si="5"/>
        <v>6</v>
      </c>
    </row>
    <row r="362" spans="1:12" ht="16.5" x14ac:dyDescent="0.2">
      <c r="A362" s="4" t="s">
        <v>308</v>
      </c>
      <c r="B362">
        <v>2015</v>
      </c>
      <c r="C362" s="14">
        <f>759*(2/3*10)</f>
        <v>5060</v>
      </c>
      <c r="D362" s="14">
        <f>48.9*(2/3*10)</f>
        <v>325.99999999999994</v>
      </c>
      <c r="E362" s="14">
        <f>268.3*(2/3*10)</f>
        <v>1788.6666666666665</v>
      </c>
      <c r="F362" s="14">
        <f>110.4*(2/3*10)</f>
        <v>736</v>
      </c>
      <c r="G362" s="14">
        <f>153.6*(2/3*10)</f>
        <v>1024</v>
      </c>
      <c r="H362" s="14">
        <f>43.8*(2/3*10)</f>
        <v>291.99999999999994</v>
      </c>
      <c r="I362" s="14">
        <f>95.6*(2/3*10)</f>
        <v>637.33333333333326</v>
      </c>
      <c r="K362" s="15">
        <v>359</v>
      </c>
      <c r="L362">
        <f t="shared" si="5"/>
        <v>7</v>
      </c>
    </row>
    <row r="363" spans="1:12" ht="16.5" x14ac:dyDescent="0.2">
      <c r="A363" s="4" t="s">
        <v>308</v>
      </c>
      <c r="B363">
        <v>2016</v>
      </c>
      <c r="C363" s="14">
        <f>758.7*(2/3*10)</f>
        <v>5058</v>
      </c>
      <c r="D363" s="14">
        <f>48.8*(2/3*10)</f>
        <v>325.33333333333326</v>
      </c>
      <c r="E363" s="14">
        <f>268.2*(2/3*10)</f>
        <v>1787.9999999999998</v>
      </c>
      <c r="F363" s="14">
        <f>110.5*(2/3*10)</f>
        <v>736.66666666666663</v>
      </c>
      <c r="G363" s="14">
        <f>154*(2/3*10)</f>
        <v>1026.6666666666665</v>
      </c>
      <c r="H363" s="14">
        <f>43.9*(2/3*10)</f>
        <v>292.66666666666663</v>
      </c>
      <c r="I363" s="14">
        <f>95.6*(2/3*10)</f>
        <v>637.33333333333326</v>
      </c>
      <c r="K363">
        <v>360</v>
      </c>
      <c r="L363">
        <f t="shared" si="5"/>
        <v>0</v>
      </c>
    </row>
    <row r="364" spans="1:12" ht="16.5" x14ac:dyDescent="0.2">
      <c r="A364" s="4" t="s">
        <v>307</v>
      </c>
      <c r="B364">
        <v>2009</v>
      </c>
      <c r="C364" s="14">
        <f>183.1*(2/3*10)</f>
        <v>1220.6666666666665</v>
      </c>
      <c r="D364" s="14">
        <f>96.7*(2/3*10)</f>
        <v>644.66666666666663</v>
      </c>
      <c r="E364" s="14">
        <f>303.9*(2/3*10)</f>
        <v>2025.9999999999998</v>
      </c>
      <c r="F364" s="14">
        <f>18.4*(2/3*10)</f>
        <v>122.66666666666664</v>
      </c>
      <c r="G364" s="14">
        <f>121.1*(2/3*10)</f>
        <v>807.33333333333326</v>
      </c>
      <c r="H364" s="14">
        <f>21.9*(2/3*10)</f>
        <v>145.99999999999997</v>
      </c>
      <c r="I364" s="14">
        <f>60.4*(2/3*10)</f>
        <v>402.66666666666663</v>
      </c>
      <c r="K364" s="15">
        <v>361</v>
      </c>
      <c r="L364">
        <f t="shared" si="5"/>
        <v>1</v>
      </c>
    </row>
    <row r="365" spans="1:12" ht="16.5" x14ac:dyDescent="0.2">
      <c r="A365" s="4" t="s">
        <v>307</v>
      </c>
      <c r="B365">
        <v>2010</v>
      </c>
      <c r="C365" s="14">
        <f>182.2*(2/3*10)</f>
        <v>1214.6666666666665</v>
      </c>
      <c r="D365" s="14">
        <f>95.8*(2/3*10)</f>
        <v>638.66666666666663</v>
      </c>
      <c r="E365" s="14">
        <f>303.5*(2/3*10)</f>
        <v>2023.3333333333333</v>
      </c>
      <c r="F365" s="14">
        <f>18.2*(2/3*10)</f>
        <v>121.33333333333331</v>
      </c>
      <c r="G365" s="14">
        <f>122.8*(2/3*10)</f>
        <v>818.66666666666663</v>
      </c>
      <c r="H365" s="14">
        <f>22.5*(2/3*10)</f>
        <v>150</v>
      </c>
      <c r="I365" s="14">
        <f>60.1*(2/3*10)</f>
        <v>400.66666666666663</v>
      </c>
      <c r="K365">
        <v>362</v>
      </c>
      <c r="L365">
        <f t="shared" si="5"/>
        <v>2</v>
      </c>
    </row>
    <row r="366" spans="1:12" ht="16.5" x14ac:dyDescent="0.2">
      <c r="A366" s="4" t="s">
        <v>307</v>
      </c>
      <c r="B366">
        <v>2011</v>
      </c>
      <c r="C366" s="14">
        <f>180.8*(2/3*10)</f>
        <v>1205.3333333333333</v>
      </c>
      <c r="D366" s="14">
        <f>95.1*(2/3*10)</f>
        <v>633.99999999999989</v>
      </c>
      <c r="E366" s="14">
        <f>303.3*(2/3*10)</f>
        <v>2022</v>
      </c>
      <c r="F366" s="14">
        <f>18*(2/3*10)</f>
        <v>119.99999999999999</v>
      </c>
      <c r="G366" s="14">
        <f>125.1*(2/3*10)</f>
        <v>833.99999999999989</v>
      </c>
      <c r="H366" s="14">
        <f>23.5*(2/3*10)</f>
        <v>156.66666666666666</v>
      </c>
      <c r="I366" s="14">
        <f>61.5*(2/3*10)</f>
        <v>409.99999999999994</v>
      </c>
      <c r="K366" s="15">
        <v>363</v>
      </c>
      <c r="L366">
        <f t="shared" si="5"/>
        <v>3</v>
      </c>
    </row>
    <row r="367" spans="1:12" ht="16.5" x14ac:dyDescent="0.2">
      <c r="A367" s="4" t="s">
        <v>307</v>
      </c>
      <c r="B367">
        <v>2012</v>
      </c>
      <c r="C367" s="14">
        <f>180.3*(2/3*10)</f>
        <v>1202</v>
      </c>
      <c r="D367" s="14">
        <f>94.4*(2/3*10)</f>
        <v>629.33333333333337</v>
      </c>
      <c r="E367" s="14">
        <f>303.3*(2/3*10)</f>
        <v>2022</v>
      </c>
      <c r="F367" s="14">
        <f>17.9*(2/3*10)</f>
        <v>119.33333333333331</v>
      </c>
      <c r="G367" s="14">
        <f>126.8*(2/3*10)</f>
        <v>845.33333333333326</v>
      </c>
      <c r="H367" s="14">
        <f>23.6*(2/3*10)</f>
        <v>157.33333333333334</v>
      </c>
      <c r="I367" s="14">
        <f>61.2*(2/3*10)</f>
        <v>408</v>
      </c>
      <c r="K367">
        <v>364</v>
      </c>
      <c r="L367">
        <f t="shared" si="5"/>
        <v>4</v>
      </c>
    </row>
    <row r="368" spans="1:12" ht="16.5" x14ac:dyDescent="0.2">
      <c r="A368" s="4" t="s">
        <v>307</v>
      </c>
      <c r="B368">
        <v>2013</v>
      </c>
      <c r="C368" s="14">
        <f>179.7*(2/3*10)</f>
        <v>1197.9999999999998</v>
      </c>
      <c r="D368" s="14">
        <f>93.9*(2/3*10)</f>
        <v>626</v>
      </c>
      <c r="E368" s="14">
        <f>303.2*(2/3*10)</f>
        <v>2021.333333333333</v>
      </c>
      <c r="F368" s="14">
        <f>17.9*(2/3*10)</f>
        <v>119.33333333333331</v>
      </c>
      <c r="G368" s="14">
        <f>128*(2/3*10)</f>
        <v>853.33333333333326</v>
      </c>
      <c r="H368" s="14">
        <f>23.7*(2/3*10)</f>
        <v>157.99999999999997</v>
      </c>
      <c r="I368" s="14">
        <f>61*(2/3*10)</f>
        <v>406.66666666666663</v>
      </c>
      <c r="K368" s="15">
        <v>365</v>
      </c>
      <c r="L368">
        <f t="shared" si="5"/>
        <v>5</v>
      </c>
    </row>
    <row r="369" spans="1:12" ht="16.5" x14ac:dyDescent="0.2">
      <c r="A369" s="4" t="s">
        <v>307</v>
      </c>
      <c r="B369">
        <v>2014</v>
      </c>
      <c r="C369" s="14">
        <f>179.2*(2/3*10)</f>
        <v>1194.6666666666665</v>
      </c>
      <c r="D369" s="14">
        <f>93.2*(2/3*10)</f>
        <v>621.33333333333326</v>
      </c>
      <c r="E369" s="14">
        <f>303.1*(2/3*10)</f>
        <v>2020.6666666666667</v>
      </c>
      <c r="F369" s="14">
        <f>17.8*(2/3*10)</f>
        <v>118.66666666666666</v>
      </c>
      <c r="G369" s="14">
        <f>129.5*(2/3*10)</f>
        <v>863.33333333333326</v>
      </c>
      <c r="H369" s="14">
        <f>24*(2/3*10)</f>
        <v>160</v>
      </c>
      <c r="I369" s="14">
        <f>60.8*(2/3*10)</f>
        <v>405.33333333333326</v>
      </c>
      <c r="K369">
        <v>366</v>
      </c>
      <c r="L369">
        <f t="shared" si="5"/>
        <v>6</v>
      </c>
    </row>
    <row r="370" spans="1:12" ht="16.5" x14ac:dyDescent="0.2">
      <c r="A370" s="4" t="s">
        <v>307</v>
      </c>
      <c r="B370">
        <v>2015</v>
      </c>
      <c r="C370" s="14">
        <f>179*(2/3*10)</f>
        <v>1193.3333333333333</v>
      </c>
      <c r="D370" s="14">
        <f>93*(2/3*10)</f>
        <v>620</v>
      </c>
      <c r="E370" s="14">
        <f>303*(2/3*10)</f>
        <v>2019.9999999999998</v>
      </c>
      <c r="F370" s="14">
        <f>17.7*(2/3*10)</f>
        <v>117.99999999999999</v>
      </c>
      <c r="G370" s="14">
        <f>130*(2/3*10)</f>
        <v>866.66666666666663</v>
      </c>
      <c r="H370" s="14">
        <f>24*(2/3*10)</f>
        <v>160</v>
      </c>
      <c r="I370" s="14">
        <f>60.7*(2/3*10)</f>
        <v>404.66666666666663</v>
      </c>
      <c r="K370" s="15">
        <v>367</v>
      </c>
      <c r="L370">
        <f t="shared" si="5"/>
        <v>7</v>
      </c>
    </row>
    <row r="371" spans="1:12" ht="16.5" x14ac:dyDescent="0.2">
      <c r="A371" s="4" t="s">
        <v>307</v>
      </c>
      <c r="B371">
        <v>2016</v>
      </c>
      <c r="C371" s="14">
        <f>178.8*(2/3*10)</f>
        <v>1192</v>
      </c>
      <c r="D371" s="14">
        <f>92.9*(2/3*10)</f>
        <v>619.33333333333337</v>
      </c>
      <c r="E371" s="14">
        <f>302.9*(2/3*10)</f>
        <v>2019.333333333333</v>
      </c>
      <c r="F371" s="14">
        <f>17.7*(2/3*10)</f>
        <v>117.99999999999999</v>
      </c>
      <c r="G371" s="14">
        <f>130.2*(2/3*10)</f>
        <v>867.99999999999989</v>
      </c>
      <c r="H371" s="14">
        <f>24.1*(2/3*10)</f>
        <v>160.66666666666666</v>
      </c>
      <c r="I371" s="14">
        <f>60.6*(2/3*10)</f>
        <v>404</v>
      </c>
      <c r="K371">
        <v>368</v>
      </c>
      <c r="L371">
        <f t="shared" si="5"/>
        <v>0</v>
      </c>
    </row>
    <row r="372" spans="1:12" ht="16.5" x14ac:dyDescent="0.2">
      <c r="A372" s="4" t="s">
        <v>306</v>
      </c>
      <c r="B372">
        <v>2009</v>
      </c>
      <c r="C372" s="14">
        <f>781.8*(2/3*10)</f>
        <v>5211.9999999999991</v>
      </c>
      <c r="D372" s="14">
        <f>24.4*(2/3*10)</f>
        <v>162.66666666666663</v>
      </c>
      <c r="E372" s="14">
        <f>420.8*(2/3*10)</f>
        <v>2805.333333333333</v>
      </c>
      <c r="F372" s="14">
        <f>124.1*(2/3*10)</f>
        <v>827.33333333333326</v>
      </c>
      <c r="G372" s="14">
        <f>116.3*(2/3*10)</f>
        <v>775.33333333333326</v>
      </c>
      <c r="H372" s="14">
        <f>34.6*(2/3*10)</f>
        <v>230.66666666666666</v>
      </c>
      <c r="I372" s="14">
        <f>41.7*(2/3*10)</f>
        <v>278</v>
      </c>
      <c r="K372" s="15">
        <v>369</v>
      </c>
      <c r="L372">
        <f t="shared" si="5"/>
        <v>1</v>
      </c>
    </row>
    <row r="373" spans="1:12" ht="16.5" x14ac:dyDescent="0.2">
      <c r="A373" s="4" t="s">
        <v>306</v>
      </c>
      <c r="B373">
        <v>2010</v>
      </c>
      <c r="C373" s="14">
        <f>780.5*(2/3*10)</f>
        <v>5203.333333333333</v>
      </c>
      <c r="D373" s="14">
        <f>24.4*(2/3*10)</f>
        <v>162.66666666666663</v>
      </c>
      <c r="E373" s="14">
        <f>420.3*(2/3*10)</f>
        <v>2802</v>
      </c>
      <c r="F373" s="14">
        <f>123.9*(2/3*10)</f>
        <v>826</v>
      </c>
      <c r="G373" s="14">
        <f>117.6*(2/3*10)</f>
        <v>784</v>
      </c>
      <c r="H373" s="14">
        <f>35.3*(2/3*10)</f>
        <v>235.33333333333329</v>
      </c>
      <c r="I373" s="14">
        <f>41.6*(2/3*10)</f>
        <v>277.33333333333331</v>
      </c>
      <c r="K373">
        <v>370</v>
      </c>
      <c r="L373">
        <f t="shared" si="5"/>
        <v>2</v>
      </c>
    </row>
    <row r="374" spans="1:12" ht="16.5" x14ac:dyDescent="0.2">
      <c r="A374" s="4" t="s">
        <v>306</v>
      </c>
      <c r="B374">
        <v>2011</v>
      </c>
      <c r="C374" s="14">
        <f>779.5*(2/3*10)</f>
        <v>5196.6666666666661</v>
      </c>
      <c r="D374" s="14">
        <f>24.3*(2/3*10)</f>
        <v>162</v>
      </c>
      <c r="E374" s="14">
        <f>419.9*(2/3*10)</f>
        <v>2799.333333333333</v>
      </c>
      <c r="F374" s="14">
        <f>122.9*(2/3*10)</f>
        <v>819.33333333333326</v>
      </c>
      <c r="G374" s="14">
        <f>119.9*(2/3*10)</f>
        <v>799.33333333333326</v>
      </c>
      <c r="H374" s="14">
        <f>35.4*(2/3*10)</f>
        <v>235.99999999999997</v>
      </c>
      <c r="I374" s="14">
        <f>41.6*(2/3*10)</f>
        <v>277.33333333333331</v>
      </c>
      <c r="K374" s="15">
        <v>371</v>
      </c>
      <c r="L374">
        <f t="shared" si="5"/>
        <v>3</v>
      </c>
    </row>
    <row r="375" spans="1:12" ht="16.5" x14ac:dyDescent="0.2">
      <c r="A375" s="4" t="s">
        <v>306</v>
      </c>
      <c r="B375">
        <v>2012</v>
      </c>
      <c r="C375" s="14">
        <f>778.5*(2/3*10)</f>
        <v>5189.9999999999991</v>
      </c>
      <c r="D375" s="14">
        <f>24.3*(2/3*10)</f>
        <v>162</v>
      </c>
      <c r="E375" s="14">
        <f>419.6*(2/3*10)</f>
        <v>2797.333333333333</v>
      </c>
      <c r="F375" s="14">
        <f>122.8*(2/3*10)</f>
        <v>818.66666666666663</v>
      </c>
      <c r="G375" s="14">
        <f>121*(2/3*10)</f>
        <v>806.66666666666663</v>
      </c>
      <c r="H375" s="14">
        <f>35.6*(2/3*10)</f>
        <v>237.33333333333331</v>
      </c>
      <c r="I375" s="14">
        <f>41.6*(2/3*10)</f>
        <v>277.33333333333331</v>
      </c>
      <c r="K375">
        <v>372</v>
      </c>
      <c r="L375">
        <f t="shared" si="5"/>
        <v>4</v>
      </c>
    </row>
    <row r="376" spans="1:12" ht="16.5" x14ac:dyDescent="0.2">
      <c r="A376" s="4" t="s">
        <v>306</v>
      </c>
      <c r="B376">
        <v>2013</v>
      </c>
      <c r="C376" s="14">
        <f>778.1*(2/3*10)</f>
        <v>5187.333333333333</v>
      </c>
      <c r="D376" s="14">
        <f>24.3*(2/3*10)</f>
        <v>162</v>
      </c>
      <c r="E376" s="14">
        <f>419.5*(2/3*10)</f>
        <v>2796.6666666666665</v>
      </c>
      <c r="F376" s="14">
        <f>122.7*(2/3*10)</f>
        <v>818</v>
      </c>
      <c r="G376" s="14">
        <f>121.5*(2/3*10)</f>
        <v>809.99999999999989</v>
      </c>
      <c r="H376" s="14">
        <f>35.7*(2/3*10)</f>
        <v>238</v>
      </c>
      <c r="I376" s="14">
        <f>41.5*(2/3*10)</f>
        <v>276.66666666666663</v>
      </c>
      <c r="K376" s="15">
        <v>373</v>
      </c>
      <c r="L376">
        <f t="shared" si="5"/>
        <v>5</v>
      </c>
    </row>
    <row r="377" spans="1:12" ht="16.5" x14ac:dyDescent="0.2">
      <c r="A377" s="4" t="s">
        <v>306</v>
      </c>
      <c r="B377">
        <v>2014</v>
      </c>
      <c r="C377" s="14">
        <f>776.8*(2/3*10)</f>
        <v>5178.6666666666661</v>
      </c>
      <c r="D377" s="14">
        <f>24.3*(2/3*10)</f>
        <v>162</v>
      </c>
      <c r="E377" s="14">
        <f>419.2*(2/3*10)</f>
        <v>2794.6666666666665</v>
      </c>
      <c r="F377" s="14">
        <f>122.6*(2/3*10)</f>
        <v>817.33333333333326</v>
      </c>
      <c r="G377" s="14">
        <f>122.1*(2/3*10)</f>
        <v>813.99999999999989</v>
      </c>
      <c r="H377" s="14">
        <f>36.1*(2/3*10)</f>
        <v>240.66666666666666</v>
      </c>
      <c r="I377" s="14">
        <f>41.5*(2/3*10)</f>
        <v>276.66666666666663</v>
      </c>
      <c r="K377">
        <v>374</v>
      </c>
      <c r="L377">
        <f t="shared" si="5"/>
        <v>6</v>
      </c>
    </row>
    <row r="378" spans="1:12" ht="16.5" x14ac:dyDescent="0.2">
      <c r="A378" s="4" t="s">
        <v>306</v>
      </c>
      <c r="B378">
        <v>2015</v>
      </c>
      <c r="C378" s="14">
        <f>776.4*(2/3*10)</f>
        <v>5175.9999999999991</v>
      </c>
      <c r="D378" s="14">
        <f>24.2*(2/3*10)</f>
        <v>161.33333333333331</v>
      </c>
      <c r="E378" s="14">
        <f>419*(2/3*10)</f>
        <v>2793.333333333333</v>
      </c>
      <c r="F378" s="14">
        <f>122.5*(2/3*10)</f>
        <v>816.66666666666663</v>
      </c>
      <c r="G378" s="14">
        <f>122.4*(2/3*10)</f>
        <v>815.99999999999989</v>
      </c>
      <c r="H378" s="14">
        <f>36.6*(2/3*10)</f>
        <v>244</v>
      </c>
      <c r="I378" s="14">
        <f>41.5*(2/3*10)</f>
        <v>276.66666666666663</v>
      </c>
      <c r="K378" s="15">
        <v>375</v>
      </c>
      <c r="L378">
        <f t="shared" si="5"/>
        <v>7</v>
      </c>
    </row>
    <row r="379" spans="1:12" ht="16.5" x14ac:dyDescent="0.2">
      <c r="A379" s="4" t="s">
        <v>306</v>
      </c>
      <c r="B379">
        <v>2016</v>
      </c>
      <c r="C379" s="14">
        <f>776.3*(2/3*10)</f>
        <v>5175.3333333333321</v>
      </c>
      <c r="D379" s="14">
        <f>24.2*(2/3*10)</f>
        <v>161.33333333333331</v>
      </c>
      <c r="E379" s="14">
        <f>419*(2/3*10)</f>
        <v>2793.333333333333</v>
      </c>
      <c r="F379" s="14">
        <f>122.3*(2/3*10)</f>
        <v>815.33333333333326</v>
      </c>
      <c r="G379" s="14">
        <f>122.7*(2/3*10)</f>
        <v>818</v>
      </c>
      <c r="H379" s="14">
        <f>36.7*(2/3*10)</f>
        <v>244.66666666666666</v>
      </c>
      <c r="I379" s="14">
        <f>41.4*(2/3*10)</f>
        <v>275.99999999999994</v>
      </c>
      <c r="K379">
        <v>376</v>
      </c>
      <c r="L379">
        <f t="shared" si="5"/>
        <v>0</v>
      </c>
    </row>
    <row r="380" spans="1:12" ht="16.5" x14ac:dyDescent="0.2">
      <c r="A380" s="4" t="s">
        <v>305</v>
      </c>
      <c r="B380">
        <v>2009</v>
      </c>
      <c r="C380" s="14">
        <f>283.8*(2/3*10)</f>
        <v>1892</v>
      </c>
      <c r="D380" s="14">
        <f>10.8*(2/3*10)</f>
        <v>72</v>
      </c>
      <c r="E380" s="14">
        <f>261.1*(2/3*10)</f>
        <v>1740.6666666666667</v>
      </c>
      <c r="F380" s="14">
        <f>13.6*(2/3*10)</f>
        <v>90.666666666666657</v>
      </c>
      <c r="G380" s="14">
        <f>87.5*(2/3*10)</f>
        <v>583.33333333333326</v>
      </c>
      <c r="H380" s="14">
        <f>12.7*(2/3*10)</f>
        <v>84.666666666666657</v>
      </c>
      <c r="I380" s="14">
        <f>37.6*(2/3*10)</f>
        <v>250.66666666666666</v>
      </c>
      <c r="K380" s="15">
        <v>377</v>
      </c>
      <c r="L380">
        <f t="shared" si="5"/>
        <v>1</v>
      </c>
    </row>
    <row r="381" spans="1:12" ht="16.5" x14ac:dyDescent="0.2">
      <c r="A381" s="4" t="s">
        <v>305</v>
      </c>
      <c r="B381">
        <v>2010</v>
      </c>
      <c r="C381" s="14">
        <f>283.1*(2/3*10)</f>
        <v>1887.3333333333333</v>
      </c>
      <c r="D381" s="14">
        <f>10.8*(2/3*10)</f>
        <v>72</v>
      </c>
      <c r="E381" s="14">
        <f>261*(2/3*10)</f>
        <v>1739.9999999999998</v>
      </c>
      <c r="F381" s="14">
        <f>13.6*(2/3*10)</f>
        <v>90.666666666666657</v>
      </c>
      <c r="G381" s="14">
        <f>88.1*(2/3*10)</f>
        <v>587.33333333333326</v>
      </c>
      <c r="H381" s="14">
        <f>13*(2/3*10)</f>
        <v>86.666666666666657</v>
      </c>
      <c r="I381" s="14">
        <f>37.5*(2/3*10)</f>
        <v>249.99999999999997</v>
      </c>
      <c r="K381">
        <v>378</v>
      </c>
      <c r="L381">
        <f t="shared" si="5"/>
        <v>2</v>
      </c>
    </row>
    <row r="382" spans="1:12" ht="16.5" x14ac:dyDescent="0.2">
      <c r="A382" s="4" t="s">
        <v>305</v>
      </c>
      <c r="B382">
        <v>2011</v>
      </c>
      <c r="C382" s="14">
        <f>281.9*(2/3*10)</f>
        <v>1879.333333333333</v>
      </c>
      <c r="D382" s="14">
        <f>10.7*(2/3*10)</f>
        <v>71.333333333333329</v>
      </c>
      <c r="E382" s="14">
        <f>261*(2/3*10)</f>
        <v>1739.9999999999998</v>
      </c>
      <c r="F382" s="14">
        <f>13.5*(2/3*10)</f>
        <v>89.999999999999986</v>
      </c>
      <c r="G382" s="14">
        <f>89.5*(2/3*10)</f>
        <v>596.66666666666663</v>
      </c>
      <c r="H382" s="14">
        <f>13*(2/3*10)</f>
        <v>86.666666666666657</v>
      </c>
      <c r="I382" s="14">
        <f>37.5*(2/3*10)</f>
        <v>249.99999999999997</v>
      </c>
      <c r="K382" s="15">
        <v>379</v>
      </c>
      <c r="L382">
        <f t="shared" si="5"/>
        <v>3</v>
      </c>
    </row>
    <row r="383" spans="1:12" ht="16.5" x14ac:dyDescent="0.2">
      <c r="A383" s="4" t="s">
        <v>305</v>
      </c>
      <c r="B383">
        <v>2012</v>
      </c>
      <c r="C383" s="14">
        <f>280.7*(2/3*10)</f>
        <v>1871.333333333333</v>
      </c>
      <c r="D383" s="14">
        <f>10.7*(2/3*10)</f>
        <v>71.333333333333329</v>
      </c>
      <c r="E383" s="14">
        <f>260.9*(2/3*10)</f>
        <v>1739.333333333333</v>
      </c>
      <c r="F383" s="14">
        <f>13.5*(2/3*10)</f>
        <v>89.999999999999986</v>
      </c>
      <c r="G383" s="14">
        <f>90.6*(2/3*10)</f>
        <v>603.99999999999989</v>
      </c>
      <c r="H383" s="14">
        <f>13.1*(2/3*10)</f>
        <v>87.333333333333329</v>
      </c>
      <c r="I383" s="14">
        <f>37.6*(2/3*10)</f>
        <v>250.66666666666666</v>
      </c>
      <c r="K383">
        <v>380</v>
      </c>
      <c r="L383">
        <f t="shared" si="5"/>
        <v>4</v>
      </c>
    </row>
    <row r="384" spans="1:12" ht="16.5" x14ac:dyDescent="0.2">
      <c r="A384" s="4" t="s">
        <v>305</v>
      </c>
      <c r="B384">
        <v>2013</v>
      </c>
      <c r="C384" s="14">
        <f>279.6*(2/3*10)</f>
        <v>1864</v>
      </c>
      <c r="D384" s="14">
        <f>10.7*(2/3*10)</f>
        <v>71.333333333333329</v>
      </c>
      <c r="E384" s="14">
        <f>260.9*(2/3*10)</f>
        <v>1739.333333333333</v>
      </c>
      <c r="F384" s="14">
        <f>13.4*(2/3*10)</f>
        <v>89.333333333333329</v>
      </c>
      <c r="G384" s="14">
        <f>91.4*(2/3*10)</f>
        <v>609.33333333333337</v>
      </c>
      <c r="H384" s="14">
        <f>13.5*(2/3*10)</f>
        <v>89.999999999999986</v>
      </c>
      <c r="I384" s="14">
        <f>37.6*(2/3*10)</f>
        <v>250.66666666666666</v>
      </c>
      <c r="K384" s="15">
        <v>381</v>
      </c>
      <c r="L384">
        <f t="shared" si="5"/>
        <v>5</v>
      </c>
    </row>
    <row r="385" spans="1:12" ht="16.5" x14ac:dyDescent="0.2">
      <c r="A385" s="4" t="s">
        <v>305</v>
      </c>
      <c r="B385">
        <v>2014</v>
      </c>
      <c r="C385" s="14">
        <f>279.1*(2/3*10)</f>
        <v>1860.6666666666667</v>
      </c>
      <c r="D385" s="14">
        <f>10.7*(2/3*10)</f>
        <v>71.333333333333329</v>
      </c>
      <c r="E385" s="14">
        <f>260.8*(2/3*10)</f>
        <v>1738.6666666666665</v>
      </c>
      <c r="F385" s="14">
        <f>13.4*(2/3*10)</f>
        <v>89.333333333333329</v>
      </c>
      <c r="G385" s="14">
        <f>92*(2/3*10)</f>
        <v>613.33333333333326</v>
      </c>
      <c r="H385" s="14">
        <f>13.5*(2/3*10)</f>
        <v>89.999999999999986</v>
      </c>
      <c r="I385" s="14">
        <f>37.5*(2/3*10)</f>
        <v>249.99999999999997</v>
      </c>
      <c r="K385">
        <v>382</v>
      </c>
      <c r="L385">
        <f t="shared" si="5"/>
        <v>6</v>
      </c>
    </row>
    <row r="386" spans="1:12" ht="16.5" x14ac:dyDescent="0.2">
      <c r="A386" s="4" t="s">
        <v>305</v>
      </c>
      <c r="B386">
        <v>2015</v>
      </c>
      <c r="C386" s="14">
        <f>278.7*(2/3*10)</f>
        <v>1857.9999999999998</v>
      </c>
      <c r="D386" s="14">
        <f>10.6*(2/3*10)</f>
        <v>70.666666666666657</v>
      </c>
      <c r="E386" s="14">
        <f>260.7*(2/3*10)</f>
        <v>1737.9999999999998</v>
      </c>
      <c r="F386" s="14">
        <f>13.4*(2/3*10)</f>
        <v>89.333333333333329</v>
      </c>
      <c r="G386" s="14">
        <f>92.4*(2/3*10)</f>
        <v>616</v>
      </c>
      <c r="H386" s="14">
        <f>13.7*(2/3*10)</f>
        <v>91.333333333333314</v>
      </c>
      <c r="I386" s="14">
        <f>37.5*(2/3*10)</f>
        <v>249.99999999999997</v>
      </c>
      <c r="K386" s="15">
        <v>383</v>
      </c>
      <c r="L386">
        <f t="shared" si="5"/>
        <v>7</v>
      </c>
    </row>
    <row r="387" spans="1:12" ht="16.5" x14ac:dyDescent="0.2">
      <c r="A387" s="4" t="s">
        <v>305</v>
      </c>
      <c r="B387">
        <v>2016</v>
      </c>
      <c r="C387" s="14">
        <f>278.8*(2/3*10)</f>
        <v>1858.6666666666665</v>
      </c>
      <c r="D387" s="14">
        <f>10.6*(2/3*10)</f>
        <v>70.666666666666657</v>
      </c>
      <c r="E387" s="14">
        <f>260.7*(2/3*10)</f>
        <v>1737.9999999999998</v>
      </c>
      <c r="F387" s="14">
        <f>13.2*(2/3*10)</f>
        <v>87.999999999999986</v>
      </c>
      <c r="G387" s="14">
        <f>92.6*(2/3*10)</f>
        <v>617.33333333333337</v>
      </c>
      <c r="H387" s="14">
        <f>13.7*(2/3*10)</f>
        <v>91.333333333333314</v>
      </c>
      <c r="I387" s="14">
        <f>37.3*(2/3*10)</f>
        <v>248.66666666666663</v>
      </c>
      <c r="K387">
        <v>384</v>
      </c>
      <c r="L387">
        <f t="shared" si="5"/>
        <v>0</v>
      </c>
    </row>
    <row r="388" spans="1:12" ht="16.5" x14ac:dyDescent="0.2">
      <c r="A388" s="4" t="s">
        <v>304</v>
      </c>
      <c r="B388">
        <v>2009</v>
      </c>
      <c r="C388" s="14">
        <f>238.5*(2/3*10)</f>
        <v>1589.9999999999998</v>
      </c>
      <c r="D388" s="14">
        <f>0.4*(2/3*10)</f>
        <v>2.6666666666666665</v>
      </c>
      <c r="E388" s="14">
        <f>7.9*(2/3*10)</f>
        <v>52.666666666666664</v>
      </c>
      <c r="F388" s="14">
        <f>6.5*(2/3*10)</f>
        <v>43.333333333333329</v>
      </c>
      <c r="G388" s="14">
        <f>61.1*(2/3*10)</f>
        <v>407.33333333333331</v>
      </c>
      <c r="H388" s="14">
        <f>18.2*(2/3*10)</f>
        <v>121.33333333333331</v>
      </c>
      <c r="I388" s="14">
        <f>274.8*(2/3*10)</f>
        <v>1832</v>
      </c>
      <c r="K388" s="15">
        <v>385</v>
      </c>
      <c r="L388">
        <f t="shared" si="5"/>
        <v>1</v>
      </c>
    </row>
    <row r="389" spans="1:12" ht="16.5" x14ac:dyDescent="0.2">
      <c r="A389" s="4" t="s">
        <v>304</v>
      </c>
      <c r="B389">
        <v>2010</v>
      </c>
      <c r="C389" s="14">
        <f>238.3*(2/3*10)</f>
        <v>1588.6666666666665</v>
      </c>
      <c r="D389" s="14">
        <f>0.4*(2/3*10)</f>
        <v>2.6666666666666665</v>
      </c>
      <c r="E389" s="14">
        <f>7.9*(2/3*10)</f>
        <v>52.666666666666664</v>
      </c>
      <c r="F389" s="14">
        <f>6.3*(2/3*10)</f>
        <v>41.999999999999993</v>
      </c>
      <c r="G389" s="14">
        <f>69*(2/3*10)</f>
        <v>459.99999999999994</v>
      </c>
      <c r="H389" s="14">
        <f>18.6*(2/3*10)</f>
        <v>124</v>
      </c>
      <c r="I389" s="14">
        <f>266.9*(2/3*10)</f>
        <v>1779.333333333333</v>
      </c>
      <c r="K389">
        <v>386</v>
      </c>
      <c r="L389">
        <f t="shared" ref="L389:L452" si="6">MOD(K389,8)</f>
        <v>2</v>
      </c>
    </row>
    <row r="390" spans="1:12" ht="16.5" x14ac:dyDescent="0.2">
      <c r="A390" s="4" t="s">
        <v>304</v>
      </c>
      <c r="B390">
        <v>2011</v>
      </c>
      <c r="C390" s="14">
        <f>237.7*(2/3*10)</f>
        <v>1584.6666666666665</v>
      </c>
      <c r="D390" s="14">
        <f>0.4*(2/3*10)</f>
        <v>2.6666666666666665</v>
      </c>
      <c r="E390" s="14">
        <f>7.7*(2/3*10)</f>
        <v>51.333333333333329</v>
      </c>
      <c r="F390" s="14">
        <f>6.1*(2/3*10)</f>
        <v>40.666666666666657</v>
      </c>
      <c r="G390" s="14">
        <f>71.1*(2/3*10)</f>
        <v>473.99999999999994</v>
      </c>
      <c r="H390" s="14">
        <f>19.1*(2/3*10)</f>
        <v>127.33333333333333</v>
      </c>
      <c r="I390" s="14">
        <f>265.2*(2/3*10)</f>
        <v>1767.9999999999998</v>
      </c>
      <c r="K390" s="15">
        <v>387</v>
      </c>
      <c r="L390">
        <f t="shared" si="6"/>
        <v>3</v>
      </c>
    </row>
    <row r="391" spans="1:12" ht="16.5" x14ac:dyDescent="0.2">
      <c r="A391" s="4" t="s">
        <v>304</v>
      </c>
      <c r="B391">
        <v>2012</v>
      </c>
      <c r="C391" s="14">
        <f>235.6*(2/3*10)</f>
        <v>1570.6666666666665</v>
      </c>
      <c r="D391" s="14">
        <f>0.4*(2/3*10)</f>
        <v>2.6666666666666665</v>
      </c>
      <c r="E391" s="14">
        <f>7.6*(2/3*10)</f>
        <v>50.666666666666657</v>
      </c>
      <c r="F391" s="14">
        <f>5.6*(2/3*10)</f>
        <v>37.333333333333329</v>
      </c>
      <c r="G391" s="14">
        <f>74*(2/3*10)</f>
        <v>493.33333333333331</v>
      </c>
      <c r="H391" s="14">
        <f>19.5*(2/3*10)</f>
        <v>130</v>
      </c>
      <c r="I391" s="14">
        <f>264.5*(2/3*10)</f>
        <v>1763.3333333333333</v>
      </c>
      <c r="K391">
        <v>388</v>
      </c>
      <c r="L391">
        <f t="shared" si="6"/>
        <v>4</v>
      </c>
    </row>
    <row r="392" spans="1:12" ht="16.5" x14ac:dyDescent="0.2">
      <c r="A392" s="4" t="s">
        <v>304</v>
      </c>
      <c r="B392">
        <v>2013</v>
      </c>
      <c r="C392" s="14">
        <f>234.9*(2/3*10)</f>
        <v>1566</v>
      </c>
      <c r="D392" s="14">
        <f>0.4*(2/3*10)</f>
        <v>2.6666666666666665</v>
      </c>
      <c r="E392" s="14">
        <f>7.6*(2/3*10)</f>
        <v>50.666666666666657</v>
      </c>
      <c r="F392" s="14">
        <f>5.6*(2/3*10)</f>
        <v>37.333333333333329</v>
      </c>
      <c r="G392" s="14">
        <f>74.8*(2/3*10)</f>
        <v>498.66666666666663</v>
      </c>
      <c r="H392" s="14">
        <f>19.8*(2/3*10)</f>
        <v>132</v>
      </c>
      <c r="I392" s="14">
        <f>264.1*(2/3*10)</f>
        <v>1760.6666666666667</v>
      </c>
      <c r="K392" s="15">
        <v>389</v>
      </c>
      <c r="L392">
        <f t="shared" si="6"/>
        <v>5</v>
      </c>
    </row>
    <row r="393" spans="1:12" ht="16.5" x14ac:dyDescent="0.2">
      <c r="A393" s="4" t="s">
        <v>304</v>
      </c>
      <c r="B393">
        <v>2014</v>
      </c>
      <c r="C393" s="14">
        <f>234.6*(2/3*10)</f>
        <v>1563.9999999999998</v>
      </c>
      <c r="D393" s="14">
        <f>0.4*(2/3*10)</f>
        <v>2.6666666666666665</v>
      </c>
      <c r="E393" s="14">
        <f>7.6*(2/3*10)</f>
        <v>50.666666666666657</v>
      </c>
      <c r="F393" s="14">
        <f>5.5*(2/3*10)</f>
        <v>36.666666666666664</v>
      </c>
      <c r="G393" s="14">
        <f>75.8*(2/3*10)</f>
        <v>505.33333333333326</v>
      </c>
      <c r="H393" s="14">
        <f>19.9*(2/3*10)</f>
        <v>132.66666666666666</v>
      </c>
      <c r="I393" s="14">
        <f>263.2*(2/3*10)</f>
        <v>1754.6666666666665</v>
      </c>
      <c r="K393">
        <v>390</v>
      </c>
      <c r="L393">
        <f t="shared" si="6"/>
        <v>6</v>
      </c>
    </row>
    <row r="394" spans="1:12" ht="16.5" x14ac:dyDescent="0.2">
      <c r="A394" s="4" t="s">
        <v>304</v>
      </c>
      <c r="B394">
        <v>2015</v>
      </c>
      <c r="C394" s="14">
        <f>235.3*(2/3*10)</f>
        <v>1568.6666666666665</v>
      </c>
      <c r="D394" s="14">
        <f>0.3*(2/3*10)</f>
        <v>1.9999999999999998</v>
      </c>
      <c r="E394" s="14">
        <f>7.5*(2/3*10)</f>
        <v>49.999999999999993</v>
      </c>
      <c r="F394" s="14">
        <f>5.4*(2/3*10)</f>
        <v>36</v>
      </c>
      <c r="G394" s="14">
        <f>76.7*(2/3*10)</f>
        <v>511.33333333333331</v>
      </c>
      <c r="H394" s="14">
        <f>20*(2/3*10)</f>
        <v>133.33333333333331</v>
      </c>
      <c r="I394" s="14">
        <f>261.8*(2/3*10)</f>
        <v>1745.3333333333333</v>
      </c>
      <c r="K394" s="15">
        <v>391</v>
      </c>
      <c r="L394">
        <f t="shared" si="6"/>
        <v>7</v>
      </c>
    </row>
    <row r="395" spans="1:12" ht="16.5" x14ac:dyDescent="0.2">
      <c r="A395" s="4" t="s">
        <v>304</v>
      </c>
      <c r="B395">
        <v>2016</v>
      </c>
      <c r="C395" s="14">
        <f>236.1*(2/3*10)</f>
        <v>1573.9999999999998</v>
      </c>
      <c r="D395" s="14">
        <f>0.3*(2/3*10)</f>
        <v>1.9999999999999998</v>
      </c>
      <c r="E395" s="14">
        <f>7.5*(2/3*10)</f>
        <v>49.999999999999993</v>
      </c>
      <c r="F395" s="14">
        <f>5.3*(2/3*10)</f>
        <v>35.333333333333329</v>
      </c>
      <c r="G395" s="14">
        <f>77.8*(2/3*10)</f>
        <v>518.66666666666663</v>
      </c>
      <c r="H395" s="14">
        <f>20.1*(2/3*10)</f>
        <v>134</v>
      </c>
      <c r="I395" s="14">
        <f>259.7*(2/3*10)</f>
        <v>1731.333333333333</v>
      </c>
      <c r="K395">
        <v>392</v>
      </c>
      <c r="L395">
        <f t="shared" si="6"/>
        <v>0</v>
      </c>
    </row>
    <row r="396" spans="1:12" ht="16.5" x14ac:dyDescent="0.2">
      <c r="A396" s="4" t="s">
        <v>303</v>
      </c>
      <c r="B396">
        <v>2009</v>
      </c>
      <c r="C396" s="14">
        <f>1005.6*(2/3*10)</f>
        <v>6704</v>
      </c>
      <c r="D396" s="14">
        <f>18.3*(2/3*10)</f>
        <v>122</v>
      </c>
      <c r="E396" s="14">
        <f>648.9*(2/3*10)</f>
        <v>4325.9999999999991</v>
      </c>
      <c r="F396" s="14">
        <f>29.5*(2/3*10)</f>
        <v>196.66666666666666</v>
      </c>
      <c r="G396" s="14">
        <f>128.8*(2/3*10)</f>
        <v>858.66666666666652</v>
      </c>
      <c r="H396" s="14">
        <f>42.1*(2/3*10)</f>
        <v>280.66666666666663</v>
      </c>
      <c r="I396" s="14">
        <f>66.9*(2/3*10)</f>
        <v>446</v>
      </c>
      <c r="K396" s="15">
        <v>393</v>
      </c>
      <c r="L396">
        <f t="shared" si="6"/>
        <v>1</v>
      </c>
    </row>
    <row r="397" spans="1:12" ht="16.5" x14ac:dyDescent="0.2">
      <c r="A397" s="4" t="s">
        <v>303</v>
      </c>
      <c r="B397">
        <v>2010</v>
      </c>
      <c r="C397" s="14">
        <f>1001.7*(2/3*10)</f>
        <v>6678</v>
      </c>
      <c r="D397" s="14">
        <f>18.3*(2/3*10)</f>
        <v>122</v>
      </c>
      <c r="E397" s="14">
        <f>648.5*(2/3*10)</f>
        <v>4323.333333333333</v>
      </c>
      <c r="F397" s="14">
        <f>29.3*(2/3*10)</f>
        <v>195.33333333333331</v>
      </c>
      <c r="G397" s="14">
        <f>132.3*(2/3*10)</f>
        <v>882</v>
      </c>
      <c r="H397" s="14">
        <f>43*(2/3*10)</f>
        <v>286.66666666666663</v>
      </c>
      <c r="I397" s="14">
        <f>67*(2/3*10)</f>
        <v>446.66666666666663</v>
      </c>
      <c r="K397">
        <v>394</v>
      </c>
      <c r="L397">
        <f t="shared" si="6"/>
        <v>2</v>
      </c>
    </row>
    <row r="398" spans="1:12" ht="16.5" x14ac:dyDescent="0.2">
      <c r="A398" s="4" t="s">
        <v>303</v>
      </c>
      <c r="B398">
        <v>2011</v>
      </c>
      <c r="C398" s="14">
        <f>999.7*(2/3*10)</f>
        <v>6664.6666666666661</v>
      </c>
      <c r="D398" s="14">
        <f>18.3*(2/3*10)</f>
        <v>122</v>
      </c>
      <c r="E398" s="14">
        <f>648.4*(2/3*10)</f>
        <v>4322.6666666666661</v>
      </c>
      <c r="F398" s="14">
        <f>28.3*(2/3*10)</f>
        <v>188.66666666666666</v>
      </c>
      <c r="G398" s="14">
        <f>134.8*(2/3*10)</f>
        <v>898.66666666666663</v>
      </c>
      <c r="H398" s="14">
        <f>43.2*(2/3*10)</f>
        <v>288</v>
      </c>
      <c r="I398" s="14">
        <f>67.4*(2/3*10)</f>
        <v>449.33333333333331</v>
      </c>
      <c r="K398" s="15">
        <v>395</v>
      </c>
      <c r="L398">
        <f t="shared" si="6"/>
        <v>3</v>
      </c>
    </row>
    <row r="399" spans="1:12" ht="16.5" x14ac:dyDescent="0.2">
      <c r="A399" s="4" t="s">
        <v>303</v>
      </c>
      <c r="B399">
        <v>2012</v>
      </c>
      <c r="C399" s="14">
        <f>998*(2/3*10)</f>
        <v>6653.333333333333</v>
      </c>
      <c r="D399" s="14">
        <f>18.3*(2/3*10)</f>
        <v>122</v>
      </c>
      <c r="E399" s="14">
        <f>648.4*(2/3*10)</f>
        <v>4322.6666666666661</v>
      </c>
      <c r="F399" s="14">
        <f>28.3*(2/3*10)</f>
        <v>188.66666666666666</v>
      </c>
      <c r="G399" s="14">
        <f>135.9*(2/3*10)</f>
        <v>906</v>
      </c>
      <c r="H399" s="14">
        <f>43.4*(2/3*10)</f>
        <v>289.33333333333331</v>
      </c>
      <c r="I399" s="14">
        <f>67.8*(2/3*10)</f>
        <v>451.99999999999994</v>
      </c>
      <c r="K399">
        <v>396</v>
      </c>
      <c r="L399">
        <f t="shared" si="6"/>
        <v>4</v>
      </c>
    </row>
    <row r="400" spans="1:12" ht="16.5" x14ac:dyDescent="0.2">
      <c r="A400" s="4" t="s">
        <v>303</v>
      </c>
      <c r="B400">
        <v>2013</v>
      </c>
      <c r="C400" s="14">
        <f>996.9*(2/3*10)</f>
        <v>6645.9999999999991</v>
      </c>
      <c r="D400" s="14">
        <f>18.4*(2/3*10)</f>
        <v>122.66666666666664</v>
      </c>
      <c r="E400" s="14">
        <f>648.3*(2/3*10)</f>
        <v>4321.9999999999991</v>
      </c>
      <c r="F400" s="14">
        <f>28*(2/3*10)</f>
        <v>186.66666666666666</v>
      </c>
      <c r="G400" s="14">
        <f>136.5*(2/3*10)</f>
        <v>909.99999999999989</v>
      </c>
      <c r="H400" s="14">
        <f>43.8*(2/3*10)</f>
        <v>291.99999999999994</v>
      </c>
      <c r="I400" s="14">
        <f>67.9*(2/3*10)</f>
        <v>452.66666666666669</v>
      </c>
      <c r="K400" s="15">
        <v>397</v>
      </c>
      <c r="L400">
        <f t="shared" si="6"/>
        <v>5</v>
      </c>
    </row>
    <row r="401" spans="1:12" ht="16.5" x14ac:dyDescent="0.2">
      <c r="A401" s="4" t="s">
        <v>303</v>
      </c>
      <c r="B401">
        <v>2014</v>
      </c>
      <c r="C401" s="14">
        <f>995.4*(2/3*10)</f>
        <v>6635.9999999999991</v>
      </c>
      <c r="D401" s="14">
        <f>18.3*(2/3*10)</f>
        <v>122</v>
      </c>
      <c r="E401" s="14">
        <f>648.2*(2/3*10)</f>
        <v>4321.333333333333</v>
      </c>
      <c r="F401" s="14">
        <f>28*(2/3*10)</f>
        <v>186.66666666666666</v>
      </c>
      <c r="G401" s="14">
        <f>137.5*(2/3*10)</f>
        <v>916.66666666666663</v>
      </c>
      <c r="H401" s="14">
        <f>44.2*(2/3*10)</f>
        <v>294.66666666666669</v>
      </c>
      <c r="I401" s="14">
        <f>67.8*(2/3*10)</f>
        <v>451.99999999999994</v>
      </c>
      <c r="K401">
        <v>398</v>
      </c>
      <c r="L401">
        <f t="shared" si="6"/>
        <v>6</v>
      </c>
    </row>
    <row r="402" spans="1:12" ht="16.5" x14ac:dyDescent="0.2">
      <c r="A402" s="4" t="s">
        <v>303</v>
      </c>
      <c r="B402">
        <v>2015</v>
      </c>
      <c r="C402" s="14">
        <f>995.2*(2/3*10)</f>
        <v>6634.6666666666661</v>
      </c>
      <c r="D402" s="14">
        <f>18.3*(2/3*10)</f>
        <v>122</v>
      </c>
      <c r="E402" s="14">
        <f>648.1*(2/3*10)</f>
        <v>4320.6666666666661</v>
      </c>
      <c r="F402" s="14">
        <f>28*(2/3*10)</f>
        <v>186.66666666666666</v>
      </c>
      <c r="G402" s="14">
        <f>138*(2/3*10)</f>
        <v>919.99999999999989</v>
      </c>
      <c r="H402" s="14">
        <f>44.3*(2/3*10)</f>
        <v>295.33333333333331</v>
      </c>
      <c r="I402" s="14">
        <f>67.6*(2/3*10)</f>
        <v>450.66666666666657</v>
      </c>
      <c r="K402" s="15">
        <v>399</v>
      </c>
      <c r="L402">
        <f t="shared" si="6"/>
        <v>7</v>
      </c>
    </row>
    <row r="403" spans="1:12" ht="16.5" x14ac:dyDescent="0.2">
      <c r="A403" s="4" t="s">
        <v>303</v>
      </c>
      <c r="B403">
        <v>2016</v>
      </c>
      <c r="C403" s="14">
        <f>994.6*(2/3*10)</f>
        <v>6630.6666666666661</v>
      </c>
      <c r="D403" s="14">
        <f>18.3*(2/3*10)</f>
        <v>122</v>
      </c>
      <c r="E403" s="14">
        <f>648*(2/3*10)</f>
        <v>4320</v>
      </c>
      <c r="F403" s="14">
        <f>28*(2/3*10)</f>
        <v>186.66666666666666</v>
      </c>
      <c r="G403" s="14">
        <f>138.3*(2/3*10)</f>
        <v>922</v>
      </c>
      <c r="H403" s="14">
        <f>44.7*(2/3*10)</f>
        <v>298</v>
      </c>
      <c r="I403" s="14">
        <f>67.6*(2/3*10)</f>
        <v>450.66666666666657</v>
      </c>
      <c r="K403">
        <v>400</v>
      </c>
      <c r="L403">
        <f t="shared" si="6"/>
        <v>0</v>
      </c>
    </row>
    <row r="404" spans="1:12" ht="16.5" x14ac:dyDescent="0.2">
      <c r="A404" s="4" t="s">
        <v>302</v>
      </c>
      <c r="B404">
        <v>2009</v>
      </c>
      <c r="C404" s="14">
        <f>827.4*(2/3*10)</f>
        <v>5515.9999999999991</v>
      </c>
      <c r="D404" s="14">
        <f>123.8*(2/3*10)</f>
        <v>825.33333333333326</v>
      </c>
      <c r="E404" s="14">
        <f>882.2*(2/3*10)</f>
        <v>5881.333333333333</v>
      </c>
      <c r="F404" s="14">
        <f>827.4*(2/3*10)</f>
        <v>5515.9999999999991</v>
      </c>
      <c r="G404" s="14">
        <f>157.1*(2/3*10)</f>
        <v>1047.3333333333333</v>
      </c>
      <c r="H404" s="14">
        <f>53.5*(2/3*10)</f>
        <v>356.66666666666663</v>
      </c>
      <c r="I404" s="14">
        <f>65.5*(2/3*10)</f>
        <v>436.66666666666663</v>
      </c>
      <c r="K404" s="15">
        <v>401</v>
      </c>
      <c r="L404">
        <f t="shared" si="6"/>
        <v>1</v>
      </c>
    </row>
    <row r="405" spans="1:12" ht="16.5" x14ac:dyDescent="0.2">
      <c r="A405" s="4" t="s">
        <v>302</v>
      </c>
      <c r="B405">
        <v>2010</v>
      </c>
      <c r="C405" s="14">
        <f>825.8*(2/3*10)</f>
        <v>5505.3333333333321</v>
      </c>
      <c r="D405" s="14">
        <f>123.5*(2/3*10)</f>
        <v>823.33333333333326</v>
      </c>
      <c r="E405" s="14">
        <f>880.4*(2/3*10)</f>
        <v>5869.333333333333</v>
      </c>
      <c r="F405" s="14">
        <f>826.3*(2/3*10)</f>
        <v>5508.6666666666661</v>
      </c>
      <c r="G405" s="14">
        <f>159.6*(2/3*10)</f>
        <v>1063.9999999999998</v>
      </c>
      <c r="H405" s="14">
        <f>54.5*(2/3*10)</f>
        <v>363.33333333333331</v>
      </c>
      <c r="I405" s="14">
        <f>65.8*(2/3*10)</f>
        <v>438.66666666666663</v>
      </c>
      <c r="K405">
        <v>402</v>
      </c>
      <c r="L405">
        <f t="shared" si="6"/>
        <v>2</v>
      </c>
    </row>
    <row r="406" spans="1:12" ht="16.5" x14ac:dyDescent="0.2">
      <c r="A406" s="4" t="s">
        <v>302</v>
      </c>
      <c r="B406">
        <v>2011</v>
      </c>
      <c r="C406" s="14">
        <f>824.7*(2/3*10)</f>
        <v>5498</v>
      </c>
      <c r="D406" s="14">
        <f>123.3*(2/3*10)</f>
        <v>821.99999999999989</v>
      </c>
      <c r="E406" s="14">
        <f>880*(2/3*10)</f>
        <v>5866.6666666666661</v>
      </c>
      <c r="F406" s="14">
        <f>825.8*(2/3*10)</f>
        <v>5505.3333333333321</v>
      </c>
      <c r="G406" s="14">
        <f>160.9*(2/3*10)</f>
        <v>1072.6666666666665</v>
      </c>
      <c r="H406" s="14">
        <f>54.9*(2/3*10)</f>
        <v>365.99999999999994</v>
      </c>
      <c r="I406" s="14">
        <f>65.8*(2/3*10)</f>
        <v>438.66666666666663</v>
      </c>
      <c r="K406" s="15">
        <v>403</v>
      </c>
      <c r="L406">
        <f t="shared" si="6"/>
        <v>3</v>
      </c>
    </row>
    <row r="407" spans="1:12" ht="16.5" x14ac:dyDescent="0.2">
      <c r="A407" s="4" t="s">
        <v>302</v>
      </c>
      <c r="B407">
        <v>2012</v>
      </c>
      <c r="C407" s="14">
        <f>825*(2/3*10)</f>
        <v>5499.9999999999991</v>
      </c>
      <c r="D407" s="14">
        <f>123.2*(2/3*10)</f>
        <v>821.33333333333326</v>
      </c>
      <c r="E407" s="14">
        <f>879.6*(2/3*10)</f>
        <v>5864</v>
      </c>
      <c r="F407" s="14">
        <f>825.2*(2/3*10)</f>
        <v>5501.333333333333</v>
      </c>
      <c r="G407" s="14">
        <f>161.6*(2/3*10)</f>
        <v>1077.3333333333333</v>
      </c>
      <c r="H407" s="14">
        <f>55*(2/3*10)</f>
        <v>366.66666666666663</v>
      </c>
      <c r="I407" s="14">
        <f>65.7*(2/3*10)</f>
        <v>438</v>
      </c>
      <c r="K407">
        <v>404</v>
      </c>
      <c r="L407">
        <f t="shared" si="6"/>
        <v>4</v>
      </c>
    </row>
    <row r="408" spans="1:12" ht="16.5" x14ac:dyDescent="0.2">
      <c r="A408" s="4" t="s">
        <v>302</v>
      </c>
      <c r="B408">
        <v>2013</v>
      </c>
      <c r="C408" s="14">
        <f>824.6*(2/3*10)</f>
        <v>5497.333333333333</v>
      </c>
      <c r="D408" s="14">
        <f>123*(2/3*10)</f>
        <v>819.99999999999989</v>
      </c>
      <c r="E408" s="14">
        <f>879.3*(2/3*10)</f>
        <v>5861.9999999999991</v>
      </c>
      <c r="F408" s="14">
        <f>824.6*(2/3*10)</f>
        <v>5497.333333333333</v>
      </c>
      <c r="G408" s="14">
        <f>162.6*(2/3*10)</f>
        <v>1084</v>
      </c>
      <c r="H408" s="14">
        <f>55.1*(2/3*10)</f>
        <v>367.33333333333331</v>
      </c>
      <c r="I408" s="14">
        <f>65.7*(2/3*10)</f>
        <v>438</v>
      </c>
      <c r="K408" s="15">
        <v>405</v>
      </c>
      <c r="L408">
        <f t="shared" si="6"/>
        <v>5</v>
      </c>
    </row>
    <row r="409" spans="1:12" ht="16.5" x14ac:dyDescent="0.2">
      <c r="A409" s="4" t="s">
        <v>302</v>
      </c>
      <c r="B409">
        <v>2014</v>
      </c>
      <c r="C409" s="14">
        <f>824*(2/3*10)</f>
        <v>5493.333333333333</v>
      </c>
      <c r="D409" s="14">
        <f>122.8*(2/3*10)</f>
        <v>818.66666666666663</v>
      </c>
      <c r="E409" s="14">
        <f>878.8*(2/3*10)</f>
        <v>5858.6666666666661</v>
      </c>
      <c r="F409" s="14">
        <f>823.8*(2/3*10)</f>
        <v>5491.9999999999991</v>
      </c>
      <c r="G409" s="14">
        <f>163.5*(2/3*10)</f>
        <v>1090</v>
      </c>
      <c r="H409" s="14">
        <f>56.3*(2/3*10)</f>
        <v>375.33333333333326</v>
      </c>
      <c r="I409" s="14">
        <f>65.6*(2/3*10)</f>
        <v>437.33333333333326</v>
      </c>
      <c r="K409">
        <v>406</v>
      </c>
      <c r="L409">
        <f t="shared" si="6"/>
        <v>6</v>
      </c>
    </row>
    <row r="410" spans="1:12" ht="16.5" x14ac:dyDescent="0.2">
      <c r="A410" s="4" t="s">
        <v>302</v>
      </c>
      <c r="B410">
        <v>2015</v>
      </c>
      <c r="C410" s="14">
        <f>823.9*(2/3*10)</f>
        <v>5492.6666666666661</v>
      </c>
      <c r="D410" s="14">
        <f>122.7*(2/3*10)</f>
        <v>818</v>
      </c>
      <c r="E410" s="14">
        <f>878.5*(2/3*10)</f>
        <v>5856.6666666666661</v>
      </c>
      <c r="F410" s="14">
        <f>823.3*(2/3*10)</f>
        <v>5488.6666666666661</v>
      </c>
      <c r="G410" s="14">
        <f>164.2*(2/3*10)</f>
        <v>1094.6666666666667</v>
      </c>
      <c r="H410" s="14">
        <f>56.4*(2/3*10)</f>
        <v>375.99999999999994</v>
      </c>
      <c r="I410" s="14">
        <f>65.6*(2/3*10)</f>
        <v>437.33333333333326</v>
      </c>
      <c r="K410" s="15">
        <v>407</v>
      </c>
      <c r="L410">
        <f t="shared" si="6"/>
        <v>7</v>
      </c>
    </row>
    <row r="411" spans="1:12" ht="16.5" x14ac:dyDescent="0.2">
      <c r="A411" s="4" t="s">
        <v>302</v>
      </c>
      <c r="B411">
        <v>2016</v>
      </c>
      <c r="C411" s="14">
        <f>823.5*(2/3*10)</f>
        <v>5489.9999999999991</v>
      </c>
      <c r="D411" s="14">
        <f>122.6*(2/3*10)</f>
        <v>817.33333333333326</v>
      </c>
      <c r="E411" s="14">
        <f>878.4*(2/3*10)</f>
        <v>5855.9999999999991</v>
      </c>
      <c r="F411" s="14">
        <f>823.1*(2/3*10)</f>
        <v>5487.333333333333</v>
      </c>
      <c r="G411" s="14">
        <f>164.8*(2/3*10)</f>
        <v>1098.6666666666665</v>
      </c>
      <c r="H411" s="14">
        <f>56.5*(2/3*10)</f>
        <v>376.66666666666663</v>
      </c>
      <c r="I411" s="14">
        <f>65.5*(2/3*10)</f>
        <v>436.66666666666663</v>
      </c>
      <c r="K411">
        <v>408</v>
      </c>
      <c r="L411">
        <f t="shared" si="6"/>
        <v>0</v>
      </c>
    </row>
    <row r="412" spans="1:12" ht="16.5" x14ac:dyDescent="0.2">
      <c r="A412" s="4" t="s">
        <v>301</v>
      </c>
      <c r="B412">
        <v>2009</v>
      </c>
      <c r="C412" s="14">
        <f>441.3*(2/3*10)</f>
        <v>2942</v>
      </c>
      <c r="D412" s="14">
        <f>107.3*(2/3*10)</f>
        <v>715.33333333333326</v>
      </c>
      <c r="E412" s="14">
        <f>549.2*(2/3*10)</f>
        <v>3661.3333333333335</v>
      </c>
      <c r="F412" s="14">
        <f>244*(2/3*10)</f>
        <v>1626.6666666666665</v>
      </c>
      <c r="G412" s="14">
        <f>108.3*(2/3*10)</f>
        <v>722</v>
      </c>
      <c r="H412" s="14">
        <f>29.3*(2/3*10)</f>
        <v>195.33333333333331</v>
      </c>
      <c r="I412" s="14">
        <f>68*(2/3*10)</f>
        <v>453.33333333333331</v>
      </c>
      <c r="K412" s="15">
        <v>409</v>
      </c>
      <c r="L412">
        <f t="shared" si="6"/>
        <v>1</v>
      </c>
    </row>
    <row r="413" spans="1:12" ht="16.5" x14ac:dyDescent="0.2">
      <c r="A413" s="4" t="s">
        <v>301</v>
      </c>
      <c r="B413">
        <v>2010</v>
      </c>
      <c r="C413" s="14">
        <f>440.7*(2/3*10)</f>
        <v>2937.9999999999995</v>
      </c>
      <c r="D413" s="14">
        <f>107*(2/3*10)</f>
        <v>713.33333333333326</v>
      </c>
      <c r="E413" s="14">
        <f>548.7*(2/3*10)</f>
        <v>3658</v>
      </c>
      <c r="F413" s="14">
        <f>243.6*(2/3*10)</f>
        <v>1623.9999999999998</v>
      </c>
      <c r="G413" s="14">
        <f>110.6*(2/3*10)</f>
        <v>737.33333333333326</v>
      </c>
      <c r="H413" s="14">
        <f>29.4*(2/3*10)</f>
        <v>195.99999999999997</v>
      </c>
      <c r="I413" s="14">
        <f>67.2*(2/3*10)</f>
        <v>448</v>
      </c>
      <c r="K413">
        <v>410</v>
      </c>
      <c r="L413">
        <f t="shared" si="6"/>
        <v>2</v>
      </c>
    </row>
    <row r="414" spans="1:12" ht="16.5" x14ac:dyDescent="0.2">
      <c r="A414" s="4" t="s">
        <v>301</v>
      </c>
      <c r="B414">
        <v>2011</v>
      </c>
      <c r="C414" s="14">
        <f>440.6*(2/3*10)</f>
        <v>2937.333333333333</v>
      </c>
      <c r="D414" s="14">
        <f>106.9*(2/3*10)</f>
        <v>712.66666666666663</v>
      </c>
      <c r="E414" s="14">
        <f>548.4*(2/3*10)</f>
        <v>3655.9999999999995</v>
      </c>
      <c r="F414" s="14">
        <f>242.6*(2/3*10)</f>
        <v>1617.3333333333333</v>
      </c>
      <c r="G414" s="14">
        <f>112.3*(2/3*10)</f>
        <v>748.66666666666663</v>
      </c>
      <c r="H414" s="14">
        <f>29.5*(2/3*10)</f>
        <v>196.66666666666666</v>
      </c>
      <c r="I414" s="14">
        <f>67.8*(2/3*10)</f>
        <v>451.99999999999994</v>
      </c>
      <c r="K414" s="15">
        <v>411</v>
      </c>
      <c r="L414">
        <f t="shared" si="6"/>
        <v>3</v>
      </c>
    </row>
    <row r="415" spans="1:12" ht="16.5" x14ac:dyDescent="0.2">
      <c r="A415" s="4" t="s">
        <v>301</v>
      </c>
      <c r="B415">
        <v>2012</v>
      </c>
      <c r="C415" s="14">
        <f>439.6*(2/3*10)</f>
        <v>2930.6666666666665</v>
      </c>
      <c r="D415" s="14">
        <f>106.6*(2/3*10)</f>
        <v>710.66666666666652</v>
      </c>
      <c r="E415" s="14">
        <f>548*(2/3*10)</f>
        <v>3653.333333333333</v>
      </c>
      <c r="F415" s="14">
        <f>241.9*(2/3*10)</f>
        <v>1612.6666666666665</v>
      </c>
      <c r="G415" s="14">
        <f>114.3*(2/3*10)</f>
        <v>761.99999999999989</v>
      </c>
      <c r="H415" s="14">
        <f>30.5*(2/3*10)</f>
        <v>203.33333333333331</v>
      </c>
      <c r="I415" s="14">
        <f>67.1*(2/3*10)</f>
        <v>447.33333333333326</v>
      </c>
      <c r="K415">
        <v>412</v>
      </c>
      <c r="L415">
        <f t="shared" si="6"/>
        <v>4</v>
      </c>
    </row>
    <row r="416" spans="1:12" ht="16.5" x14ac:dyDescent="0.2">
      <c r="A416" s="4" t="s">
        <v>301</v>
      </c>
      <c r="B416">
        <v>2013</v>
      </c>
      <c r="C416" s="14">
        <f>437.6*(2/3*10)</f>
        <v>2917.333333333333</v>
      </c>
      <c r="D416" s="14">
        <f>106.1*(2/3*10)</f>
        <v>707.33333333333326</v>
      </c>
      <c r="E416" s="14">
        <f>546.7*(2/3*10)</f>
        <v>3644.6666666666665</v>
      </c>
      <c r="F416" s="14">
        <f>241.4*(2/3*10)</f>
        <v>1609.3333333333333</v>
      </c>
      <c r="G416" s="14">
        <f>115.1*(2/3*10)</f>
        <v>767.33333333333326</v>
      </c>
      <c r="H416" s="14">
        <f>30.6*(2/3*10)</f>
        <v>204</v>
      </c>
      <c r="I416" s="14">
        <f>70.7*(2/3*10)</f>
        <v>471.33333333333331</v>
      </c>
      <c r="K416" s="15">
        <v>413</v>
      </c>
      <c r="L416">
        <f t="shared" si="6"/>
        <v>5</v>
      </c>
    </row>
    <row r="417" spans="1:12" ht="16.5" x14ac:dyDescent="0.2">
      <c r="A417" s="4" t="s">
        <v>301</v>
      </c>
      <c r="B417">
        <v>2014</v>
      </c>
      <c r="C417" s="14">
        <f>437.5*(2/3*10)</f>
        <v>2916.6666666666665</v>
      </c>
      <c r="D417" s="14">
        <f>106.1*(2/3*10)</f>
        <v>707.33333333333326</v>
      </c>
      <c r="E417" s="14">
        <f>546.5*(2/3*10)</f>
        <v>3643.333333333333</v>
      </c>
      <c r="F417" s="14">
        <f>241.4*(2/3*10)</f>
        <v>1609.3333333333333</v>
      </c>
      <c r="G417" s="14">
        <f>115.5*(2/3*10)</f>
        <v>769.99999999999989</v>
      </c>
      <c r="H417" s="14">
        <f>30.7*(2/3*10)</f>
        <v>204.66666666666666</v>
      </c>
      <c r="I417" s="14">
        <f>70.6*(2/3*10)</f>
        <v>470.66666666666657</v>
      </c>
      <c r="K417">
        <v>414</v>
      </c>
      <c r="L417">
        <f t="shared" si="6"/>
        <v>6</v>
      </c>
    </row>
    <row r="418" spans="1:12" ht="16.5" x14ac:dyDescent="0.2">
      <c r="A418" s="4" t="s">
        <v>301</v>
      </c>
      <c r="B418">
        <v>2015</v>
      </c>
      <c r="C418" s="14">
        <f>437.1*(2/3*10)</f>
        <v>2914</v>
      </c>
      <c r="D418" s="14">
        <f>106*(2/3*10)</f>
        <v>706.66666666666663</v>
      </c>
      <c r="E418" s="14">
        <f>546.3*(2/3*10)</f>
        <v>3641.9999999999995</v>
      </c>
      <c r="F418" s="14">
        <f>241.2*(2/3*10)</f>
        <v>1607.9999999999998</v>
      </c>
      <c r="G418" s="14">
        <f>116.1*(2/3*10)</f>
        <v>773.99999999999989</v>
      </c>
      <c r="H418" s="14">
        <f>30.9*(2/3*10)</f>
        <v>205.99999999999997</v>
      </c>
      <c r="I418" s="14">
        <f>70.5*(2/3*10)</f>
        <v>469.99999999999994</v>
      </c>
      <c r="K418" s="15">
        <v>415</v>
      </c>
      <c r="L418">
        <f t="shared" si="6"/>
        <v>7</v>
      </c>
    </row>
    <row r="419" spans="1:12" ht="16.5" x14ac:dyDescent="0.2">
      <c r="A419" s="4" t="s">
        <v>301</v>
      </c>
      <c r="B419">
        <v>2016</v>
      </c>
      <c r="C419" s="14">
        <f>436.8*(2/3*10)</f>
        <v>2912</v>
      </c>
      <c r="D419" s="14">
        <f>105.9*(2/3*10)</f>
        <v>706</v>
      </c>
      <c r="E419" s="14">
        <f>546.1*(2/3*10)</f>
        <v>3640.6666666666665</v>
      </c>
      <c r="F419" s="14">
        <f>241.1*(2/3*10)</f>
        <v>1607.3333333333333</v>
      </c>
      <c r="G419" s="14">
        <f>116.4*(2/3*10)</f>
        <v>776</v>
      </c>
      <c r="H419" s="14">
        <f>31.1*(2/3*10)</f>
        <v>207.33333333333331</v>
      </c>
      <c r="I419" s="14">
        <f>70.5*(2/3*10)</f>
        <v>469.99999999999994</v>
      </c>
      <c r="K419">
        <v>416</v>
      </c>
      <c r="L419">
        <f t="shared" si="6"/>
        <v>0</v>
      </c>
    </row>
    <row r="420" spans="1:12" ht="16.5" x14ac:dyDescent="0.2">
      <c r="A420" s="4" t="s">
        <v>300</v>
      </c>
      <c r="B420">
        <v>2009</v>
      </c>
      <c r="C420" s="14">
        <f>10545.7*(2/3*10)</f>
        <v>70304.666666666672</v>
      </c>
      <c r="D420" s="14">
        <f>102.1*(2/3*10)</f>
        <v>680.66666666666652</v>
      </c>
      <c r="E420" s="14">
        <f>13295.7*(2/3*10)</f>
        <v>88638</v>
      </c>
      <c r="F420" s="14">
        <f>1036.7*(2/3*10)</f>
        <v>6911.333333333333</v>
      </c>
      <c r="G420" s="14">
        <f>1192.1*(2/3*10)</f>
        <v>7947.3333333333321</v>
      </c>
      <c r="H420" s="14">
        <f>455.8*(2/3*10)</f>
        <v>3038.6666666666665</v>
      </c>
      <c r="I420" s="14">
        <f>1074.3*(2/3*10)</f>
        <v>7161.9999999999991</v>
      </c>
      <c r="K420" s="15">
        <v>417</v>
      </c>
      <c r="L420">
        <f t="shared" si="6"/>
        <v>1</v>
      </c>
    </row>
    <row r="421" spans="1:12" ht="16.5" x14ac:dyDescent="0.2">
      <c r="A421" s="4" t="s">
        <v>300</v>
      </c>
      <c r="B421">
        <v>2010</v>
      </c>
      <c r="C421" s="14">
        <f>10526.1*(2/3*10)</f>
        <v>70174</v>
      </c>
      <c r="D421" s="14">
        <f>102*(2/3*10)</f>
        <v>679.99999999999989</v>
      </c>
      <c r="E421" s="14">
        <f>13294.1*(2/3*10)</f>
        <v>88627.333333333328</v>
      </c>
      <c r="F421" s="14">
        <f>1029.1*(2/3*10)</f>
        <v>6860.6666666666652</v>
      </c>
      <c r="G421" s="14">
        <f>1203*(2/3*10)</f>
        <v>8019.9999999999991</v>
      </c>
      <c r="H421" s="14">
        <f>457.1*(2/3*10)</f>
        <v>3047.333333333333</v>
      </c>
      <c r="I421" s="14">
        <f>1078*(2/3*10)</f>
        <v>7186.6666666666661</v>
      </c>
      <c r="K421">
        <v>418</v>
      </c>
      <c r="L421">
        <f t="shared" si="6"/>
        <v>2</v>
      </c>
    </row>
    <row r="422" spans="1:12" ht="16.5" x14ac:dyDescent="0.2">
      <c r="A422" s="4" t="s">
        <v>300</v>
      </c>
      <c r="B422">
        <v>2011</v>
      </c>
      <c r="C422" s="14">
        <f>10531.8*(2/3*10)</f>
        <v>70211.999999999985</v>
      </c>
      <c r="D422" s="14">
        <f>99.4*(2/3*10)</f>
        <v>662.66666666666663</v>
      </c>
      <c r="E422" s="14">
        <f>13291.7*(2/3*10)</f>
        <v>88611.333333333328</v>
      </c>
      <c r="F422" s="14">
        <f>1022.4*(2/3*10)</f>
        <v>6815.9999999999991</v>
      </c>
      <c r="G422" s="14">
        <f>1222.2*(2/3*10)</f>
        <v>8147.9999999999982</v>
      </c>
      <c r="H422" s="14">
        <f>461.6*(2/3*10)</f>
        <v>3077.333333333333</v>
      </c>
      <c r="I422" s="14">
        <f>1078.3*(2/3*10)</f>
        <v>7188.6666666666661</v>
      </c>
      <c r="K422" s="15">
        <v>419</v>
      </c>
      <c r="L422">
        <f t="shared" si="6"/>
        <v>3</v>
      </c>
    </row>
    <row r="423" spans="1:12" ht="16.5" x14ac:dyDescent="0.2">
      <c r="A423" s="4" t="s">
        <v>300</v>
      </c>
      <c r="B423">
        <v>2012</v>
      </c>
      <c r="C423" s="14">
        <f>10520.5*(2/3*10)</f>
        <v>70136.666666666657</v>
      </c>
      <c r="D423" s="14">
        <f>99.1*(2/3*10)</f>
        <v>660.66666666666652</v>
      </c>
      <c r="E423" s="14">
        <f>13290.2*(2/3*10)</f>
        <v>88601.333333333328</v>
      </c>
      <c r="F423" s="14">
        <f>1019.8*(2/3*10)</f>
        <v>6798.6666666666661</v>
      </c>
      <c r="G423" s="14">
        <f>1237.7*(2/3*10)</f>
        <v>8251.3333333333321</v>
      </c>
      <c r="H423" s="14">
        <f>463*(2/3*10)</f>
        <v>3086.6666666666665</v>
      </c>
      <c r="I423" s="14">
        <f>1077.6*(2/3*10)</f>
        <v>7183.9999999999991</v>
      </c>
      <c r="K423">
        <v>420</v>
      </c>
      <c r="L423">
        <f t="shared" si="6"/>
        <v>4</v>
      </c>
    </row>
    <row r="424" spans="1:12" ht="16.5" x14ac:dyDescent="0.2">
      <c r="A424" s="4" t="s">
        <v>300</v>
      </c>
      <c r="B424">
        <v>2013</v>
      </c>
      <c r="C424" s="14">
        <f>10509.7*(2/3*10)</f>
        <v>70064.666666666672</v>
      </c>
      <c r="D424" s="14">
        <f>98.9*(2/3*10)</f>
        <v>659.33333333333326</v>
      </c>
      <c r="E424" s="14">
        <f>13287.9*(2/3*10)</f>
        <v>88585.999999999985</v>
      </c>
      <c r="F424" s="14">
        <f>1016.2*(2/3*10)</f>
        <v>6774.6666666666661</v>
      </c>
      <c r="G424" s="14">
        <f>1249.2*(2/3*10)</f>
        <v>8328</v>
      </c>
      <c r="H424" s="14">
        <f>467*(2/3*10)</f>
        <v>3113.333333333333</v>
      </c>
      <c r="I424" s="14">
        <f>1080.2*(2/3*10)</f>
        <v>7201.333333333333</v>
      </c>
      <c r="K424" s="15">
        <v>421</v>
      </c>
      <c r="L424">
        <f t="shared" si="6"/>
        <v>5</v>
      </c>
    </row>
    <row r="425" spans="1:12" ht="16.5" x14ac:dyDescent="0.2">
      <c r="A425" s="4" t="s">
        <v>300</v>
      </c>
      <c r="B425">
        <v>2014</v>
      </c>
      <c r="C425" s="14">
        <f>10502*(2/3*10)</f>
        <v>70013.333333333328</v>
      </c>
      <c r="D425" s="14">
        <f>98.8*(2/3*10)</f>
        <v>658.66666666666663</v>
      </c>
      <c r="E425" s="14">
        <f>13283.9*(2/3*10)</f>
        <v>88559.333333333328</v>
      </c>
      <c r="F425" s="14">
        <f>1014.3*(2/3*10)</f>
        <v>6761.9999999999991</v>
      </c>
      <c r="G425" s="14">
        <f>1257.8*(2/3*10)</f>
        <v>8385.3333333333321</v>
      </c>
      <c r="H425" s="14">
        <f>472.3*(2/3*10)</f>
        <v>3148.6666666666665</v>
      </c>
      <c r="I425" s="14">
        <f>1080.2*(2/3*10)</f>
        <v>7201.333333333333</v>
      </c>
      <c r="K425">
        <v>422</v>
      </c>
      <c r="L425">
        <f t="shared" si="6"/>
        <v>6</v>
      </c>
    </row>
    <row r="426" spans="1:12" ht="16.5" x14ac:dyDescent="0.2">
      <c r="A426" s="4" t="s">
        <v>300</v>
      </c>
      <c r="B426">
        <v>2015</v>
      </c>
      <c r="C426" s="14">
        <f>10498.8*(2/3*10)</f>
        <v>69991.999999999985</v>
      </c>
      <c r="D426" s="14">
        <f>98.8*(2/3*10)</f>
        <v>658.66666666666663</v>
      </c>
      <c r="E426" s="14">
        <f>13282.3*(2/3*10)</f>
        <v>88548.666666666657</v>
      </c>
      <c r="F426" s="14">
        <f>1013.2*(2/3*10)</f>
        <v>6754.6666666666661</v>
      </c>
      <c r="G426" s="14">
        <f>1264.3*(2/3*10)</f>
        <v>8428.6666666666679</v>
      </c>
      <c r="H426" s="14">
        <f>474*(2/3*10)</f>
        <v>3159.9999999999995</v>
      </c>
      <c r="I426" s="14">
        <f>1079.8*(2/3*10)</f>
        <v>7198.6666666666661</v>
      </c>
      <c r="K426" s="15">
        <v>423</v>
      </c>
      <c r="L426">
        <f t="shared" si="6"/>
        <v>7</v>
      </c>
    </row>
    <row r="427" spans="1:12" ht="16.5" x14ac:dyDescent="0.2">
      <c r="A427" s="4" t="s">
        <v>300</v>
      </c>
      <c r="B427">
        <v>2016</v>
      </c>
      <c r="C427" s="14">
        <f>10490.1*(2/3*10)</f>
        <v>69934</v>
      </c>
      <c r="D427" s="14">
        <f>98.8*(2/3*10)</f>
        <v>658.66666666666663</v>
      </c>
      <c r="E427" s="14">
        <f>13279.9*(2/3*10)</f>
        <v>88532.666666666657</v>
      </c>
      <c r="F427" s="14">
        <f>1012.6*(2/3*10)</f>
        <v>6750.6666666666661</v>
      </c>
      <c r="G427" s="14">
        <f>1270.5*(2/3*10)</f>
        <v>8470</v>
      </c>
      <c r="H427" s="14">
        <f>477.1*(2/3*10)</f>
        <v>3180.6666666666665</v>
      </c>
      <c r="I427" s="14">
        <f>1081.7*(2/3*10)</f>
        <v>7211.333333333333</v>
      </c>
      <c r="K427">
        <v>424</v>
      </c>
      <c r="L427">
        <f t="shared" si="6"/>
        <v>0</v>
      </c>
    </row>
    <row r="428" spans="1:12" ht="16.5" x14ac:dyDescent="0.2">
      <c r="A428" s="4" t="s">
        <v>299</v>
      </c>
      <c r="B428">
        <v>2009</v>
      </c>
      <c r="C428" s="14">
        <f>2194.4*(2/3*10)</f>
        <v>14629.333333333332</v>
      </c>
      <c r="D428" s="14">
        <f>2.2*(2/3*10)</f>
        <v>14.666666666666666</v>
      </c>
      <c r="E428" s="14">
        <f>256*(2/3*10)</f>
        <v>1706.6666666666665</v>
      </c>
      <c r="F428" s="14">
        <f>24.3*(2/3*10)</f>
        <v>162</v>
      </c>
      <c r="G428" s="14">
        <f>309.2*(2/3*10)</f>
        <v>2061.3333333333335</v>
      </c>
      <c r="H428" s="14">
        <f>96.1*(2/3*10)</f>
        <v>640.66666666666652</v>
      </c>
      <c r="I428" s="14">
        <f>154.6*(2/3*10)</f>
        <v>1030.6666666666665</v>
      </c>
      <c r="K428" s="15">
        <v>425</v>
      </c>
      <c r="L428">
        <f t="shared" si="6"/>
        <v>1</v>
      </c>
    </row>
    <row r="429" spans="1:12" ht="16.5" x14ac:dyDescent="0.2">
      <c r="A429" s="4" t="s">
        <v>299</v>
      </c>
      <c r="B429">
        <v>2010</v>
      </c>
      <c r="C429" s="14">
        <f>2189.7*(2/3*10)</f>
        <v>14597.999999999998</v>
      </c>
      <c r="D429" s="14">
        <f>2.2*(2/3*10)</f>
        <v>14.666666666666666</v>
      </c>
      <c r="E429" s="14">
        <f>255.8*(2/3*10)</f>
        <v>1705.3333333333333</v>
      </c>
      <c r="F429" s="14">
        <f>24*(2/3*10)</f>
        <v>160</v>
      </c>
      <c r="G429" s="14">
        <f>314.6*(2/3*10)</f>
        <v>2097.3333333333335</v>
      </c>
      <c r="H429" s="14">
        <f>96.1*(2/3*10)</f>
        <v>640.66666666666652</v>
      </c>
      <c r="I429" s="14">
        <f>154.2*(2/3*10)</f>
        <v>1027.9999999999998</v>
      </c>
      <c r="K429">
        <v>426</v>
      </c>
      <c r="L429">
        <f t="shared" si="6"/>
        <v>2</v>
      </c>
    </row>
    <row r="430" spans="1:12" ht="16.5" x14ac:dyDescent="0.2">
      <c r="A430" s="4" t="s">
        <v>299</v>
      </c>
      <c r="B430">
        <v>2011</v>
      </c>
      <c r="C430" s="14">
        <f>2181.7*(2/3*10)</f>
        <v>14544.666666666664</v>
      </c>
      <c r="D430" s="14">
        <f>2.2*(2/3*10)</f>
        <v>14.666666666666666</v>
      </c>
      <c r="E430" s="14">
        <f>255.1*(2/3*10)</f>
        <v>1700.6666666666665</v>
      </c>
      <c r="F430" s="14">
        <f>23.3*(2/3*10)</f>
        <v>155.33333333333331</v>
      </c>
      <c r="G430" s="14">
        <f>323.6*(2/3*10)</f>
        <v>2157.3333333333335</v>
      </c>
      <c r="H430" s="14">
        <f>96.6*(2/3*10)</f>
        <v>643.99999999999989</v>
      </c>
      <c r="I430" s="14">
        <f>153.7*(2/3*10)</f>
        <v>1024.6666666666665</v>
      </c>
      <c r="K430" s="15">
        <v>427</v>
      </c>
      <c r="L430">
        <f t="shared" si="6"/>
        <v>3</v>
      </c>
    </row>
    <row r="431" spans="1:12" ht="16.5" x14ac:dyDescent="0.2">
      <c r="A431" s="4" t="s">
        <v>299</v>
      </c>
      <c r="B431">
        <v>2012</v>
      </c>
      <c r="C431" s="14">
        <f>2175*(2/3*10)</f>
        <v>14499.999999999998</v>
      </c>
      <c r="D431" s="14">
        <f>2.1*(2/3*10)</f>
        <v>14</v>
      </c>
      <c r="E431" s="14">
        <f>254.7*(2/3*10)</f>
        <v>1697.9999999999998</v>
      </c>
      <c r="F431" s="14">
        <f>23.1*(2/3*10)</f>
        <v>154</v>
      </c>
      <c r="G431" s="14">
        <f>330.6*(2/3*10)</f>
        <v>2204</v>
      </c>
      <c r="H431" s="14">
        <f>97.2*(2/3*10)</f>
        <v>648</v>
      </c>
      <c r="I431" s="14">
        <f>153.4*(2/3*10)</f>
        <v>1022.6666666666666</v>
      </c>
      <c r="K431">
        <v>428</v>
      </c>
      <c r="L431">
        <f t="shared" si="6"/>
        <v>4</v>
      </c>
    </row>
    <row r="432" spans="1:12" ht="16.5" x14ac:dyDescent="0.2">
      <c r="A432" s="4" t="s">
        <v>299</v>
      </c>
      <c r="B432">
        <v>2013</v>
      </c>
      <c r="C432" s="14">
        <f>2171.6*(2/3*10)</f>
        <v>14477.333333333332</v>
      </c>
      <c r="D432" s="14">
        <f>2.1*(2/3*10)</f>
        <v>14</v>
      </c>
      <c r="E432" s="14">
        <f>254.5*(2/3*10)</f>
        <v>1696.6666666666665</v>
      </c>
      <c r="F432" s="14">
        <f>22.9*(2/3*10)</f>
        <v>152.66666666666666</v>
      </c>
      <c r="G432" s="14">
        <f>334.7*(2/3*10)</f>
        <v>2231.3333333333335</v>
      </c>
      <c r="H432" s="14">
        <f>97.5*(2/3*10)</f>
        <v>649.99999999999989</v>
      </c>
      <c r="I432" s="14">
        <f>153.2*(2/3*10)</f>
        <v>1021.3333333333331</v>
      </c>
      <c r="K432" s="15">
        <v>429</v>
      </c>
      <c r="L432">
        <f t="shared" si="6"/>
        <v>5</v>
      </c>
    </row>
    <row r="433" spans="1:12" ht="16.5" x14ac:dyDescent="0.2">
      <c r="A433" s="4" t="s">
        <v>299</v>
      </c>
      <c r="B433">
        <v>2014</v>
      </c>
      <c r="C433" s="14">
        <f>2169.7*(2/3*10)</f>
        <v>14464.666666666664</v>
      </c>
      <c r="D433" s="14">
        <f>2.1*(2/3*10)</f>
        <v>14</v>
      </c>
      <c r="E433" s="14">
        <f>254.3*(2/3*10)</f>
        <v>1695.3333333333333</v>
      </c>
      <c r="F433" s="14">
        <f>22.3*(2/3*10)</f>
        <v>148.66666666666666</v>
      </c>
      <c r="G433" s="14">
        <f>337.9*(2/3*10)</f>
        <v>2252.6666666666665</v>
      </c>
      <c r="H433" s="14">
        <f>97.6*(2/3*10)</f>
        <v>650.66666666666652</v>
      </c>
      <c r="I433" s="14">
        <f>153.1*(2/3*10)</f>
        <v>1020.6666666666665</v>
      </c>
      <c r="K433">
        <v>430</v>
      </c>
      <c r="L433">
        <f t="shared" si="6"/>
        <v>6</v>
      </c>
    </row>
    <row r="434" spans="1:12" ht="16.5" x14ac:dyDescent="0.2">
      <c r="A434" s="4" t="s">
        <v>299</v>
      </c>
      <c r="B434">
        <v>2015</v>
      </c>
      <c r="C434" s="14">
        <f>2168.6*(2/3*10)</f>
        <v>14457.333333333332</v>
      </c>
      <c r="D434" s="14">
        <f>2.1*(2/3*10)</f>
        <v>14</v>
      </c>
      <c r="E434" s="14">
        <f>254*(2/3*10)</f>
        <v>1693.3333333333333</v>
      </c>
      <c r="F434" s="14">
        <f>22.2*(2/3*10)</f>
        <v>147.99999999999997</v>
      </c>
      <c r="G434" s="14">
        <f>339.1*(2/3*10)</f>
        <v>2260.6666666666665</v>
      </c>
      <c r="H434" s="14">
        <f>97.7*(2/3*10)</f>
        <v>651.33333333333326</v>
      </c>
      <c r="I434" s="14">
        <f>153*(2/3*10)</f>
        <v>1019.9999999999999</v>
      </c>
      <c r="K434" s="15">
        <v>431</v>
      </c>
      <c r="L434">
        <f t="shared" si="6"/>
        <v>7</v>
      </c>
    </row>
    <row r="435" spans="1:12" ht="16.5" x14ac:dyDescent="0.2">
      <c r="A435" s="4" t="s">
        <v>299</v>
      </c>
      <c r="B435">
        <v>2016</v>
      </c>
      <c r="C435" s="14">
        <f>2165.9*(2/3*10)</f>
        <v>14439.333333333332</v>
      </c>
      <c r="D435" s="14">
        <f>2.1*(2/3*10)</f>
        <v>14</v>
      </c>
      <c r="E435" s="14">
        <f>253.8*(2/3*10)</f>
        <v>1692</v>
      </c>
      <c r="F435" s="14">
        <f>22.2*(2/3*10)</f>
        <v>147.99999999999997</v>
      </c>
      <c r="G435" s="14">
        <f>341.3*(2/3*10)</f>
        <v>2275.333333333333</v>
      </c>
      <c r="H435" s="14">
        <f>98.1*(2/3*10)</f>
        <v>653.99999999999989</v>
      </c>
      <c r="I435" s="14">
        <f>152.9*(2/3*10)</f>
        <v>1019.3333333333333</v>
      </c>
      <c r="K435">
        <v>432</v>
      </c>
      <c r="L435">
        <f t="shared" si="6"/>
        <v>0</v>
      </c>
    </row>
    <row r="436" spans="1:12" ht="16.5" x14ac:dyDescent="0.2">
      <c r="A436" s="4" t="s">
        <v>298</v>
      </c>
      <c r="B436">
        <v>2009</v>
      </c>
      <c r="C436" s="14">
        <f>1402.8*(2/3*10)</f>
        <v>9351.9999999999982</v>
      </c>
      <c r="D436" s="14">
        <f>14.4*(2/3*10)</f>
        <v>96</v>
      </c>
      <c r="E436" s="14">
        <f>2345.3*(2/3*10)</f>
        <v>15635.333333333334</v>
      </c>
      <c r="F436" s="14">
        <f>7.2*(2/3*10)</f>
        <v>48</v>
      </c>
      <c r="G436" s="14">
        <f>158.7*(2/3*10)</f>
        <v>1058</v>
      </c>
      <c r="H436" s="14">
        <f>50.7*(2/3*10)</f>
        <v>338</v>
      </c>
      <c r="I436" s="14">
        <f>166.1*(2/3*10)</f>
        <v>1107.3333333333333</v>
      </c>
      <c r="K436" s="15">
        <v>433</v>
      </c>
      <c r="L436">
        <f t="shared" si="6"/>
        <v>1</v>
      </c>
    </row>
    <row r="437" spans="1:12" ht="16.5" x14ac:dyDescent="0.2">
      <c r="A437" s="4" t="s">
        <v>298</v>
      </c>
      <c r="B437">
        <v>2010</v>
      </c>
      <c r="C437" s="14">
        <f>1392.2*(2/3*10)</f>
        <v>9281.3333333333321</v>
      </c>
      <c r="D437" s="14">
        <f>14.3*(2/3*10)</f>
        <v>95.333333333333329</v>
      </c>
      <c r="E437" s="14">
        <f>2345*(2/3*10)</f>
        <v>15633.333333333332</v>
      </c>
      <c r="F437" s="14">
        <f>7.1*(2/3*10)</f>
        <v>47.333333333333329</v>
      </c>
      <c r="G437" s="14">
        <f>159.9*(2/3*10)</f>
        <v>1066</v>
      </c>
      <c r="H437" s="14">
        <f>50.7*(2/3*10)</f>
        <v>338</v>
      </c>
      <c r="I437" s="14">
        <f>167.2*(2/3*10)</f>
        <v>1114.6666666666665</v>
      </c>
      <c r="K437">
        <v>434</v>
      </c>
      <c r="L437">
        <f t="shared" si="6"/>
        <v>2</v>
      </c>
    </row>
    <row r="438" spans="1:12" ht="16.5" x14ac:dyDescent="0.2">
      <c r="A438" s="4" t="s">
        <v>298</v>
      </c>
      <c r="B438">
        <v>2011</v>
      </c>
      <c r="C438" s="14">
        <f>1392.8*(2/3*10)</f>
        <v>9285.3333333333321</v>
      </c>
      <c r="D438" s="14">
        <f>14.2*(2/3*10)</f>
        <v>94.666666666666657</v>
      </c>
      <c r="E438" s="14">
        <f>2344.1*(2/3*10)</f>
        <v>15627.333333333332</v>
      </c>
      <c r="F438" s="14">
        <f>7*(2/3*10)</f>
        <v>46.666666666666664</v>
      </c>
      <c r="G438" s="14">
        <f>162.2*(2/3*10)</f>
        <v>1081.3333333333333</v>
      </c>
      <c r="H438" s="14">
        <f>51.2*(2/3*10)</f>
        <v>341.33333333333331</v>
      </c>
      <c r="I438" s="14">
        <f>167.1*(2/3*10)</f>
        <v>1113.9999999999998</v>
      </c>
      <c r="K438" s="15">
        <v>435</v>
      </c>
      <c r="L438">
        <f t="shared" si="6"/>
        <v>3</v>
      </c>
    </row>
    <row r="439" spans="1:12" ht="16.5" x14ac:dyDescent="0.2">
      <c r="A439" s="4" t="s">
        <v>298</v>
      </c>
      <c r="B439">
        <v>2012</v>
      </c>
      <c r="C439" s="14">
        <f>1390.6*(2/3*10)</f>
        <v>9270.6666666666661</v>
      </c>
      <c r="D439" s="14">
        <f>14.1*(2/3*10)</f>
        <v>93.999999999999986</v>
      </c>
      <c r="E439" s="14">
        <f>2343.4*(2/3*10)</f>
        <v>15622.666666666666</v>
      </c>
      <c r="F439" s="14">
        <f>6.9*(2/3*10)</f>
        <v>46</v>
      </c>
      <c r="G439" s="14">
        <f>165*(2/3*10)</f>
        <v>1100</v>
      </c>
      <c r="H439" s="14">
        <f>51.4*(2/3*10)</f>
        <v>342.66666666666663</v>
      </c>
      <c r="I439" s="14">
        <f>167*(2/3*10)</f>
        <v>1113.3333333333333</v>
      </c>
      <c r="K439">
        <v>436</v>
      </c>
      <c r="L439">
        <f t="shared" si="6"/>
        <v>4</v>
      </c>
    </row>
    <row r="440" spans="1:12" ht="16.5" x14ac:dyDescent="0.2">
      <c r="A440" s="4" t="s">
        <v>298</v>
      </c>
      <c r="B440">
        <v>2013</v>
      </c>
      <c r="C440" s="14">
        <f>1389.2*(2/3*10)</f>
        <v>9261.3333333333321</v>
      </c>
      <c r="D440" s="14">
        <f>14.1*(2/3*10)</f>
        <v>93.999999999999986</v>
      </c>
      <c r="E440" s="14">
        <f>2343.1*(2/3*10)</f>
        <v>15620.666666666664</v>
      </c>
      <c r="F440" s="14">
        <f>6.8*(2/3*10)</f>
        <v>45.333333333333329</v>
      </c>
      <c r="G440" s="14">
        <f>166.4*(2/3*10)</f>
        <v>1109.333333333333</v>
      </c>
      <c r="H440" s="14">
        <f>51.7*(2/3*10)</f>
        <v>344.66666666666663</v>
      </c>
      <c r="I440" s="14">
        <f>167*(2/3*10)</f>
        <v>1113.3333333333333</v>
      </c>
      <c r="K440" s="15">
        <v>437</v>
      </c>
      <c r="L440">
        <f t="shared" si="6"/>
        <v>5</v>
      </c>
    </row>
    <row r="441" spans="1:12" ht="16.5" x14ac:dyDescent="0.2">
      <c r="A441" s="4" t="s">
        <v>298</v>
      </c>
      <c r="B441">
        <v>2014</v>
      </c>
      <c r="C441" s="14">
        <f>1388.4*(2/3*10)</f>
        <v>9256</v>
      </c>
      <c r="D441" s="14">
        <f>14.1*(2/3*10)</f>
        <v>93.999999999999986</v>
      </c>
      <c r="E441" s="14">
        <f>2342.9*(2/3*10)</f>
        <v>15619.333333333332</v>
      </c>
      <c r="F441" s="14">
        <f>6.8*(2/3*10)</f>
        <v>45.333333333333329</v>
      </c>
      <c r="G441" s="14">
        <f>167.4*(2/3*10)</f>
        <v>1116</v>
      </c>
      <c r="H441" s="14">
        <f>51.7*(2/3*10)</f>
        <v>344.66666666666663</v>
      </c>
      <c r="I441" s="14">
        <f>167*(2/3*10)</f>
        <v>1113.3333333333333</v>
      </c>
      <c r="K441">
        <v>438</v>
      </c>
      <c r="L441">
        <f t="shared" si="6"/>
        <v>6</v>
      </c>
    </row>
    <row r="442" spans="1:12" ht="16.5" x14ac:dyDescent="0.2">
      <c r="A442" s="4" t="s">
        <v>298</v>
      </c>
      <c r="B442">
        <v>2015</v>
      </c>
      <c r="C442" s="14">
        <f>1387.1*(2/3*10)</f>
        <v>9247.3333333333321</v>
      </c>
      <c r="D442" s="14">
        <f>14.1*(2/3*10)</f>
        <v>93.999999999999986</v>
      </c>
      <c r="E442" s="14">
        <f>2342.6*(2/3*10)</f>
        <v>15617.333333333332</v>
      </c>
      <c r="F442" s="14">
        <f>6.8*(2/3*10)</f>
        <v>45.333333333333329</v>
      </c>
      <c r="G442" s="14">
        <f>168.8*(2/3*10)</f>
        <v>1125.333333333333</v>
      </c>
      <c r="H442" s="14">
        <f>51.9*(2/3*10)</f>
        <v>345.99999999999994</v>
      </c>
      <c r="I442" s="14">
        <f>166.9*(2/3*10)</f>
        <v>1112.6666666666665</v>
      </c>
      <c r="K442" s="15">
        <v>439</v>
      </c>
      <c r="L442">
        <f t="shared" si="6"/>
        <v>7</v>
      </c>
    </row>
    <row r="443" spans="1:12" ht="16.5" x14ac:dyDescent="0.2">
      <c r="A443" s="4" t="s">
        <v>298</v>
      </c>
      <c r="B443">
        <v>2016</v>
      </c>
      <c r="C443" s="14">
        <f>1386*(2/3*10)</f>
        <v>9240</v>
      </c>
      <c r="D443" s="14">
        <f>14*(2/3*10)</f>
        <v>93.333333333333329</v>
      </c>
      <c r="E443" s="14">
        <f>2341.9*(2/3*10)</f>
        <v>15612.666666666666</v>
      </c>
      <c r="F443" s="14">
        <f>6.7*(2/3*10)</f>
        <v>44.666666666666664</v>
      </c>
      <c r="G443" s="14">
        <f>169.4*(2/3*10)</f>
        <v>1129.3333333333333</v>
      </c>
      <c r="H443" s="14">
        <f>52.7*(2/3*10)</f>
        <v>351.33333333333331</v>
      </c>
      <c r="I443" s="14">
        <f>167.3*(2/3*10)</f>
        <v>1115.3333333333333</v>
      </c>
      <c r="K443">
        <v>440</v>
      </c>
      <c r="L443">
        <f t="shared" si="6"/>
        <v>0</v>
      </c>
    </row>
    <row r="444" spans="1:12" ht="16.5" x14ac:dyDescent="0.2">
      <c r="A444" s="4" t="s">
        <v>297</v>
      </c>
      <c r="B444">
        <v>2009</v>
      </c>
      <c r="C444" s="14">
        <f>1460.3*(2/3*10)</f>
        <v>9735.3333333333321</v>
      </c>
      <c r="D444" s="14">
        <f>8*(2/3*10)</f>
        <v>53.333333333333329</v>
      </c>
      <c r="E444" s="14">
        <f>323.6*(2/3*10)</f>
        <v>2157.3333333333335</v>
      </c>
      <c r="F444" s="14">
        <f>24.8*(2/3*10)</f>
        <v>165.33333333333331</v>
      </c>
      <c r="G444" s="14">
        <f>170.9*(2/3*10)</f>
        <v>1139.3333333333333</v>
      </c>
      <c r="H444" s="14">
        <f>65.5*(2/3*10)</f>
        <v>436.66666666666663</v>
      </c>
      <c r="I444" s="14">
        <f>67.4*(2/3*10)</f>
        <v>449.33333333333331</v>
      </c>
      <c r="K444" s="15">
        <v>441</v>
      </c>
      <c r="L444">
        <f t="shared" si="6"/>
        <v>1</v>
      </c>
    </row>
    <row r="445" spans="1:12" ht="16.5" x14ac:dyDescent="0.2">
      <c r="A445" s="4" t="s">
        <v>297</v>
      </c>
      <c r="B445">
        <v>2010</v>
      </c>
      <c r="C445" s="14">
        <f>1459.1*(2/3*10)</f>
        <v>9727.3333333333321</v>
      </c>
      <c r="D445" s="14">
        <f>8*(2/3*10)</f>
        <v>53.333333333333329</v>
      </c>
      <c r="E445" s="14">
        <f>323.5*(2/3*10)</f>
        <v>2156.6666666666665</v>
      </c>
      <c r="F445" s="14">
        <f>24.6*(2/3*10)</f>
        <v>164</v>
      </c>
      <c r="G445" s="14">
        <f>171.5*(2/3*10)</f>
        <v>1143.333333333333</v>
      </c>
      <c r="H445" s="14">
        <f>65.4*(2/3*10)</f>
        <v>436</v>
      </c>
      <c r="I445" s="14">
        <f>68.8*(2/3*10)</f>
        <v>458.66666666666663</v>
      </c>
      <c r="K445">
        <v>442</v>
      </c>
      <c r="L445">
        <f t="shared" si="6"/>
        <v>2</v>
      </c>
    </row>
    <row r="446" spans="1:12" ht="16.5" x14ac:dyDescent="0.2">
      <c r="A446" s="4" t="s">
        <v>297</v>
      </c>
      <c r="B446">
        <v>2011</v>
      </c>
      <c r="C446" s="14">
        <f>1459.3*(2/3*10)</f>
        <v>9728.6666666666661</v>
      </c>
      <c r="D446" s="14">
        <f>7.9*(2/3*10)</f>
        <v>52.666666666666664</v>
      </c>
      <c r="E446" s="14">
        <f>323.4*(2/3*10)</f>
        <v>2155.9999999999995</v>
      </c>
      <c r="F446" s="14">
        <f>24.2*(2/3*10)</f>
        <v>161.33333333333331</v>
      </c>
      <c r="G446" s="14">
        <f>173.1*(2/3*10)</f>
        <v>1154</v>
      </c>
      <c r="H446" s="14">
        <f>65.7*(2/3*10)</f>
        <v>438</v>
      </c>
      <c r="I446" s="14">
        <f>68.9*(2/3*10)</f>
        <v>459.33333333333331</v>
      </c>
      <c r="K446" s="15">
        <v>443</v>
      </c>
      <c r="L446">
        <f t="shared" si="6"/>
        <v>3</v>
      </c>
    </row>
    <row r="447" spans="1:12" ht="16.5" x14ac:dyDescent="0.2">
      <c r="A447" s="4" t="s">
        <v>297</v>
      </c>
      <c r="B447">
        <v>2012</v>
      </c>
      <c r="C447" s="14">
        <f>1458.2*(2/3*10)</f>
        <v>9721.3333333333321</v>
      </c>
      <c r="D447" s="14">
        <f>7.9*(2/3*10)</f>
        <v>52.666666666666664</v>
      </c>
      <c r="E447" s="14">
        <f>323.3*(2/3*10)</f>
        <v>2155.333333333333</v>
      </c>
      <c r="F447" s="14">
        <f>24.2*(2/3*10)</f>
        <v>161.33333333333331</v>
      </c>
      <c r="G447" s="14">
        <f>173.9*(2/3*10)</f>
        <v>1159.3333333333333</v>
      </c>
      <c r="H447" s="14">
        <f>65.9*(2/3*10)</f>
        <v>439.33333333333331</v>
      </c>
      <c r="I447" s="14">
        <f>68.9*(2/3*10)</f>
        <v>459.33333333333331</v>
      </c>
      <c r="K447">
        <v>444</v>
      </c>
      <c r="L447">
        <f t="shared" si="6"/>
        <v>4</v>
      </c>
    </row>
    <row r="448" spans="1:12" ht="16.5" x14ac:dyDescent="0.2">
      <c r="A448" s="4" t="s">
        <v>297</v>
      </c>
      <c r="B448">
        <v>2013</v>
      </c>
      <c r="C448" s="14">
        <f>1455.9*(2/3*10)</f>
        <v>9706</v>
      </c>
      <c r="D448" s="14">
        <f>7.9*(2/3*10)</f>
        <v>52.666666666666664</v>
      </c>
      <c r="E448" s="14">
        <f>322.7*(2/3*10)</f>
        <v>2151.333333333333</v>
      </c>
      <c r="F448" s="14">
        <f>24.1*(2/3*10)</f>
        <v>160.66666666666666</v>
      </c>
      <c r="G448" s="14">
        <f>174.9*(2/3*10)</f>
        <v>1166.0000000000002</v>
      </c>
      <c r="H448" s="14">
        <f>67.6*(2/3*10)</f>
        <v>450.66666666666657</v>
      </c>
      <c r="I448" s="14">
        <f>69.5*(2/3*10)</f>
        <v>463.33333333333331</v>
      </c>
      <c r="K448" s="15">
        <v>445</v>
      </c>
      <c r="L448">
        <f t="shared" si="6"/>
        <v>5</v>
      </c>
    </row>
    <row r="449" spans="1:12" ht="16.5" x14ac:dyDescent="0.2">
      <c r="A449" s="4" t="s">
        <v>297</v>
      </c>
      <c r="B449">
        <v>2014</v>
      </c>
      <c r="C449" s="14">
        <f>1455.4*(2/3*10)</f>
        <v>9702.6666666666661</v>
      </c>
      <c r="D449" s="14">
        <f>7.9*(2/3*10)</f>
        <v>52.666666666666664</v>
      </c>
      <c r="E449" s="14">
        <f>322.6*(2/3*10)</f>
        <v>2150.6666666666665</v>
      </c>
      <c r="F449" s="14">
        <f>24*(2/3*10)</f>
        <v>160</v>
      </c>
      <c r="G449" s="14">
        <f>175.9*(2/3*10)</f>
        <v>1172.6666666666665</v>
      </c>
      <c r="H449" s="14">
        <f>67.7*(2/3*10)</f>
        <v>451.33333333333331</v>
      </c>
      <c r="I449" s="14">
        <f>69.4*(2/3*10)</f>
        <v>462.66666666666669</v>
      </c>
      <c r="K449">
        <v>446</v>
      </c>
      <c r="L449">
        <f t="shared" si="6"/>
        <v>6</v>
      </c>
    </row>
    <row r="450" spans="1:12" ht="16.5" x14ac:dyDescent="0.2">
      <c r="A450" s="4" t="s">
        <v>297</v>
      </c>
      <c r="B450">
        <v>2015</v>
      </c>
      <c r="C450" s="14">
        <f>1454.4*(2/3*10)</f>
        <v>9696</v>
      </c>
      <c r="D450" s="14">
        <f>7.9*(2/3*10)</f>
        <v>52.666666666666664</v>
      </c>
      <c r="E450" s="14">
        <f>322.5*(2/3*10)</f>
        <v>2150</v>
      </c>
      <c r="F450" s="14">
        <f>24*(2/3*10)</f>
        <v>160</v>
      </c>
      <c r="G450" s="14">
        <f>176.7*(2/3*10)</f>
        <v>1178</v>
      </c>
      <c r="H450" s="14">
        <f>67.8*(2/3*10)</f>
        <v>451.99999999999994</v>
      </c>
      <c r="I450" s="14">
        <f>69.4*(2/3*10)</f>
        <v>462.66666666666669</v>
      </c>
      <c r="K450" s="15">
        <v>447</v>
      </c>
      <c r="L450">
        <f t="shared" si="6"/>
        <v>7</v>
      </c>
    </row>
    <row r="451" spans="1:12" ht="16.5" x14ac:dyDescent="0.2">
      <c r="A451" s="4" t="s">
        <v>297</v>
      </c>
      <c r="B451">
        <v>2016</v>
      </c>
      <c r="C451" s="14">
        <f>1453.6*(2/3*10)</f>
        <v>9690.6666666666661</v>
      </c>
      <c r="D451" s="14">
        <f>7.9*(2/3*10)</f>
        <v>52.666666666666664</v>
      </c>
      <c r="E451" s="14">
        <f>322.5*(2/3*10)</f>
        <v>2150</v>
      </c>
      <c r="F451" s="14">
        <f>24*(2/3*10)</f>
        <v>160</v>
      </c>
      <c r="G451" s="14">
        <f>177.3*(2/3*10)</f>
        <v>1182</v>
      </c>
      <c r="H451" s="14">
        <f>67.9*(2/3*10)</f>
        <v>452.66666666666669</v>
      </c>
      <c r="I451" s="14">
        <f>69.4*(2/3*10)</f>
        <v>462.66666666666669</v>
      </c>
      <c r="K451">
        <v>448</v>
      </c>
      <c r="L451">
        <f t="shared" si="6"/>
        <v>0</v>
      </c>
    </row>
    <row r="452" spans="1:12" ht="16.5" x14ac:dyDescent="0.2">
      <c r="A452" s="4" t="s">
        <v>296</v>
      </c>
      <c r="B452">
        <v>2009</v>
      </c>
      <c r="C452" s="14">
        <f>389.6*(2/3*10)</f>
        <v>2597.333333333333</v>
      </c>
      <c r="D452" s="14">
        <f>3.3*(2/3*10)</f>
        <v>21.999999999999996</v>
      </c>
      <c r="E452" s="14">
        <f>286.1*(2/3*10)</f>
        <v>1907.3333333333333</v>
      </c>
      <c r="F452" s="14">
        <f>3.6*(2/3*10)</f>
        <v>24</v>
      </c>
      <c r="G452" s="14">
        <f>48.2*(2/3*10)</f>
        <v>321.33333333333326</v>
      </c>
      <c r="H452" s="14">
        <f>14.3*(2/3*10)</f>
        <v>95.333333333333329</v>
      </c>
      <c r="I452" s="14">
        <f>24.3*(2/3*10)</f>
        <v>162</v>
      </c>
      <c r="K452" s="15">
        <v>449</v>
      </c>
      <c r="L452">
        <f t="shared" si="6"/>
        <v>1</v>
      </c>
    </row>
    <row r="453" spans="1:12" ht="16.5" x14ac:dyDescent="0.2">
      <c r="A453" s="4" t="s">
        <v>296</v>
      </c>
      <c r="B453">
        <v>2010</v>
      </c>
      <c r="C453" s="14">
        <f>389.3*(2/3*10)</f>
        <v>2595.333333333333</v>
      </c>
      <c r="D453" s="14">
        <f>3.3*(2/3*10)</f>
        <v>21.999999999999996</v>
      </c>
      <c r="E453" s="14">
        <f>286.1*(2/3*10)</f>
        <v>1907.3333333333333</v>
      </c>
      <c r="F453" s="14">
        <f>3.5*(2/3*10)</f>
        <v>23.333333333333332</v>
      </c>
      <c r="G453" s="14">
        <f>48.3*(2/3*10)</f>
        <v>321.99999999999994</v>
      </c>
      <c r="H453" s="14">
        <f>14.3*(2/3*10)</f>
        <v>95.333333333333329</v>
      </c>
      <c r="I453" s="14">
        <f>24.3*(2/3*10)</f>
        <v>162</v>
      </c>
      <c r="K453">
        <v>450</v>
      </c>
      <c r="L453">
        <f t="shared" ref="L453:L516" si="7">MOD(K453,8)</f>
        <v>2</v>
      </c>
    </row>
    <row r="454" spans="1:12" ht="16.5" x14ac:dyDescent="0.2">
      <c r="A454" s="4" t="s">
        <v>296</v>
      </c>
      <c r="B454">
        <v>2011</v>
      </c>
      <c r="C454" s="14">
        <f>388.8*(2/3*10)</f>
        <v>2592</v>
      </c>
      <c r="D454" s="14">
        <f>3.3*(2/3*10)</f>
        <v>21.999999999999996</v>
      </c>
      <c r="E454" s="14">
        <f>285.9*(2/3*10)</f>
        <v>1905.9999999999998</v>
      </c>
      <c r="F454" s="14">
        <f>3.5*(2/3*10)</f>
        <v>23.333333333333332</v>
      </c>
      <c r="G454" s="14">
        <f>48.9*(2/3*10)</f>
        <v>325.99999999999994</v>
      </c>
      <c r="H454" s="14">
        <f>14.6*(2/3*10)</f>
        <v>97.333333333333329</v>
      </c>
      <c r="I454" s="14">
        <f>24.4*(2/3*10)</f>
        <v>162.66666666666663</v>
      </c>
      <c r="K454" s="15">
        <v>451</v>
      </c>
      <c r="L454">
        <f t="shared" si="7"/>
        <v>3</v>
      </c>
    </row>
    <row r="455" spans="1:12" ht="16.5" x14ac:dyDescent="0.2">
      <c r="A455" s="4" t="s">
        <v>296</v>
      </c>
      <c r="B455">
        <v>2012</v>
      </c>
      <c r="C455" s="14">
        <f>388.2*(2/3*10)</f>
        <v>2587.9999999999995</v>
      </c>
      <c r="D455" s="14">
        <f>3.3*(2/3*10)</f>
        <v>21.999999999999996</v>
      </c>
      <c r="E455" s="14">
        <f>285.9*(2/3*10)</f>
        <v>1905.9999999999998</v>
      </c>
      <c r="F455" s="14">
        <f>3.5*(2/3*10)</f>
        <v>23.333333333333332</v>
      </c>
      <c r="G455" s="14">
        <f>49.4*(2/3*10)</f>
        <v>329.33333333333331</v>
      </c>
      <c r="H455" s="14">
        <f>14.6*(2/3*10)</f>
        <v>97.333333333333329</v>
      </c>
      <c r="I455" s="14">
        <f>24.4*(2/3*10)</f>
        <v>162.66666666666663</v>
      </c>
      <c r="K455">
        <v>452</v>
      </c>
      <c r="L455">
        <f t="shared" si="7"/>
        <v>4</v>
      </c>
    </row>
    <row r="456" spans="1:12" ht="16.5" x14ac:dyDescent="0.2">
      <c r="A456" s="4" t="s">
        <v>296</v>
      </c>
      <c r="B456">
        <v>2013</v>
      </c>
      <c r="C456" s="14">
        <f>388*(2/3*10)</f>
        <v>2586.6666666666665</v>
      </c>
      <c r="D456" s="14">
        <f>3.3*(2/3*10)</f>
        <v>21.999999999999996</v>
      </c>
      <c r="E456" s="14">
        <f>285.8*(2/3*10)</f>
        <v>1905.3333333333333</v>
      </c>
      <c r="F456" s="14">
        <f>3.4*(2/3*10)</f>
        <v>22.666666666666664</v>
      </c>
      <c r="G456" s="14">
        <f>49.7*(2/3*10)</f>
        <v>331.33333333333326</v>
      </c>
      <c r="H456" s="14">
        <f>14.7*(2/3*10)</f>
        <v>97.999999999999986</v>
      </c>
      <c r="I456" s="14">
        <f>24.4*(2/3*10)</f>
        <v>162.66666666666663</v>
      </c>
      <c r="K456" s="15">
        <v>453</v>
      </c>
      <c r="L456">
        <f t="shared" si="7"/>
        <v>5</v>
      </c>
    </row>
    <row r="457" spans="1:12" ht="16.5" x14ac:dyDescent="0.2">
      <c r="A457" s="4" t="s">
        <v>296</v>
      </c>
      <c r="B457">
        <v>2014</v>
      </c>
      <c r="C457" s="14">
        <f>387.6*(2/3*10)</f>
        <v>2584</v>
      </c>
      <c r="D457" s="14">
        <f>3.3*(2/3*10)</f>
        <v>21.999999999999996</v>
      </c>
      <c r="E457" s="14">
        <f>285.7*(2/3*10)</f>
        <v>1904.6666666666665</v>
      </c>
      <c r="F457" s="14">
        <f>3.4*(2/3*10)</f>
        <v>22.666666666666664</v>
      </c>
      <c r="G457" s="14">
        <f>49.9*(2/3*10)</f>
        <v>332.66666666666663</v>
      </c>
      <c r="H457" s="14">
        <f>14.9*(2/3*10)</f>
        <v>99.333333333333329</v>
      </c>
      <c r="I457" s="14">
        <f>24.4*(2/3*10)</f>
        <v>162.66666666666663</v>
      </c>
      <c r="K457">
        <v>454</v>
      </c>
      <c r="L457">
        <f t="shared" si="7"/>
        <v>6</v>
      </c>
    </row>
    <row r="458" spans="1:12" ht="16.5" x14ac:dyDescent="0.2">
      <c r="A458" s="4" t="s">
        <v>296</v>
      </c>
      <c r="B458">
        <v>2015</v>
      </c>
      <c r="C458" s="14">
        <f>387.4*(2/3*10)</f>
        <v>2582.6666666666661</v>
      </c>
      <c r="D458" s="14">
        <f>3.3*(2/3*10)</f>
        <v>21.999999999999996</v>
      </c>
      <c r="E458" s="14">
        <f>285.6*(2/3*10)</f>
        <v>1904</v>
      </c>
      <c r="F458" s="14">
        <f>3.4*(2/3*10)</f>
        <v>22.666666666666664</v>
      </c>
      <c r="G458" s="14">
        <f>50*(2/3*10)</f>
        <v>333.33333333333326</v>
      </c>
      <c r="H458" s="14">
        <f>14.9*(2/3*10)</f>
        <v>99.333333333333329</v>
      </c>
      <c r="I458" s="14">
        <f>24.4*(2/3*10)</f>
        <v>162.66666666666663</v>
      </c>
      <c r="K458" s="15">
        <v>455</v>
      </c>
      <c r="L458">
        <f t="shared" si="7"/>
        <v>7</v>
      </c>
    </row>
    <row r="459" spans="1:12" ht="16.5" x14ac:dyDescent="0.2">
      <c r="A459" s="4" t="s">
        <v>296</v>
      </c>
      <c r="B459">
        <v>2016</v>
      </c>
      <c r="C459" s="14">
        <f>387.1*(2/3*10)</f>
        <v>2580.6666666666665</v>
      </c>
      <c r="D459" s="14">
        <f>3.3*(2/3*10)</f>
        <v>21.999999999999996</v>
      </c>
      <c r="E459" s="14">
        <f>285.6*(2/3*10)</f>
        <v>1904</v>
      </c>
      <c r="F459" s="14">
        <f>3.4*(2/3*10)</f>
        <v>22.666666666666664</v>
      </c>
      <c r="G459" s="14">
        <f>50.2*(2/3*10)</f>
        <v>334.66666666666663</v>
      </c>
      <c r="H459" s="14">
        <f>15*(2/3*10)</f>
        <v>99.999999999999986</v>
      </c>
      <c r="I459" s="14">
        <f>24.5*(2/3*10)</f>
        <v>163.33333333333331</v>
      </c>
      <c r="K459">
        <v>456</v>
      </c>
      <c r="L459">
        <f t="shared" si="7"/>
        <v>0</v>
      </c>
    </row>
    <row r="460" spans="1:12" ht="16.5" x14ac:dyDescent="0.2">
      <c r="A460" s="4" t="s">
        <v>295</v>
      </c>
      <c r="B460">
        <v>2009</v>
      </c>
      <c r="C460" s="14">
        <f>616.7*(2/3*10)</f>
        <v>4111.333333333333</v>
      </c>
      <c r="D460" s="14">
        <f>12.2*(2/3*10)</f>
        <v>81.333333333333314</v>
      </c>
      <c r="E460" s="14">
        <f>1525.8*(2/3*10)</f>
        <v>10171.999999999998</v>
      </c>
      <c r="F460" s="14">
        <f>12.2*(2/3*10)</f>
        <v>81.333333333333314</v>
      </c>
      <c r="G460" s="14">
        <f>72.1*(2/3*10)</f>
        <v>480.66666666666657</v>
      </c>
      <c r="H460" s="14">
        <f>24.9*(2/3*10)</f>
        <v>165.99999999999997</v>
      </c>
      <c r="I460" s="14">
        <f>70.7*(2/3*10)</f>
        <v>471.33333333333331</v>
      </c>
      <c r="K460" s="15">
        <v>457</v>
      </c>
      <c r="L460">
        <f t="shared" si="7"/>
        <v>1</v>
      </c>
    </row>
    <row r="461" spans="1:12" ht="16.5" x14ac:dyDescent="0.2">
      <c r="A461" s="4" t="s">
        <v>295</v>
      </c>
      <c r="B461">
        <v>2010</v>
      </c>
      <c r="C461" s="14">
        <f>608*(2/3*10)</f>
        <v>4053.333333333333</v>
      </c>
      <c r="D461" s="14">
        <f>12.2*(2/3*10)</f>
        <v>81.333333333333314</v>
      </c>
      <c r="E461" s="14">
        <f>1525.5*(2/3*10)</f>
        <v>10170</v>
      </c>
      <c r="F461" s="14">
        <f>12.1*(2/3*10)</f>
        <v>80.666666666666657</v>
      </c>
      <c r="G461" s="14">
        <f>72.8*(2/3*10)</f>
        <v>485.33333333333337</v>
      </c>
      <c r="H461" s="14">
        <f>24.9*(2/3*10)</f>
        <v>165.99999999999997</v>
      </c>
      <c r="I461" s="14">
        <f>71.2*(2/3*10)</f>
        <v>474.66666666666663</v>
      </c>
      <c r="K461">
        <v>458</v>
      </c>
      <c r="L461">
        <f t="shared" si="7"/>
        <v>2</v>
      </c>
    </row>
    <row r="462" spans="1:12" ht="16.5" x14ac:dyDescent="0.2">
      <c r="A462" s="4" t="s">
        <v>295</v>
      </c>
      <c r="B462">
        <v>2011</v>
      </c>
      <c r="C462" s="14">
        <f>616*(2/3*10)</f>
        <v>4106.6666666666661</v>
      </c>
      <c r="D462" s="14">
        <f>10.4*(2/3*10)</f>
        <v>69.333333333333329</v>
      </c>
      <c r="E462" s="14">
        <f>1525.8*(2/3*10)</f>
        <v>10171.999999999998</v>
      </c>
      <c r="F462" s="14">
        <f>12*(2/3*10)</f>
        <v>80</v>
      </c>
      <c r="G462" s="14">
        <f>73.9*(2/3*10)</f>
        <v>492.66666666666669</v>
      </c>
      <c r="H462" s="14">
        <f>25*(2/3*10)</f>
        <v>166.66666666666666</v>
      </c>
      <c r="I462" s="14">
        <f>71.2*(2/3*10)</f>
        <v>474.66666666666663</v>
      </c>
      <c r="K462" s="15">
        <v>459</v>
      </c>
      <c r="L462">
        <f t="shared" si="7"/>
        <v>3</v>
      </c>
    </row>
    <row r="463" spans="1:12" ht="16.5" x14ac:dyDescent="0.2">
      <c r="A463" s="4" t="s">
        <v>295</v>
      </c>
      <c r="B463">
        <v>2012</v>
      </c>
      <c r="C463" s="14">
        <f>614.5*(2/3*10)</f>
        <v>4096.6666666666661</v>
      </c>
      <c r="D463" s="14">
        <f>10.2*(2/3*10)</f>
        <v>67.999999999999986</v>
      </c>
      <c r="E463" s="14">
        <f>1526.3*(2/3*10)</f>
        <v>10175.333333333332</v>
      </c>
      <c r="F463" s="14">
        <f>12*(2/3*10)</f>
        <v>80</v>
      </c>
      <c r="G463" s="14">
        <f>75.1*(2/3*10)</f>
        <v>500.66666666666657</v>
      </c>
      <c r="H463" s="14">
        <f>25*(2/3*10)</f>
        <v>166.66666666666666</v>
      </c>
      <c r="I463" s="14">
        <f>71.1*(2/3*10)</f>
        <v>473.99999999999994</v>
      </c>
      <c r="K463">
        <v>460</v>
      </c>
      <c r="L463">
        <f t="shared" si="7"/>
        <v>4</v>
      </c>
    </row>
    <row r="464" spans="1:12" ht="16.5" x14ac:dyDescent="0.2">
      <c r="A464" s="4" t="s">
        <v>295</v>
      </c>
      <c r="B464">
        <v>2013</v>
      </c>
      <c r="C464" s="14">
        <f>611.8*(2/3*10)</f>
        <v>4078.6666666666661</v>
      </c>
      <c r="D464" s="14">
        <f>10.2*(2/3*10)</f>
        <v>67.999999999999986</v>
      </c>
      <c r="E464" s="14">
        <f>1525.6*(2/3*10)</f>
        <v>10170.666666666666</v>
      </c>
      <c r="F464" s="14">
        <f>12.3*(2/3*10)</f>
        <v>82</v>
      </c>
      <c r="G464" s="14">
        <f>76.6*(2/3*10)</f>
        <v>510.66666666666657</v>
      </c>
      <c r="H464" s="14">
        <f>25.8*(2/3*10)</f>
        <v>172</v>
      </c>
      <c r="I464" s="14">
        <f>71.2*(2/3*10)</f>
        <v>474.66666666666663</v>
      </c>
      <c r="K464" s="15">
        <v>461</v>
      </c>
      <c r="L464">
        <f t="shared" si="7"/>
        <v>5</v>
      </c>
    </row>
    <row r="465" spans="1:12" ht="16.5" x14ac:dyDescent="0.2">
      <c r="A465" s="4" t="s">
        <v>295</v>
      </c>
      <c r="B465">
        <v>2014</v>
      </c>
      <c r="C465" s="14">
        <f>610.8*(2/3*10)</f>
        <v>4071.9999999999995</v>
      </c>
      <c r="D465" s="14">
        <f>10.2*(2/3*10)</f>
        <v>67.999999999999986</v>
      </c>
      <c r="E465" s="14">
        <f>1525.2*(2/3*10)</f>
        <v>10168</v>
      </c>
      <c r="F465" s="14">
        <f>12.2*(2/3*10)</f>
        <v>81.333333333333314</v>
      </c>
      <c r="G465" s="14">
        <f>77.2*(2/3*10)</f>
        <v>514.66666666666652</v>
      </c>
      <c r="H465" s="14">
        <f>26.6*(2/3*10)</f>
        <v>177.33333333333331</v>
      </c>
      <c r="I465" s="14">
        <f>71.2*(2/3*10)</f>
        <v>474.66666666666663</v>
      </c>
      <c r="K465">
        <v>462</v>
      </c>
      <c r="L465">
        <f t="shared" si="7"/>
        <v>6</v>
      </c>
    </row>
    <row r="466" spans="1:12" ht="16.5" x14ac:dyDescent="0.2">
      <c r="A466" s="4" t="s">
        <v>295</v>
      </c>
      <c r="B466">
        <v>2015</v>
      </c>
      <c r="C466" s="14">
        <f>610.5*(2/3*10)</f>
        <v>4069.9999999999995</v>
      </c>
      <c r="D466" s="14">
        <f>10.2*(2/3*10)</f>
        <v>67.999999999999986</v>
      </c>
      <c r="E466" s="14">
        <f>1525*(2/3*10)</f>
        <v>10166.666666666666</v>
      </c>
      <c r="F466" s="14">
        <f>12.2*(2/3*10)</f>
        <v>81.333333333333314</v>
      </c>
      <c r="G466" s="14">
        <f>77.6*(2/3*10)</f>
        <v>517.33333333333337</v>
      </c>
      <c r="H466" s="14">
        <f>26.6*(2/3*10)</f>
        <v>177.33333333333331</v>
      </c>
      <c r="I466" s="14">
        <f>71.2*(2/3*10)</f>
        <v>474.66666666666663</v>
      </c>
      <c r="K466" s="15">
        <v>463</v>
      </c>
      <c r="L466">
        <f t="shared" si="7"/>
        <v>7</v>
      </c>
    </row>
    <row r="467" spans="1:12" ht="16.5" x14ac:dyDescent="0.2">
      <c r="A467" s="4" t="s">
        <v>295</v>
      </c>
      <c r="B467">
        <v>2016</v>
      </c>
      <c r="C467" s="14">
        <f>609.7*(2/3*10)</f>
        <v>4064.6666666666665</v>
      </c>
      <c r="D467" s="14">
        <f>10.2*(2/3*10)</f>
        <v>67.999999999999986</v>
      </c>
      <c r="E467" s="14">
        <f>1524.6*(2/3*10)</f>
        <v>10163.999999999998</v>
      </c>
      <c r="F467" s="14">
        <f>12.2*(2/3*10)</f>
        <v>81.333333333333314</v>
      </c>
      <c r="G467" s="14">
        <f>78.3*(2/3*10)</f>
        <v>521.99999999999989</v>
      </c>
      <c r="H467" s="14">
        <f>27.2*(2/3*10)</f>
        <v>181.33333333333331</v>
      </c>
      <c r="I467" s="14">
        <f>71.2*(2/3*10)</f>
        <v>474.66666666666663</v>
      </c>
      <c r="K467">
        <v>464</v>
      </c>
      <c r="L467">
        <f t="shared" si="7"/>
        <v>0</v>
      </c>
    </row>
    <row r="468" spans="1:12" ht="16.5" x14ac:dyDescent="0.2">
      <c r="A468" s="4" t="s">
        <v>294</v>
      </c>
      <c r="B468">
        <v>2009</v>
      </c>
      <c r="C468" s="14">
        <f>177.3*(2/3*10)</f>
        <v>1182</v>
      </c>
      <c r="D468" s="14">
        <f>23.3*(2/3*10)</f>
        <v>155.33333333333331</v>
      </c>
      <c r="E468" s="14">
        <f>2278.5*(2/3*10)</f>
        <v>15189.999999999998</v>
      </c>
      <c r="F468" s="14">
        <f>24.2*(2/3*10)</f>
        <v>161.33333333333331</v>
      </c>
      <c r="G468" s="14">
        <f>48.9*(2/3*10)</f>
        <v>325.99999999999989</v>
      </c>
      <c r="H468" s="14">
        <f>16.7*(2/3*10)</f>
        <v>111.33333333333331</v>
      </c>
      <c r="I468" s="14">
        <f>49.6*(2/3*10)</f>
        <v>330.66666666666663</v>
      </c>
      <c r="K468" s="15">
        <v>465</v>
      </c>
      <c r="L468">
        <f t="shared" si="7"/>
        <v>1</v>
      </c>
    </row>
    <row r="469" spans="1:12" ht="16.5" x14ac:dyDescent="0.2">
      <c r="A469" s="4" t="s">
        <v>294</v>
      </c>
      <c r="B469">
        <v>2010</v>
      </c>
      <c r="C469" s="14">
        <f>174.8*(2/3*10)</f>
        <v>1165.3333333333333</v>
      </c>
      <c r="D469" s="14">
        <f>23.3*(2/3*10)</f>
        <v>155.33333333333331</v>
      </c>
      <c r="E469" s="14">
        <f>2277.4*(2/3*10)</f>
        <v>15182.666666666666</v>
      </c>
      <c r="F469" s="14">
        <f>24.2*(2/3*10)</f>
        <v>161.33333333333331</v>
      </c>
      <c r="G469" s="14">
        <f>50*(2/3*10)</f>
        <v>333.33333333333331</v>
      </c>
      <c r="H469" s="14">
        <f>16.9*(2/3*10)</f>
        <v>112.66666666666664</v>
      </c>
      <c r="I469" s="14">
        <f>49.6*(2/3*10)</f>
        <v>330.66666666666663</v>
      </c>
      <c r="K469">
        <v>466</v>
      </c>
      <c r="L469">
        <f t="shared" si="7"/>
        <v>2</v>
      </c>
    </row>
    <row r="470" spans="1:12" ht="16.5" x14ac:dyDescent="0.2">
      <c r="A470" s="4" t="s">
        <v>294</v>
      </c>
      <c r="B470">
        <v>2011</v>
      </c>
      <c r="C470" s="14">
        <f>175.6*(2/3*10)</f>
        <v>1170.6666666666665</v>
      </c>
      <c r="D470" s="14">
        <f>23.2*(2/3*10)</f>
        <v>154.66666666666666</v>
      </c>
      <c r="E470" s="14">
        <f>2276.8*(2/3*10)</f>
        <v>15178.666666666666</v>
      </c>
      <c r="F470" s="14">
        <f>24.1*(2/3*10)</f>
        <v>160.66666666666666</v>
      </c>
      <c r="G470" s="14">
        <f>51.3*(2/3*10)</f>
        <v>342</v>
      </c>
      <c r="H470" s="14">
        <f>17.4*(2/3*10)</f>
        <v>115.99999999999999</v>
      </c>
      <c r="I470" s="14">
        <f>49.6*(2/3*10)</f>
        <v>330.66666666666663</v>
      </c>
      <c r="K470" s="15">
        <v>467</v>
      </c>
      <c r="L470">
        <f t="shared" si="7"/>
        <v>3</v>
      </c>
    </row>
    <row r="471" spans="1:12" ht="16.5" x14ac:dyDescent="0.2">
      <c r="A471" s="4" t="s">
        <v>294</v>
      </c>
      <c r="B471">
        <v>2012</v>
      </c>
      <c r="C471" s="14">
        <f>175.2*(2/3*10)</f>
        <v>1167.9999999999998</v>
      </c>
      <c r="D471" s="14">
        <f>23.2*(2/3*10)</f>
        <v>154.66666666666666</v>
      </c>
      <c r="E471" s="14">
        <f>2276.4*(2/3*10)</f>
        <v>15176</v>
      </c>
      <c r="F471" s="14">
        <f>24.1*(2/3*10)</f>
        <v>160.66666666666666</v>
      </c>
      <c r="G471" s="14">
        <f>51.9*(2/3*10)</f>
        <v>345.99999999999989</v>
      </c>
      <c r="H471" s="14">
        <f>17.5*(2/3*10)</f>
        <v>116.66666666666666</v>
      </c>
      <c r="I471" s="14">
        <f>49.6*(2/3*10)</f>
        <v>330.66666666666663</v>
      </c>
      <c r="K471">
        <v>468</v>
      </c>
      <c r="L471">
        <f t="shared" si="7"/>
        <v>4</v>
      </c>
    </row>
    <row r="472" spans="1:12" ht="16.5" x14ac:dyDescent="0.2">
      <c r="A472" s="4" t="s">
        <v>294</v>
      </c>
      <c r="B472">
        <v>2013</v>
      </c>
      <c r="C472" s="14">
        <f>175*(2/3*10)</f>
        <v>1166.6666666666665</v>
      </c>
      <c r="D472" s="14">
        <f>23.2*(2/3*10)</f>
        <v>154.66666666666666</v>
      </c>
      <c r="E472" s="14">
        <f>2276.3*(2/3*10)</f>
        <v>15175.333333333334</v>
      </c>
      <c r="F472" s="14">
        <f>24*(2/3*10)</f>
        <v>160</v>
      </c>
      <c r="G472" s="14">
        <f>52.2*(2/3*10)</f>
        <v>347.99999999999994</v>
      </c>
      <c r="H472" s="14">
        <f>17.6*(2/3*10)</f>
        <v>117.33333333333333</v>
      </c>
      <c r="I472" s="14">
        <f>49.6*(2/3*10)</f>
        <v>330.66666666666663</v>
      </c>
      <c r="K472" s="15">
        <v>469</v>
      </c>
      <c r="L472">
        <f t="shared" si="7"/>
        <v>5</v>
      </c>
    </row>
    <row r="473" spans="1:12" ht="16.5" x14ac:dyDescent="0.2">
      <c r="A473" s="4" t="s">
        <v>294</v>
      </c>
      <c r="B473">
        <v>2014</v>
      </c>
      <c r="C473" s="14">
        <f>174.8*(2/3*10)</f>
        <v>1165.3333333333333</v>
      </c>
      <c r="D473" s="14">
        <f>23.2*(2/3*10)</f>
        <v>154.66666666666666</v>
      </c>
      <c r="E473" s="14">
        <f>2275*(2/3*10)</f>
        <v>15166.666666666666</v>
      </c>
      <c r="F473" s="14">
        <f>24*(2/3*10)</f>
        <v>160</v>
      </c>
      <c r="G473" s="14">
        <f>52.3*(2/3*10)</f>
        <v>348.66666666666663</v>
      </c>
      <c r="H473" s="14">
        <f>18.9*(2/3*10)</f>
        <v>125.99999999999999</v>
      </c>
      <c r="I473" s="14">
        <f>49.6*(2/3*10)</f>
        <v>330.66666666666663</v>
      </c>
      <c r="K473">
        <v>470</v>
      </c>
      <c r="L473">
        <f t="shared" si="7"/>
        <v>6</v>
      </c>
    </row>
    <row r="474" spans="1:12" ht="16.5" x14ac:dyDescent="0.2">
      <c r="A474" s="4" t="s">
        <v>294</v>
      </c>
      <c r="B474">
        <v>2015</v>
      </c>
      <c r="C474" s="14">
        <f>174.6*(2/3*10)</f>
        <v>1163.9999999999998</v>
      </c>
      <c r="D474" s="14">
        <f>23.2*(2/3*10)</f>
        <v>154.66666666666666</v>
      </c>
      <c r="E474" s="14">
        <f>2274.6*(2/3*10)</f>
        <v>15163.999999999998</v>
      </c>
      <c r="F474" s="14">
        <f>24*(2/3*10)</f>
        <v>160</v>
      </c>
      <c r="G474" s="14">
        <f>52.7*(2/3*10)</f>
        <v>351.33333333333326</v>
      </c>
      <c r="H474" s="14">
        <f>19.3*(2/3*10)</f>
        <v>128.66666666666666</v>
      </c>
      <c r="I474" s="14">
        <f>49.6*(2/3*10)</f>
        <v>330.66666666666663</v>
      </c>
      <c r="K474" s="15">
        <v>471</v>
      </c>
      <c r="L474">
        <f t="shared" si="7"/>
        <v>7</v>
      </c>
    </row>
    <row r="475" spans="1:12" ht="16.5" x14ac:dyDescent="0.2">
      <c r="A475" s="4" t="s">
        <v>294</v>
      </c>
      <c r="B475">
        <v>2016</v>
      </c>
      <c r="C475" s="14">
        <f>174.5*(2/3*10)</f>
        <v>1163.3333333333333</v>
      </c>
      <c r="D475" s="14">
        <f>23.2*(2/3*10)</f>
        <v>154.66666666666666</v>
      </c>
      <c r="E475" s="14">
        <f>2274.4*(2/3*10)</f>
        <v>15162.666666666666</v>
      </c>
      <c r="F475" s="14">
        <f>24*(2/3*10)</f>
        <v>160</v>
      </c>
      <c r="G475" s="14">
        <f>52.8*(2/3*10)</f>
        <v>352</v>
      </c>
      <c r="H475" s="14">
        <f>19.4*(2/3*10)</f>
        <v>129.33333333333331</v>
      </c>
      <c r="I475" s="14">
        <f>49.5*(2/3*10)</f>
        <v>329.99999999999994</v>
      </c>
      <c r="K475">
        <v>472</v>
      </c>
      <c r="L475">
        <f t="shared" si="7"/>
        <v>0</v>
      </c>
    </row>
    <row r="476" spans="1:12" ht="16.5" x14ac:dyDescent="0.2">
      <c r="A476" s="4" t="s">
        <v>293</v>
      </c>
      <c r="B476">
        <v>2009</v>
      </c>
      <c r="C476" s="14">
        <f>1888.9*(2/3*10)</f>
        <v>12592.666666666666</v>
      </c>
      <c r="D476" s="14">
        <f>4.6*(2/3*10)</f>
        <v>30.666666666666661</v>
      </c>
      <c r="E476" s="14">
        <f>343.2*(2/3*10)</f>
        <v>2287.9999999999995</v>
      </c>
      <c r="F476" s="14">
        <f>341*(2/3*10)</f>
        <v>2273.333333333333</v>
      </c>
      <c r="G476" s="14">
        <f>161.5*(2/3*10)</f>
        <v>1076.6666666666665</v>
      </c>
      <c r="H476" s="14">
        <f>59.3*(2/3*10)</f>
        <v>395.33333333333326</v>
      </c>
      <c r="I476" s="14">
        <f>176.3*(2/3*10)</f>
        <v>1175.3333333333333</v>
      </c>
      <c r="K476" s="15">
        <v>473</v>
      </c>
      <c r="L476">
        <f t="shared" si="7"/>
        <v>1</v>
      </c>
    </row>
    <row r="477" spans="1:12" ht="16.5" x14ac:dyDescent="0.2">
      <c r="A477" s="4" t="s">
        <v>293</v>
      </c>
      <c r="B477">
        <v>2010</v>
      </c>
      <c r="C477" s="14">
        <f>1889.2*(2/3*10)</f>
        <v>12594.666666666666</v>
      </c>
      <c r="D477" s="14">
        <f>4.6*(2/3*10)</f>
        <v>30.666666666666661</v>
      </c>
      <c r="E477" s="14">
        <f>343.1*(2/3*10)</f>
        <v>2287.3333333333335</v>
      </c>
      <c r="F477" s="14">
        <f>338.5*(2/3*10)</f>
        <v>2256.6666666666665</v>
      </c>
      <c r="G477" s="14">
        <f>162.2*(2/3*10)</f>
        <v>1081.3333333333333</v>
      </c>
      <c r="H477" s="14">
        <f>59.5*(2/3*10)</f>
        <v>396.66666666666663</v>
      </c>
      <c r="I477" s="14">
        <f>177.9*(2/3*10)</f>
        <v>1186</v>
      </c>
      <c r="K477">
        <v>474</v>
      </c>
      <c r="L477">
        <f t="shared" si="7"/>
        <v>2</v>
      </c>
    </row>
    <row r="478" spans="1:12" ht="16.5" x14ac:dyDescent="0.2">
      <c r="A478" s="4" t="s">
        <v>293</v>
      </c>
      <c r="B478">
        <v>2011</v>
      </c>
      <c r="C478" s="14">
        <f>1888*(2/3*10)</f>
        <v>12586.666666666666</v>
      </c>
      <c r="D478" s="14">
        <f>4.6*(2/3*10)</f>
        <v>30.666666666666661</v>
      </c>
      <c r="E478" s="14">
        <f>342.9*(2/3*10)</f>
        <v>2285.9999999999995</v>
      </c>
      <c r="F478" s="14">
        <f>338.4*(2/3*10)</f>
        <v>2255.9999999999995</v>
      </c>
      <c r="G478" s="14">
        <f>163.1*(2/3*10)</f>
        <v>1087.3333333333333</v>
      </c>
      <c r="H478" s="14">
        <f>60.2*(2/3*10)</f>
        <v>401.33333333333331</v>
      </c>
      <c r="I478" s="14">
        <f>177.9*(2/3*10)</f>
        <v>1186</v>
      </c>
      <c r="K478" s="15">
        <v>475</v>
      </c>
      <c r="L478">
        <f t="shared" si="7"/>
        <v>3</v>
      </c>
    </row>
    <row r="479" spans="1:12" ht="16.5" x14ac:dyDescent="0.2">
      <c r="A479" s="4" t="s">
        <v>293</v>
      </c>
      <c r="B479">
        <v>2012</v>
      </c>
      <c r="C479" s="14">
        <f>1889.5*(2/3*10)</f>
        <v>12596.666666666666</v>
      </c>
      <c r="D479" s="14">
        <f>4.6*(2/3*10)</f>
        <v>30.666666666666661</v>
      </c>
      <c r="E479" s="14">
        <f>342.8*(2/3*10)</f>
        <v>2285.333333333333</v>
      </c>
      <c r="F479" s="14">
        <f>336.6*(2/3*10)</f>
        <v>2244</v>
      </c>
      <c r="G479" s="14">
        <f>164*(2/3*10)</f>
        <v>1093.3333333333335</v>
      </c>
      <c r="H479" s="14">
        <f>60.3*(2/3*10)</f>
        <v>401.99999999999994</v>
      </c>
      <c r="I479" s="14">
        <f>177.8*(2/3*10)</f>
        <v>1185.3333333333333</v>
      </c>
      <c r="K479">
        <v>476</v>
      </c>
      <c r="L479">
        <f t="shared" si="7"/>
        <v>4</v>
      </c>
    </row>
    <row r="480" spans="1:12" ht="16.5" x14ac:dyDescent="0.2">
      <c r="A480" s="4" t="s">
        <v>293</v>
      </c>
      <c r="B480">
        <v>2013</v>
      </c>
      <c r="C480" s="14">
        <f>1889.1*(2/3*10)</f>
        <v>12593.999999999998</v>
      </c>
      <c r="D480" s="14">
        <f>4.6*(2/3*10)</f>
        <v>30.666666666666661</v>
      </c>
      <c r="E480" s="14">
        <f>342.7*(2/3*10)</f>
        <v>2284.6666666666665</v>
      </c>
      <c r="F480" s="14">
        <f>335.8*(2/3*10)</f>
        <v>2238.6666666666665</v>
      </c>
      <c r="G480" s="14">
        <f>165*(2/3*10)</f>
        <v>1100</v>
      </c>
      <c r="H480" s="14">
        <f>60.5*(2/3*10)</f>
        <v>403.33333333333331</v>
      </c>
      <c r="I480" s="14">
        <f>177.8*(2/3*10)</f>
        <v>1185.3333333333333</v>
      </c>
      <c r="K480" s="15">
        <v>477</v>
      </c>
      <c r="L480">
        <f t="shared" si="7"/>
        <v>5</v>
      </c>
    </row>
    <row r="481" spans="1:12" ht="16.5" x14ac:dyDescent="0.2">
      <c r="A481" s="4" t="s">
        <v>293</v>
      </c>
      <c r="B481">
        <v>2014</v>
      </c>
      <c r="C481" s="14">
        <f>1888.4*(2/3*10)</f>
        <v>12589.333333333332</v>
      </c>
      <c r="D481" s="14">
        <f>4.5*(2/3*10)</f>
        <v>29.999999999999996</v>
      </c>
      <c r="E481" s="14">
        <f>342.6*(2/3*10)</f>
        <v>2284</v>
      </c>
      <c r="F481" s="14">
        <f>335.5*(2/3*10)</f>
        <v>2236.6666666666665</v>
      </c>
      <c r="G481" s="14">
        <f>165.8*(2/3*10)</f>
        <v>1105.3333333333333</v>
      </c>
      <c r="H481" s="14">
        <f>60.6*(2/3*10)</f>
        <v>404</v>
      </c>
      <c r="I481" s="14">
        <f>177.7*(2/3*10)</f>
        <v>1184.6666666666665</v>
      </c>
      <c r="K481">
        <v>478</v>
      </c>
      <c r="L481">
        <f t="shared" si="7"/>
        <v>6</v>
      </c>
    </row>
    <row r="482" spans="1:12" ht="16.5" x14ac:dyDescent="0.2">
      <c r="A482" s="4" t="s">
        <v>293</v>
      </c>
      <c r="B482">
        <v>2015</v>
      </c>
      <c r="C482" s="14">
        <f>1888*(2/3*10)</f>
        <v>12586.666666666666</v>
      </c>
      <c r="D482" s="14">
        <f>4.6*(2/3*10)</f>
        <v>30.666666666666661</v>
      </c>
      <c r="E482" s="14">
        <f>342.6*(2/3*10)</f>
        <v>2284</v>
      </c>
      <c r="F482" s="14">
        <f>335.2*(2/3*10)</f>
        <v>2234.6666666666665</v>
      </c>
      <c r="G482" s="14">
        <f>166.3*(2/3*10)</f>
        <v>1108.6666666666667</v>
      </c>
      <c r="H482" s="14">
        <f>60.8*(2/3*10)</f>
        <v>405.33333333333326</v>
      </c>
      <c r="I482" s="14">
        <f>177.8*(2/3*10)</f>
        <v>1185.3333333333333</v>
      </c>
      <c r="K482" s="15">
        <v>479</v>
      </c>
      <c r="L482">
        <f t="shared" si="7"/>
        <v>7</v>
      </c>
    </row>
    <row r="483" spans="1:12" ht="16.5" x14ac:dyDescent="0.2">
      <c r="A483" s="4" t="s">
        <v>293</v>
      </c>
      <c r="B483">
        <v>2016</v>
      </c>
      <c r="C483" s="14">
        <f>1886.9*(2/3*10)</f>
        <v>12579.333333333332</v>
      </c>
      <c r="D483" s="14">
        <f>4.7*(2/3*10)</f>
        <v>31.333333333333332</v>
      </c>
      <c r="E483" s="14">
        <f>342.3*(2/3*10)</f>
        <v>2282</v>
      </c>
      <c r="F483" s="14">
        <f>334.5*(2/3*10)</f>
        <v>2230</v>
      </c>
      <c r="G483" s="14">
        <f>166.6*(2/3*10)</f>
        <v>1110.6666666666665</v>
      </c>
      <c r="H483" s="14">
        <f>61.5*(2/3*10)</f>
        <v>409.99999999999994</v>
      </c>
      <c r="I483" s="14">
        <f>178.9*(2/3*10)</f>
        <v>1192.6666666666665</v>
      </c>
      <c r="K483">
        <v>480</v>
      </c>
      <c r="L483">
        <f t="shared" si="7"/>
        <v>0</v>
      </c>
    </row>
    <row r="484" spans="1:12" ht="16.5" x14ac:dyDescent="0.2">
      <c r="A484" s="4" t="s">
        <v>292</v>
      </c>
      <c r="B484">
        <v>2009</v>
      </c>
      <c r="C484" s="14">
        <f>1755.3*(2/3*10)</f>
        <v>11701.999999999998</v>
      </c>
      <c r="D484" s="14">
        <f>9.2*(2/3*10)</f>
        <v>61.333333333333321</v>
      </c>
      <c r="E484" s="14">
        <f>484.9*(2/3*10)</f>
        <v>3232.6666666666661</v>
      </c>
      <c r="F484" s="14">
        <f>487.2*(2/3*10)</f>
        <v>3247.9999999999995</v>
      </c>
      <c r="G484" s="14">
        <f>135.1*(2/3*10)</f>
        <v>900.66666666666652</v>
      </c>
      <c r="H484" s="14">
        <f>79.2*(2/3*10)</f>
        <v>528</v>
      </c>
      <c r="I484" s="14">
        <f>274.4*(2/3*10)</f>
        <v>1829.333333333333</v>
      </c>
      <c r="K484" s="15">
        <v>481</v>
      </c>
      <c r="L484">
        <f t="shared" si="7"/>
        <v>1</v>
      </c>
    </row>
    <row r="485" spans="1:12" ht="16.5" x14ac:dyDescent="0.2">
      <c r="A485" s="4" t="s">
        <v>292</v>
      </c>
      <c r="B485">
        <v>2010</v>
      </c>
      <c r="C485" s="14">
        <f>1767.8*(2/3*10)</f>
        <v>11785.333333333332</v>
      </c>
      <c r="D485" s="14">
        <f>9.3*(2/3*10)</f>
        <v>62</v>
      </c>
      <c r="E485" s="14">
        <f>485.7*(2/3*10)</f>
        <v>3237.9999999999995</v>
      </c>
      <c r="F485" s="14">
        <f>483*(2/3*10)</f>
        <v>3219.9999999999995</v>
      </c>
      <c r="G485" s="14">
        <f>135.8*(2/3*10)</f>
        <v>905.33333333333337</v>
      </c>
      <c r="H485" s="14">
        <f>79.7*(2/3*10)</f>
        <v>531.33333333333326</v>
      </c>
      <c r="I485" s="14">
        <f>272.7*(2/3*10)</f>
        <v>1817.9999999999998</v>
      </c>
      <c r="K485">
        <v>482</v>
      </c>
      <c r="L485">
        <f t="shared" si="7"/>
        <v>2</v>
      </c>
    </row>
    <row r="486" spans="1:12" ht="16.5" x14ac:dyDescent="0.2">
      <c r="A486" s="4" t="s">
        <v>292</v>
      </c>
      <c r="B486">
        <v>2011</v>
      </c>
      <c r="C486" s="14">
        <f>1773.5*(2/3*10)</f>
        <v>11823.333333333332</v>
      </c>
      <c r="D486" s="14">
        <f>9.2*(2/3*10)</f>
        <v>61.333333333333321</v>
      </c>
      <c r="E486" s="14">
        <f>486.9*(2/3*10)</f>
        <v>3245.9999999999995</v>
      </c>
      <c r="F486" s="14">
        <f>478.5*(2/3*10)</f>
        <v>3189.9999999999995</v>
      </c>
      <c r="G486" s="14">
        <f>136.4*(2/3*10)</f>
        <v>909.33333333333314</v>
      </c>
      <c r="H486" s="14">
        <f>80.1*(2/3*10)</f>
        <v>533.99999999999989</v>
      </c>
      <c r="I486" s="14">
        <f>273.5*(2/3*10)</f>
        <v>1823.3333333333333</v>
      </c>
      <c r="K486" s="15">
        <v>483</v>
      </c>
      <c r="L486">
        <f t="shared" si="7"/>
        <v>3</v>
      </c>
    </row>
    <row r="487" spans="1:12" ht="16.5" x14ac:dyDescent="0.2">
      <c r="A487" s="4" t="s">
        <v>292</v>
      </c>
      <c r="B487">
        <v>2012</v>
      </c>
      <c r="C487" s="14">
        <f>1772.9*(2/3*10)</f>
        <v>11819.333333333332</v>
      </c>
      <c r="D487" s="14">
        <f>9.2*(2/3*10)</f>
        <v>61.333333333333321</v>
      </c>
      <c r="E487" s="14">
        <f>486.9*(2/3*10)</f>
        <v>3245.9999999999995</v>
      </c>
      <c r="F487" s="14">
        <f>478.2*(2/3*10)</f>
        <v>3187.9999999999995</v>
      </c>
      <c r="G487" s="14">
        <f>137*(2/3*10)</f>
        <v>913.33333333333326</v>
      </c>
      <c r="H487" s="14">
        <f>80.2*(2/3*10)</f>
        <v>534.66666666666663</v>
      </c>
      <c r="I487" s="14">
        <f>273.5*(2/3*10)</f>
        <v>1823.3333333333333</v>
      </c>
      <c r="K487">
        <v>484</v>
      </c>
      <c r="L487">
        <f t="shared" si="7"/>
        <v>4</v>
      </c>
    </row>
    <row r="488" spans="1:12" ht="16.5" x14ac:dyDescent="0.2">
      <c r="A488" s="4" t="s">
        <v>292</v>
      </c>
      <c r="B488">
        <v>2013</v>
      </c>
      <c r="C488" s="14">
        <f>1771.2*(2/3*10)</f>
        <v>11808</v>
      </c>
      <c r="D488" s="14">
        <f>9.2*(2/3*10)</f>
        <v>61.333333333333321</v>
      </c>
      <c r="E488" s="14">
        <f>486.8*(2/3*10)</f>
        <v>3245.333333333333</v>
      </c>
      <c r="F488" s="14">
        <f>478*(2/3*10)</f>
        <v>3186.6666666666665</v>
      </c>
      <c r="G488" s="14">
        <f>137.7*(2/3*10)</f>
        <v>917.99999999999989</v>
      </c>
      <c r="H488" s="14">
        <f>80.6*(2/3*10)</f>
        <v>537.33333333333326</v>
      </c>
      <c r="I488" s="14">
        <f>275.7*(2/3*10)</f>
        <v>1837.9999999999998</v>
      </c>
      <c r="K488" s="15">
        <v>485</v>
      </c>
      <c r="L488">
        <f t="shared" si="7"/>
        <v>5</v>
      </c>
    </row>
    <row r="489" spans="1:12" ht="16.5" x14ac:dyDescent="0.2">
      <c r="A489" s="4" t="s">
        <v>292</v>
      </c>
      <c r="B489">
        <v>2014</v>
      </c>
      <c r="C489" s="14">
        <f>1770.7*(2/3*10)</f>
        <v>11804.666666666666</v>
      </c>
      <c r="D489" s="14">
        <f>9.2*(2/3*10)</f>
        <v>61.333333333333321</v>
      </c>
      <c r="E489" s="14">
        <f>486.6*(2/3*10)</f>
        <v>3244</v>
      </c>
      <c r="F489" s="14">
        <f>477.3*(2/3*10)</f>
        <v>3182</v>
      </c>
      <c r="G489" s="14">
        <f>138.6*(2/3*10)</f>
        <v>924.00000000000011</v>
      </c>
      <c r="H489" s="14">
        <f>81.5*(2/3*10)</f>
        <v>543.33333333333326</v>
      </c>
      <c r="I489" s="14">
        <f>275.6*(2/3*10)</f>
        <v>1837.3333333333333</v>
      </c>
      <c r="K489">
        <v>486</v>
      </c>
      <c r="L489">
        <f t="shared" si="7"/>
        <v>6</v>
      </c>
    </row>
    <row r="490" spans="1:12" ht="16.5" x14ac:dyDescent="0.2">
      <c r="A490" s="4" t="s">
        <v>292</v>
      </c>
      <c r="B490">
        <v>2015</v>
      </c>
      <c r="C490" s="14">
        <f>1772.6*(2/3*10)</f>
        <v>11817.333333333332</v>
      </c>
      <c r="D490" s="14">
        <f>9.2*(2/3*10)</f>
        <v>61.333333333333321</v>
      </c>
      <c r="E490" s="14">
        <f>486.4*(2/3*10)</f>
        <v>3242.6666666666661</v>
      </c>
      <c r="F490" s="14">
        <f>476.7*(2/3*10)</f>
        <v>3177.9999999999995</v>
      </c>
      <c r="G490" s="14">
        <f>139.4*(2/3*10)</f>
        <v>929.33333333333326</v>
      </c>
      <c r="H490" s="14">
        <f>82*(2/3*10)</f>
        <v>546.66666666666663</v>
      </c>
      <c r="I490" s="14">
        <f>275.6*(2/3*10)</f>
        <v>1837.3333333333333</v>
      </c>
      <c r="K490" s="15">
        <v>487</v>
      </c>
      <c r="L490">
        <f t="shared" si="7"/>
        <v>7</v>
      </c>
    </row>
    <row r="491" spans="1:12" ht="16.5" x14ac:dyDescent="0.2">
      <c r="A491" s="4" t="s">
        <v>292</v>
      </c>
      <c r="B491">
        <v>2016</v>
      </c>
      <c r="C491" s="14">
        <f>1772.1*(2/3*10)</f>
        <v>11813.999999999998</v>
      </c>
      <c r="D491" s="14">
        <f>9.2*(2/3*10)</f>
        <v>61.333333333333321</v>
      </c>
      <c r="E491" s="14">
        <f>486.3*(2/3*10)</f>
        <v>3242</v>
      </c>
      <c r="F491" s="14">
        <f>476.1*(2/3*10)</f>
        <v>3174</v>
      </c>
      <c r="G491" s="14">
        <f>139.9*(2/3*10)</f>
        <v>932.66666666666663</v>
      </c>
      <c r="H491" s="14">
        <f>82.2*(2/3*10)</f>
        <v>548</v>
      </c>
      <c r="I491" s="14">
        <f>276.2*(2/3*10)</f>
        <v>1841.333333333333</v>
      </c>
      <c r="K491">
        <v>488</v>
      </c>
      <c r="L491">
        <f t="shared" si="7"/>
        <v>0</v>
      </c>
    </row>
    <row r="492" spans="1:12" ht="16.5" x14ac:dyDescent="0.2">
      <c r="A492" s="4" t="s">
        <v>291</v>
      </c>
      <c r="B492">
        <v>2009</v>
      </c>
      <c r="C492" s="14">
        <f>660.1*(2/3*10)</f>
        <v>4400.6666666666661</v>
      </c>
      <c r="D492" s="14">
        <f>24.9*(2/3*10)</f>
        <v>165.99999999999997</v>
      </c>
      <c r="E492" s="14">
        <f>5452.3*(2/3*10)</f>
        <v>36348.666666666664</v>
      </c>
      <c r="F492" s="14">
        <f>112.1*(2/3*10)</f>
        <v>747.33333333333326</v>
      </c>
      <c r="G492" s="14">
        <f>87.6*(2/3*10)</f>
        <v>583.99999999999989</v>
      </c>
      <c r="H492" s="14">
        <f>49.2*(2/3*10)</f>
        <v>328</v>
      </c>
      <c r="I492" s="14">
        <f>91*(2/3*10)</f>
        <v>606.66666666666663</v>
      </c>
      <c r="K492" s="15">
        <v>489</v>
      </c>
      <c r="L492">
        <f t="shared" si="7"/>
        <v>1</v>
      </c>
    </row>
    <row r="493" spans="1:12" ht="16.5" x14ac:dyDescent="0.2">
      <c r="A493" s="4" t="s">
        <v>291</v>
      </c>
      <c r="B493">
        <v>2010</v>
      </c>
      <c r="C493" s="14">
        <f>655.9*(2/3*10)</f>
        <v>4372.6666666666661</v>
      </c>
      <c r="D493" s="14">
        <f>24.8*(2/3*10)</f>
        <v>165.33333333333331</v>
      </c>
      <c r="E493" s="14">
        <f>5452*(2/3*10)</f>
        <v>36346.666666666664</v>
      </c>
      <c r="F493" s="14">
        <f>112*(2/3*10)</f>
        <v>746.66666666666663</v>
      </c>
      <c r="G493" s="14">
        <f>87.9*(2/3*10)</f>
        <v>586</v>
      </c>
      <c r="H493" s="14">
        <f>49.5*(2/3*10)</f>
        <v>329.99999999999994</v>
      </c>
      <c r="I493" s="14">
        <f>92.2*(2/3*10)</f>
        <v>614.66666666666663</v>
      </c>
      <c r="K493">
        <v>490</v>
      </c>
      <c r="L493">
        <f t="shared" si="7"/>
        <v>2</v>
      </c>
    </row>
    <row r="494" spans="1:12" ht="16.5" x14ac:dyDescent="0.2">
      <c r="A494" s="4" t="s">
        <v>291</v>
      </c>
      <c r="B494">
        <v>2011</v>
      </c>
      <c r="C494" s="14">
        <f>656.2*(2/3*10)</f>
        <v>4374.666666666667</v>
      </c>
      <c r="D494" s="14">
        <f>24.4*(2/3*10)</f>
        <v>162.66666666666663</v>
      </c>
      <c r="E494" s="14">
        <f>5450.9*(2/3*10)</f>
        <v>36339.333333333328</v>
      </c>
      <c r="F494" s="14">
        <f>111.3*(2/3*10)</f>
        <v>741.99999999999989</v>
      </c>
      <c r="G494" s="14">
        <f>89.7*(2/3*10)</f>
        <v>598</v>
      </c>
      <c r="H494" s="14">
        <f>50.9*(2/3*10)</f>
        <v>339.33333333333331</v>
      </c>
      <c r="I494" s="14">
        <f>92*(2/3*10)</f>
        <v>613.33333333333326</v>
      </c>
      <c r="K494" s="15">
        <v>491</v>
      </c>
      <c r="L494">
        <f t="shared" si="7"/>
        <v>3</v>
      </c>
    </row>
    <row r="495" spans="1:12" ht="16.5" x14ac:dyDescent="0.2">
      <c r="A495" s="4" t="s">
        <v>291</v>
      </c>
      <c r="B495">
        <v>2012</v>
      </c>
      <c r="C495" s="14">
        <f>656.3*(2/3*10)</f>
        <v>4375.333333333333</v>
      </c>
      <c r="D495" s="14">
        <f>24.4*(2/3*10)</f>
        <v>162.66666666666663</v>
      </c>
      <c r="E495" s="14">
        <f>5450.6*(2/3*10)</f>
        <v>36337.333333333336</v>
      </c>
      <c r="F495" s="14">
        <f>111.3*(2/3*10)</f>
        <v>741.99999999999989</v>
      </c>
      <c r="G495" s="14">
        <f>90.9*(2/3*10)</f>
        <v>605.99999999999989</v>
      </c>
      <c r="H495" s="14">
        <f>51*(2/3*10)</f>
        <v>339.99999999999994</v>
      </c>
      <c r="I495" s="14">
        <f>91.8*(2/3*10)</f>
        <v>611.99999999999989</v>
      </c>
      <c r="K495">
        <v>492</v>
      </c>
      <c r="L495">
        <f t="shared" si="7"/>
        <v>4</v>
      </c>
    </row>
    <row r="496" spans="1:12" ht="16.5" x14ac:dyDescent="0.2">
      <c r="A496" s="4" t="s">
        <v>291</v>
      </c>
      <c r="B496">
        <v>2013</v>
      </c>
      <c r="C496" s="14">
        <f>658*(2/3*10)</f>
        <v>4386.6666666666661</v>
      </c>
      <c r="D496" s="14">
        <f>24.4*(2/3*10)</f>
        <v>162.66666666666663</v>
      </c>
      <c r="E496" s="14">
        <f>5450.3*(2/3*10)</f>
        <v>36335.333333333328</v>
      </c>
      <c r="F496" s="14">
        <f>108.8*(2/3*10)</f>
        <v>725.33333333333326</v>
      </c>
      <c r="G496" s="14">
        <f>91.9*(2/3*10)</f>
        <v>612.66666666666663</v>
      </c>
      <c r="H496" s="14">
        <f>51.1*(2/3*10)</f>
        <v>340.66666666666663</v>
      </c>
      <c r="I496" s="14">
        <f>91.8*(2/3*10)</f>
        <v>611.99999999999989</v>
      </c>
      <c r="K496" s="15">
        <v>493</v>
      </c>
      <c r="L496">
        <f t="shared" si="7"/>
        <v>5</v>
      </c>
    </row>
    <row r="497" spans="1:12" ht="16.5" x14ac:dyDescent="0.2">
      <c r="A497" s="4" t="s">
        <v>291</v>
      </c>
      <c r="B497">
        <v>2014</v>
      </c>
      <c r="C497" s="14">
        <f>656.3*(2/3*10)</f>
        <v>4375.333333333333</v>
      </c>
      <c r="D497" s="14">
        <f>24.3*(2/3*10)</f>
        <v>162</v>
      </c>
      <c r="E497" s="14">
        <f>5449.1*(2/3*10)</f>
        <v>36327.333333333336</v>
      </c>
      <c r="F497" s="14">
        <f>108.7*(2/3*10)</f>
        <v>724.66666666666663</v>
      </c>
      <c r="G497" s="14">
        <f>92.6*(2/3*10)</f>
        <v>617.33333333333337</v>
      </c>
      <c r="H497" s="14">
        <f>52.8*(2/3*10)</f>
        <v>351.99999999999994</v>
      </c>
      <c r="I497" s="14">
        <f>92.1*(2/3*10)</f>
        <v>613.99999999999989</v>
      </c>
      <c r="K497">
        <v>494</v>
      </c>
      <c r="L497">
        <f t="shared" si="7"/>
        <v>6</v>
      </c>
    </row>
    <row r="498" spans="1:12" ht="16.5" x14ac:dyDescent="0.2">
      <c r="A498" s="4" t="s">
        <v>291</v>
      </c>
      <c r="B498">
        <v>2015</v>
      </c>
      <c r="C498" s="14">
        <f>655.7*(2/3*10)</f>
        <v>4371.333333333333</v>
      </c>
      <c r="D498" s="14">
        <f>24.3*(2/3*10)</f>
        <v>162</v>
      </c>
      <c r="E498" s="14">
        <f>5448.9*(2/3*10)</f>
        <v>36325.999999999993</v>
      </c>
      <c r="F498" s="14">
        <f>108.6*(2/3*10)</f>
        <v>723.99999999999989</v>
      </c>
      <c r="G498" s="14">
        <f>93.5*(2/3*10)</f>
        <v>623.33333333333326</v>
      </c>
      <c r="H498" s="14">
        <f>53*(2/3*10)</f>
        <v>353.33333333333331</v>
      </c>
      <c r="I498" s="14">
        <f>91.8*(2/3*10)</f>
        <v>611.99999999999989</v>
      </c>
      <c r="K498" s="15">
        <v>495</v>
      </c>
      <c r="L498">
        <f t="shared" si="7"/>
        <v>7</v>
      </c>
    </row>
    <row r="499" spans="1:12" ht="16.5" x14ac:dyDescent="0.2">
      <c r="A499" s="4" t="s">
        <v>291</v>
      </c>
      <c r="B499">
        <v>2016</v>
      </c>
      <c r="C499" s="14">
        <f>654.5*(2/3*10)</f>
        <v>4363.333333333333</v>
      </c>
      <c r="D499" s="14">
        <f>24.3*(2/3*10)</f>
        <v>162</v>
      </c>
      <c r="E499" s="14">
        <f>5448.4*(2/3*10)</f>
        <v>36322.666666666664</v>
      </c>
      <c r="F499" s="14">
        <f>109.4*(2/3*10)</f>
        <v>729.33333333333326</v>
      </c>
      <c r="G499" s="14">
        <f>94.4*(2/3*10)</f>
        <v>629.33333333333326</v>
      </c>
      <c r="H499" s="14">
        <f>53.1*(2/3*10)</f>
        <v>354</v>
      </c>
      <c r="I499" s="14">
        <f>91.8*(2/3*10)</f>
        <v>611.99999999999989</v>
      </c>
      <c r="K499">
        <v>496</v>
      </c>
      <c r="L499">
        <f t="shared" si="7"/>
        <v>0</v>
      </c>
    </row>
    <row r="500" spans="1:12" ht="16.5" x14ac:dyDescent="0.2">
      <c r="A500" s="4" t="s">
        <v>290</v>
      </c>
      <c r="B500">
        <v>2009</v>
      </c>
      <c r="C500" s="14">
        <f>3436.1*(2/3*10)</f>
        <v>22907.333333333332</v>
      </c>
      <c r="D500" s="14">
        <f>12.1*(2/3*10)</f>
        <v>80.666666666666657</v>
      </c>
      <c r="E500" s="14">
        <f>3567.1*(2/3*10)</f>
        <v>23780.666666666664</v>
      </c>
      <c r="F500" s="14">
        <f>80.5*(2/3*10)</f>
        <v>536.66666666666663</v>
      </c>
      <c r="G500" s="14">
        <f>316.1*(2/3*10)</f>
        <v>2107.3333333333335</v>
      </c>
      <c r="H500" s="14">
        <f>118.4*(2/3*10)</f>
        <v>789.33333333333326</v>
      </c>
      <c r="I500" s="14">
        <f>399.3*(2/3*10)</f>
        <v>2662</v>
      </c>
      <c r="K500" s="15">
        <v>497</v>
      </c>
      <c r="L500">
        <f t="shared" si="7"/>
        <v>1</v>
      </c>
    </row>
    <row r="501" spans="1:12" ht="16.5" x14ac:dyDescent="0.2">
      <c r="A501" s="4" t="s">
        <v>290</v>
      </c>
      <c r="B501">
        <v>2010</v>
      </c>
      <c r="C501" s="14">
        <f>3429.9*(2/3*10)</f>
        <v>22866</v>
      </c>
      <c r="D501" s="14">
        <f>12.1*(2/3*10)</f>
        <v>80.666666666666657</v>
      </c>
      <c r="E501" s="14">
        <f>3566.2*(2/3*10)</f>
        <v>23774.666666666664</v>
      </c>
      <c r="F501" s="14">
        <f>80.2*(2/3*10)</f>
        <v>534.66666666666663</v>
      </c>
      <c r="G501" s="14">
        <f>322.9*(2/3*10)</f>
        <v>2152.6666666666665</v>
      </c>
      <c r="H501" s="14">
        <f>119.3*(2/3*10)</f>
        <v>795.33333333333326</v>
      </c>
      <c r="I501" s="14">
        <f>398.8*(2/3*10)</f>
        <v>2658.6666666666665</v>
      </c>
      <c r="K501">
        <v>498</v>
      </c>
      <c r="L501">
        <f t="shared" si="7"/>
        <v>2</v>
      </c>
    </row>
    <row r="502" spans="1:12" ht="16.5" x14ac:dyDescent="0.2">
      <c r="A502" s="4" t="s">
        <v>290</v>
      </c>
      <c r="B502">
        <v>2011</v>
      </c>
      <c r="C502" s="14">
        <f>3425.4*(2/3*10)</f>
        <v>22836</v>
      </c>
      <c r="D502" s="14">
        <f>12*(2/3*10)</f>
        <v>80</v>
      </c>
      <c r="E502" s="14">
        <f>3565.2*(2/3*10)</f>
        <v>23767.999999999996</v>
      </c>
      <c r="F502" s="14">
        <f>78.2*(2/3*10)</f>
        <v>521.33333333333326</v>
      </c>
      <c r="G502" s="14">
        <f>329.2*(2/3*10)</f>
        <v>2194.666666666667</v>
      </c>
      <c r="H502" s="14">
        <f>120.1*(2/3*10)</f>
        <v>800.66666666666652</v>
      </c>
      <c r="I502" s="14">
        <f>397.5*(2/3*10)</f>
        <v>2649.9999999999995</v>
      </c>
      <c r="K502" s="15">
        <v>499</v>
      </c>
      <c r="L502">
        <f t="shared" si="7"/>
        <v>3</v>
      </c>
    </row>
    <row r="503" spans="1:12" ht="16.5" x14ac:dyDescent="0.2">
      <c r="A503" s="4" t="s">
        <v>290</v>
      </c>
      <c r="B503">
        <v>2012</v>
      </c>
      <c r="C503" s="14">
        <f>3421.4*(2/3*10)</f>
        <v>22809.333333333332</v>
      </c>
      <c r="D503" s="14">
        <f>12*(2/3*10)</f>
        <v>80</v>
      </c>
      <c r="E503" s="14">
        <f>3564.6*(2/3*10)</f>
        <v>23763.999999999996</v>
      </c>
      <c r="F503" s="14">
        <f>77.7*(2/3*10)</f>
        <v>518</v>
      </c>
      <c r="G503" s="14">
        <f>334.4*(2/3*10)</f>
        <v>2229.333333333333</v>
      </c>
      <c r="H503" s="14">
        <f>120.3*(2/3*10)</f>
        <v>801.99999999999989</v>
      </c>
      <c r="I503" s="14">
        <f>396.3*(2/3*10)</f>
        <v>2642</v>
      </c>
      <c r="K503">
        <v>500</v>
      </c>
      <c r="L503">
        <f t="shared" si="7"/>
        <v>4</v>
      </c>
    </row>
    <row r="504" spans="1:12" ht="16.5" x14ac:dyDescent="0.2">
      <c r="A504" s="4" t="s">
        <v>290</v>
      </c>
      <c r="B504">
        <v>2013</v>
      </c>
      <c r="C504" s="14">
        <f>3419*(2/3*10)</f>
        <v>22793.333333333332</v>
      </c>
      <c r="D504" s="14">
        <f>11.9*(2/3*10)</f>
        <v>79.333333333333329</v>
      </c>
      <c r="E504" s="14">
        <f>3564.2*(2/3*10)</f>
        <v>23761.333333333328</v>
      </c>
      <c r="F504" s="14">
        <f>77.2*(2/3*10)</f>
        <v>514.66666666666663</v>
      </c>
      <c r="G504" s="14">
        <f>338*(2/3*10)</f>
        <v>2253.333333333333</v>
      </c>
      <c r="H504" s="14">
        <f>120.4*(2/3*10)</f>
        <v>802.66666666666663</v>
      </c>
      <c r="I504" s="14">
        <f>395.3*(2/3*10)</f>
        <v>2635.333333333333</v>
      </c>
      <c r="K504" s="15">
        <v>501</v>
      </c>
      <c r="L504">
        <f t="shared" si="7"/>
        <v>5</v>
      </c>
    </row>
    <row r="505" spans="1:12" ht="16.5" x14ac:dyDescent="0.2">
      <c r="A505" s="4" t="s">
        <v>290</v>
      </c>
      <c r="B505">
        <v>2014</v>
      </c>
      <c r="C505" s="14">
        <f>3415.6*(2/3*10)</f>
        <v>22770.666666666664</v>
      </c>
      <c r="D505" s="14">
        <f>11.9*(2/3*10)</f>
        <v>79.333333333333329</v>
      </c>
      <c r="E505" s="14">
        <f>3563.5*(2/3*10)</f>
        <v>23756.666666666664</v>
      </c>
      <c r="F505" s="14">
        <f>75.8*(2/3*10)</f>
        <v>505.33333333333326</v>
      </c>
      <c r="G505" s="14">
        <f>342.3*(2/3*10)</f>
        <v>2281.9999999999995</v>
      </c>
      <c r="H505" s="14">
        <f>121.2*(2/3*10)</f>
        <v>808</v>
      </c>
      <c r="I505" s="14">
        <f>394.9*(2/3*10)</f>
        <v>2632.6666666666661</v>
      </c>
      <c r="K505">
        <v>502</v>
      </c>
      <c r="L505">
        <f t="shared" si="7"/>
        <v>6</v>
      </c>
    </row>
    <row r="506" spans="1:12" ht="16.5" x14ac:dyDescent="0.2">
      <c r="A506" s="4" t="s">
        <v>290</v>
      </c>
      <c r="B506">
        <v>2015</v>
      </c>
      <c r="C506" s="14">
        <f>3411.5*(2/3*10)</f>
        <v>22743.333333333332</v>
      </c>
      <c r="D506" s="14">
        <f>11.8*(2/3*10)</f>
        <v>78.666666666666671</v>
      </c>
      <c r="E506" s="14">
        <f>3562.4*(2/3*10)</f>
        <v>23749.333333333332</v>
      </c>
      <c r="F506" s="14">
        <f>75.6*(2/3*10)</f>
        <v>503.99999999999994</v>
      </c>
      <c r="G506" s="14">
        <f>345.4*(2/3*10)</f>
        <v>2302.6666666666665</v>
      </c>
      <c r="H506" s="14">
        <f>123.6*(2/3*10)</f>
        <v>823.99999999999989</v>
      </c>
      <c r="I506" s="14">
        <f>394.4*(2/3*10)</f>
        <v>2629.333333333333</v>
      </c>
      <c r="K506" s="15">
        <v>503</v>
      </c>
      <c r="L506">
        <f t="shared" si="7"/>
        <v>7</v>
      </c>
    </row>
    <row r="507" spans="1:12" ht="16.5" x14ac:dyDescent="0.2">
      <c r="A507" s="4" t="s">
        <v>290</v>
      </c>
      <c r="B507">
        <v>2016</v>
      </c>
      <c r="C507" s="14">
        <f>3409.5*(2/3*10)</f>
        <v>22729.999999999996</v>
      </c>
      <c r="D507" s="14">
        <f>11.8*(2/3*10)</f>
        <v>78.666666666666671</v>
      </c>
      <c r="E507" s="14">
        <f>3561.9*(2/3*10)</f>
        <v>23746</v>
      </c>
      <c r="F507" s="14">
        <f>75.4*(2/3*10)</f>
        <v>502.66666666666669</v>
      </c>
      <c r="G507" s="14">
        <f>347.2*(2/3*10)</f>
        <v>2314.6666666666665</v>
      </c>
      <c r="H507" s="14">
        <f>124.4*(2/3*10)</f>
        <v>829.33333333333326</v>
      </c>
      <c r="I507" s="14">
        <f>394.2*(2/3*10)</f>
        <v>2627.9999999999995</v>
      </c>
      <c r="K507">
        <v>504</v>
      </c>
      <c r="L507">
        <f t="shared" si="7"/>
        <v>0</v>
      </c>
    </row>
    <row r="508" spans="1:12" ht="16.5" x14ac:dyDescent="0.2">
      <c r="A508" s="4" t="s">
        <v>289</v>
      </c>
      <c r="B508">
        <v>2009</v>
      </c>
      <c r="C508" s="14">
        <f>4125*(2/3*10)</f>
        <v>27499.999999999996</v>
      </c>
      <c r="D508" s="14">
        <f>7.6*(2/3*10)</f>
        <v>50.666666666666657</v>
      </c>
      <c r="E508" s="14">
        <f>639.1*(2/3*10)</f>
        <v>4260.6666666666661</v>
      </c>
      <c r="F508" s="14">
        <f>445.5*(2/3*10)</f>
        <v>2969.9999999999995</v>
      </c>
      <c r="G508" s="14">
        <f>297.2*(2/3*10)</f>
        <v>1981.333333333333</v>
      </c>
      <c r="H508" s="14">
        <f>147.6*(2/3*10)</f>
        <v>983.99999999999989</v>
      </c>
      <c r="I508" s="14">
        <f>480.9*(2/3*10)</f>
        <v>3205.9999999999995</v>
      </c>
      <c r="K508" s="15">
        <v>505</v>
      </c>
      <c r="L508">
        <f t="shared" si="7"/>
        <v>1</v>
      </c>
    </row>
    <row r="509" spans="1:12" ht="16.5" x14ac:dyDescent="0.2">
      <c r="A509" s="4" t="s">
        <v>289</v>
      </c>
      <c r="B509">
        <v>2010</v>
      </c>
      <c r="C509" s="14">
        <f>4129.7*(2/3*10)</f>
        <v>27531.333333333328</v>
      </c>
      <c r="D509" s="14">
        <f>7.6*(2/3*10)</f>
        <v>50.666666666666657</v>
      </c>
      <c r="E509" s="14">
        <f>638.1*(2/3*10)</f>
        <v>4254</v>
      </c>
      <c r="F509" s="14">
        <f>441.7*(2/3*10)</f>
        <v>2944.6666666666665</v>
      </c>
      <c r="G509" s="14">
        <f>299.2*(2/3*10)</f>
        <v>1994.6666666666665</v>
      </c>
      <c r="H509" s="14">
        <f>147.8*(2/3*10)</f>
        <v>985.33333333333337</v>
      </c>
      <c r="I509" s="14">
        <f>479.7*(2/3*10)</f>
        <v>3197.9999999999995</v>
      </c>
      <c r="K509">
        <v>506</v>
      </c>
      <c r="L509">
        <f t="shared" si="7"/>
        <v>2</v>
      </c>
    </row>
    <row r="510" spans="1:12" ht="16.5" x14ac:dyDescent="0.2">
      <c r="A510" s="4" t="s">
        <v>289</v>
      </c>
      <c r="B510">
        <v>2011</v>
      </c>
      <c r="C510" s="14">
        <f>4129.5*(2/3*10)</f>
        <v>27529.999999999996</v>
      </c>
      <c r="D510" s="14">
        <f>7.5*(2/3*10)</f>
        <v>49.999999999999993</v>
      </c>
      <c r="E510" s="14">
        <f>637.9*(2/3*10)</f>
        <v>4252.6666666666661</v>
      </c>
      <c r="F510" s="14">
        <f>440.2*(2/3*10)</f>
        <v>2934.6666666666665</v>
      </c>
      <c r="G510" s="14">
        <f>300.6*(2/3*10)</f>
        <v>2004</v>
      </c>
      <c r="H510" s="14">
        <f>148*(2/3*10)</f>
        <v>986.66666666666663</v>
      </c>
      <c r="I510" s="14">
        <f>479.2*(2/3*10)</f>
        <v>3194.6666666666665</v>
      </c>
      <c r="K510" s="15">
        <v>507</v>
      </c>
      <c r="L510">
        <f t="shared" si="7"/>
        <v>3</v>
      </c>
    </row>
    <row r="511" spans="1:12" ht="16.5" x14ac:dyDescent="0.2">
      <c r="A511" s="4" t="s">
        <v>289</v>
      </c>
      <c r="B511">
        <v>2012</v>
      </c>
      <c r="C511" s="14">
        <f>4131.3*(2/3*10)</f>
        <v>27542</v>
      </c>
      <c r="D511" s="14">
        <f>7.5*(2/3*10)</f>
        <v>49.999999999999993</v>
      </c>
      <c r="E511" s="14">
        <f>637.4*(2/3*10)</f>
        <v>4249.333333333333</v>
      </c>
      <c r="F511" s="14">
        <f>437.2*(2/3*10)</f>
        <v>2914.6666666666665</v>
      </c>
      <c r="G511" s="14">
        <f>302.4*(2/3*10)</f>
        <v>2015.9999999999998</v>
      </c>
      <c r="H511" s="14">
        <f>147.9*(2/3*10)</f>
        <v>986</v>
      </c>
      <c r="I511" s="14">
        <f>478.9*(2/3*10)</f>
        <v>3192.6666666666661</v>
      </c>
      <c r="K511">
        <v>508</v>
      </c>
      <c r="L511">
        <f t="shared" si="7"/>
        <v>4</v>
      </c>
    </row>
    <row r="512" spans="1:12" ht="16.5" x14ac:dyDescent="0.2">
      <c r="A512" s="4" t="s">
        <v>289</v>
      </c>
      <c r="B512">
        <v>2013</v>
      </c>
      <c r="C512" s="14">
        <f>4137.4*(2/3*10)</f>
        <v>27582.666666666661</v>
      </c>
      <c r="D512" s="14">
        <f>7.5*(2/3*10)</f>
        <v>49.999999999999993</v>
      </c>
      <c r="E512" s="14">
        <f>637*(2/3*10)</f>
        <v>4246.6666666666661</v>
      </c>
      <c r="F512" s="14">
        <f>432.5*(2/3*10)</f>
        <v>2883.333333333333</v>
      </c>
      <c r="G512" s="14">
        <f>303.4*(2/3*10)</f>
        <v>2022.6666666666663</v>
      </c>
      <c r="H512" s="14">
        <f>147.9*(2/3*10)</f>
        <v>986</v>
      </c>
      <c r="I512" s="14">
        <f>478.1*(2/3*10)</f>
        <v>3187.333333333333</v>
      </c>
      <c r="K512" s="15">
        <v>509</v>
      </c>
      <c r="L512">
        <f t="shared" si="7"/>
        <v>5</v>
      </c>
    </row>
    <row r="513" spans="1:12" ht="16.5" x14ac:dyDescent="0.2">
      <c r="A513" s="4" t="s">
        <v>289</v>
      </c>
      <c r="B513">
        <v>2014</v>
      </c>
      <c r="C513" s="14">
        <f>4138.5*(2/3*10)</f>
        <v>27589.999999999996</v>
      </c>
      <c r="D513" s="14">
        <f>7.5*(2/3*10)</f>
        <v>49.999999999999993</v>
      </c>
      <c r="E513" s="14">
        <f>636.8*(2/3*10)</f>
        <v>4245.333333333333</v>
      </c>
      <c r="F513" s="14">
        <f>431.3*(2/3*10)</f>
        <v>2875.333333333333</v>
      </c>
      <c r="G513" s="14">
        <f>304.2*(2/3*10)</f>
        <v>2028.0000000000002</v>
      </c>
      <c r="H513" s="14">
        <f>148.2*(2/3*10)</f>
        <v>987.99999999999989</v>
      </c>
      <c r="I513" s="14">
        <f>477.6*(2/3*10)</f>
        <v>3184</v>
      </c>
      <c r="K513">
        <v>510</v>
      </c>
      <c r="L513">
        <f t="shared" si="7"/>
        <v>6</v>
      </c>
    </row>
    <row r="514" spans="1:12" ht="16.5" x14ac:dyDescent="0.2">
      <c r="A514" s="4" t="s">
        <v>289</v>
      </c>
      <c r="B514">
        <v>2015</v>
      </c>
      <c r="C514" s="14">
        <f>4137.9*(2/3*10)</f>
        <v>27585.999999999996</v>
      </c>
      <c r="D514" s="14">
        <f>7.5*(2/3*10)</f>
        <v>49.999999999999993</v>
      </c>
      <c r="E514" s="14">
        <f>636.6*(2/3*10)</f>
        <v>4244</v>
      </c>
      <c r="F514" s="14">
        <f>431*(2/3*10)</f>
        <v>2873.333333333333</v>
      </c>
      <c r="G514" s="14">
        <f>304.9*(2/3*10)</f>
        <v>2032.6666666666667</v>
      </c>
      <c r="H514" s="14">
        <f>148.3*(2/3*10)</f>
        <v>988.66666666666663</v>
      </c>
      <c r="I514" s="14">
        <f>477.6*(2/3*10)</f>
        <v>3184</v>
      </c>
      <c r="K514" s="15">
        <v>511</v>
      </c>
      <c r="L514">
        <f t="shared" si="7"/>
        <v>7</v>
      </c>
    </row>
    <row r="515" spans="1:12" ht="16.5" x14ac:dyDescent="0.2">
      <c r="A515" s="4" t="s">
        <v>289</v>
      </c>
      <c r="B515">
        <v>2016</v>
      </c>
      <c r="C515" s="14">
        <f>4135.8*(2/3*10)</f>
        <v>27572</v>
      </c>
      <c r="D515" s="14">
        <f>7.4*(2/3*10)</f>
        <v>49.333333333333329</v>
      </c>
      <c r="E515" s="14">
        <f>636.2*(2/3*10)</f>
        <v>4241.333333333333</v>
      </c>
      <c r="F515" s="14">
        <f>430.7*(2/3*10)</f>
        <v>2871.333333333333</v>
      </c>
      <c r="G515" s="14">
        <f>305.8*(2/3*10)</f>
        <v>2038.6666666666665</v>
      </c>
      <c r="H515" s="14">
        <f>150*(2/3*10)</f>
        <v>999.99999999999989</v>
      </c>
      <c r="I515" s="14">
        <f>477.5*(2/3*10)</f>
        <v>3183.333333333333</v>
      </c>
      <c r="K515">
        <v>512</v>
      </c>
      <c r="L515">
        <f t="shared" si="7"/>
        <v>0</v>
      </c>
    </row>
    <row r="516" spans="1:12" ht="16.5" x14ac:dyDescent="0.2">
      <c r="A516" s="4" t="s">
        <v>288</v>
      </c>
      <c r="B516">
        <v>2009</v>
      </c>
      <c r="C516" s="14">
        <f>1475.7*(2/3*10)</f>
        <v>9838</v>
      </c>
      <c r="D516" s="14">
        <f>7.4*(2/3*10)</f>
        <v>49.333333333333329</v>
      </c>
      <c r="E516" s="14">
        <f>1099.5*(2/3*10)</f>
        <v>7329.9999999999991</v>
      </c>
      <c r="F516" s="14">
        <f>110*(2/3*10)</f>
        <v>733.33333333333326</v>
      </c>
      <c r="G516" s="14">
        <f>94*(2/3*10)</f>
        <v>626.66666666666663</v>
      </c>
      <c r="H516" s="14">
        <f>48.1*(2/3*10)</f>
        <v>320.66666666666663</v>
      </c>
      <c r="I516" s="14">
        <f>398.3*(2/3*10)</f>
        <v>2655.333333333333</v>
      </c>
      <c r="K516" s="15">
        <v>513</v>
      </c>
      <c r="L516">
        <f t="shared" si="7"/>
        <v>1</v>
      </c>
    </row>
    <row r="517" spans="1:12" ht="16.5" x14ac:dyDescent="0.2">
      <c r="A517" s="4" t="s">
        <v>288</v>
      </c>
      <c r="B517">
        <v>2010</v>
      </c>
      <c r="C517" s="14">
        <f>1474.4*(2/3*10)</f>
        <v>9829.3333333333339</v>
      </c>
      <c r="D517" s="14">
        <f>7.4*(2/3*10)</f>
        <v>49.333333333333329</v>
      </c>
      <c r="E517" s="14">
        <f>1099.3*(2/3*10)</f>
        <v>7328.6666666666661</v>
      </c>
      <c r="F517" s="14">
        <f>109.5*(2/3*10)</f>
        <v>729.99999999999989</v>
      </c>
      <c r="G517" s="14">
        <f>94.4*(2/3*10)</f>
        <v>629.33333333333326</v>
      </c>
      <c r="H517" s="14">
        <f>49.8*(2/3*10)</f>
        <v>331.99999999999994</v>
      </c>
      <c r="I517" s="14">
        <f>398.2*(2/3*10)</f>
        <v>2654.6666666666665</v>
      </c>
      <c r="K517">
        <v>514</v>
      </c>
      <c r="L517">
        <f t="shared" ref="L517:L580" si="8">MOD(K517,8)</f>
        <v>2</v>
      </c>
    </row>
    <row r="518" spans="1:12" ht="16.5" x14ac:dyDescent="0.2">
      <c r="A518" s="4" t="s">
        <v>288</v>
      </c>
      <c r="B518">
        <v>2011</v>
      </c>
      <c r="C518" s="14">
        <f>1473.8*(2/3*10)</f>
        <v>9825.3333333333321</v>
      </c>
      <c r="D518" s="14">
        <f>7.4*(2/3*10)</f>
        <v>49.333333333333329</v>
      </c>
      <c r="E518" s="14">
        <f>1098.9*(2/3*10)</f>
        <v>7326</v>
      </c>
      <c r="F518" s="14">
        <f>108.9*(2/3*10)</f>
        <v>726</v>
      </c>
      <c r="G518" s="14">
        <f>95.4*(2/3*10)</f>
        <v>635.99999999999989</v>
      </c>
      <c r="H518" s="14">
        <f>50.1*(2/3*10)</f>
        <v>334</v>
      </c>
      <c r="I518" s="14">
        <f>398.2*(2/3*10)</f>
        <v>2654.6666666666665</v>
      </c>
      <c r="K518" s="15">
        <v>515</v>
      </c>
      <c r="L518">
        <f t="shared" si="8"/>
        <v>3</v>
      </c>
    </row>
    <row r="519" spans="1:12" ht="16.5" x14ac:dyDescent="0.2">
      <c r="A519" s="4" t="s">
        <v>288</v>
      </c>
      <c r="B519">
        <v>2012</v>
      </c>
      <c r="C519" s="14">
        <f>1474.7*(2/3*10)</f>
        <v>9831.3333333333321</v>
      </c>
      <c r="D519" s="14">
        <f>7.4*(2/3*10)</f>
        <v>49.333333333333329</v>
      </c>
      <c r="E519" s="14">
        <f>1098.9*(2/3*10)</f>
        <v>7326</v>
      </c>
      <c r="F519" s="14">
        <f>107.5*(2/3*10)</f>
        <v>716.66666666666663</v>
      </c>
      <c r="G519" s="14">
        <f>95.9*(2/3*10)</f>
        <v>639.33333333333326</v>
      </c>
      <c r="H519" s="14">
        <f>50.2*(2/3*10)</f>
        <v>334.66666666666663</v>
      </c>
      <c r="I519" s="14">
        <f>398.2*(2/3*10)</f>
        <v>2654.6666666666665</v>
      </c>
      <c r="K519">
        <v>516</v>
      </c>
      <c r="L519">
        <f t="shared" si="8"/>
        <v>4</v>
      </c>
    </row>
    <row r="520" spans="1:12" ht="16.5" x14ac:dyDescent="0.2">
      <c r="A520" s="4" t="s">
        <v>288</v>
      </c>
      <c r="B520">
        <v>2013</v>
      </c>
      <c r="C520" s="14">
        <f>1480*(2/3*10)</f>
        <v>9866.6666666666661</v>
      </c>
      <c r="D520" s="14">
        <f>7.4*(2/3*10)</f>
        <v>49.333333333333329</v>
      </c>
      <c r="E520" s="14">
        <f>1098.5*(2/3*10)</f>
        <v>7323.333333333333</v>
      </c>
      <c r="F520" s="14">
        <f>102.5*(2/3*10)</f>
        <v>683.33333333333326</v>
      </c>
      <c r="G520" s="14">
        <f>95.9*(2/3*10)</f>
        <v>639.33333333333337</v>
      </c>
      <c r="H520" s="14">
        <f>50.4*(2/3*10)</f>
        <v>335.99999999999994</v>
      </c>
      <c r="I520" s="14">
        <f>397.9*(2/3*10)</f>
        <v>2652.6666666666661</v>
      </c>
      <c r="K520" s="15">
        <v>517</v>
      </c>
      <c r="L520">
        <f t="shared" si="8"/>
        <v>5</v>
      </c>
    </row>
    <row r="521" spans="1:12" ht="16.5" x14ac:dyDescent="0.2">
      <c r="A521" s="4" t="s">
        <v>288</v>
      </c>
      <c r="B521">
        <v>2014</v>
      </c>
      <c r="C521" s="14">
        <f>1480.4*(2/3*10)</f>
        <v>9869.3333333333339</v>
      </c>
      <c r="D521" s="14">
        <f>7.4*(2/3*10)</f>
        <v>49.333333333333329</v>
      </c>
      <c r="E521" s="14">
        <f>1098.4*(2/3*10)</f>
        <v>7322.666666666667</v>
      </c>
      <c r="F521" s="14">
        <f>102*(2/3*10)</f>
        <v>679.99999999999989</v>
      </c>
      <c r="G521" s="14">
        <f>96*(2/3*10)</f>
        <v>640</v>
      </c>
      <c r="H521" s="14">
        <f>50.4*(2/3*10)</f>
        <v>335.99999999999994</v>
      </c>
      <c r="I521" s="14">
        <f>397.9*(2/3*10)</f>
        <v>2652.6666666666661</v>
      </c>
      <c r="K521">
        <v>518</v>
      </c>
      <c r="L521">
        <f t="shared" si="8"/>
        <v>6</v>
      </c>
    </row>
    <row r="522" spans="1:12" ht="16.5" x14ac:dyDescent="0.2">
      <c r="A522" s="4" t="s">
        <v>288</v>
      </c>
      <c r="B522">
        <v>2015</v>
      </c>
      <c r="C522" s="14">
        <f>1480.9*(2/3*10)</f>
        <v>9872.6666666666661</v>
      </c>
      <c r="D522" s="14">
        <f>7.4*(2/3*10)</f>
        <v>49.333333333333329</v>
      </c>
      <c r="E522" s="14">
        <f>1098.1*(2/3*10)</f>
        <v>7320.6666666666652</v>
      </c>
      <c r="F522" s="14">
        <f>101.4*(2/3*10)</f>
        <v>676</v>
      </c>
      <c r="G522" s="14">
        <f>96.3*(2/3*10)</f>
        <v>641.99999999999989</v>
      </c>
      <c r="H522" s="14">
        <f>50.8*(2/3*10)</f>
        <v>338.66666666666663</v>
      </c>
      <c r="I522" s="14">
        <f>397.5*(2/3*10)</f>
        <v>2649.9999999999995</v>
      </c>
      <c r="K522" s="15">
        <v>519</v>
      </c>
      <c r="L522">
        <f t="shared" si="8"/>
        <v>7</v>
      </c>
    </row>
    <row r="523" spans="1:12" ht="16.5" x14ac:dyDescent="0.2">
      <c r="A523" s="4" t="s">
        <v>288</v>
      </c>
      <c r="B523">
        <v>2016</v>
      </c>
      <c r="C523" s="14">
        <f>1481*(2/3*10)</f>
        <v>9873.3333333333321</v>
      </c>
      <c r="D523" s="14">
        <f>7.4*(2/3*10)</f>
        <v>49.333333333333329</v>
      </c>
      <c r="E523" s="14">
        <f>1098.1*(2/3*10)</f>
        <v>7320.6666666666652</v>
      </c>
      <c r="F523" s="14">
        <f>101.2*(2/3*10)</f>
        <v>674.66666666666663</v>
      </c>
      <c r="G523" s="14">
        <f>96.6*(2/3*10)</f>
        <v>643.99999999999989</v>
      </c>
      <c r="H523" s="14">
        <f>50.8*(2/3*10)</f>
        <v>338.66666666666663</v>
      </c>
      <c r="I523" s="14">
        <f>397.5*(2/3*10)</f>
        <v>2649.9999999999995</v>
      </c>
      <c r="K523">
        <v>520</v>
      </c>
      <c r="L523">
        <f t="shared" si="8"/>
        <v>0</v>
      </c>
    </row>
    <row r="524" spans="1:12" ht="16.5" x14ac:dyDescent="0.2">
      <c r="A524" s="4" t="s">
        <v>287</v>
      </c>
      <c r="B524">
        <v>2009</v>
      </c>
      <c r="C524" s="14">
        <f>827.3*(2/3*10)</f>
        <v>5515.3333333333321</v>
      </c>
      <c r="D524" s="14">
        <f>0.5*(2/3*10)</f>
        <v>3.333333333333333</v>
      </c>
      <c r="E524" s="14">
        <f>1010.5*(2/3*10)</f>
        <v>6736.6666666666661</v>
      </c>
      <c r="F524" s="14">
        <f>64.9*(2/3*10)</f>
        <v>432.66666666666669</v>
      </c>
      <c r="G524" s="14">
        <f>51.8*(2/3*10)</f>
        <v>345.33333333333326</v>
      </c>
      <c r="H524" s="14">
        <f>33.6*(2/3*10)</f>
        <v>224</v>
      </c>
      <c r="I524" s="14">
        <f>153.3*(2/3*10)</f>
        <v>1022</v>
      </c>
      <c r="K524" s="15">
        <v>521</v>
      </c>
      <c r="L524">
        <f t="shared" si="8"/>
        <v>1</v>
      </c>
    </row>
    <row r="525" spans="1:12" ht="16.5" x14ac:dyDescent="0.2">
      <c r="A525" s="4" t="s">
        <v>287</v>
      </c>
      <c r="B525">
        <v>2010</v>
      </c>
      <c r="C525" s="14">
        <f>826.7*(2/3*10)</f>
        <v>5511.333333333333</v>
      </c>
      <c r="D525" s="14">
        <f>0.5*(2/3*10)</f>
        <v>3.333333333333333</v>
      </c>
      <c r="E525" s="14">
        <f>1009.8*(2/3*10)</f>
        <v>6731.9999999999991</v>
      </c>
      <c r="F525" s="14">
        <f>64.9*(2/3*10)</f>
        <v>432.66666666666669</v>
      </c>
      <c r="G525" s="14">
        <f>52.1*(2/3*10)</f>
        <v>347.33333333333326</v>
      </c>
      <c r="H525" s="14">
        <f>33.9*(2/3*10)</f>
        <v>225.99999999999997</v>
      </c>
      <c r="I525" s="14">
        <f>154*(2/3*10)</f>
        <v>1026.6666666666665</v>
      </c>
      <c r="K525">
        <v>522</v>
      </c>
      <c r="L525">
        <f t="shared" si="8"/>
        <v>2</v>
      </c>
    </row>
    <row r="526" spans="1:12" ht="16.5" x14ac:dyDescent="0.2">
      <c r="A526" s="4" t="s">
        <v>287</v>
      </c>
      <c r="B526">
        <v>2011</v>
      </c>
      <c r="C526" s="14">
        <f>826.2*(2/3*10)</f>
        <v>5508</v>
      </c>
      <c r="D526" s="14">
        <f>0.5*(2/3*10)</f>
        <v>3.333333333333333</v>
      </c>
      <c r="E526" s="14">
        <f>1009.5*(2/3*10)</f>
        <v>6729.9999999999991</v>
      </c>
      <c r="F526" s="14">
        <f>64.8*(2/3*10)</f>
        <v>431.99999999999994</v>
      </c>
      <c r="G526" s="14">
        <f>52.8*(2/3*10)</f>
        <v>351.99999999999994</v>
      </c>
      <c r="H526" s="14">
        <f>33.9*(2/3*10)</f>
        <v>225.99999999999997</v>
      </c>
      <c r="I526" s="14">
        <f>154*(2/3*10)</f>
        <v>1026.6666666666665</v>
      </c>
      <c r="K526" s="15">
        <v>523</v>
      </c>
      <c r="L526">
        <f t="shared" si="8"/>
        <v>3</v>
      </c>
    </row>
    <row r="527" spans="1:12" ht="16.5" x14ac:dyDescent="0.2">
      <c r="A527" s="4" t="s">
        <v>287</v>
      </c>
      <c r="B527">
        <v>2012</v>
      </c>
      <c r="C527" s="14">
        <f>825.1*(2/3*10)</f>
        <v>5500.6666666666661</v>
      </c>
      <c r="D527" s="14">
        <f>0.5*(2/3*10)</f>
        <v>3.333333333333333</v>
      </c>
      <c r="E527" s="14">
        <f>1009.4*(2/3*10)</f>
        <v>6729.333333333333</v>
      </c>
      <c r="F527" s="14">
        <f>64.7*(2/3*10)</f>
        <v>431.33333333333331</v>
      </c>
      <c r="G527" s="14">
        <f>53.2*(2/3*10)</f>
        <v>354.66666666666663</v>
      </c>
      <c r="H527" s="14">
        <f>34*(2/3*10)</f>
        <v>226.66666666666666</v>
      </c>
      <c r="I527" s="14">
        <f>154.6*(2/3*10)</f>
        <v>1030.6666666666665</v>
      </c>
      <c r="K527">
        <v>524</v>
      </c>
      <c r="L527">
        <f t="shared" si="8"/>
        <v>4</v>
      </c>
    </row>
    <row r="528" spans="1:12" ht="16.5" x14ac:dyDescent="0.2">
      <c r="A528" s="4" t="s">
        <v>287</v>
      </c>
      <c r="B528">
        <v>2013</v>
      </c>
      <c r="C528" s="14">
        <f>825.7*(2/3*10)</f>
        <v>5504.6666666666661</v>
      </c>
      <c r="D528" s="14">
        <f>0.5*(2/3*10)</f>
        <v>3.333333333333333</v>
      </c>
      <c r="E528" s="14">
        <f>1009.3*(2/3*10)</f>
        <v>6728.6666666666661</v>
      </c>
      <c r="F528" s="14">
        <f>64*(2/3*10)</f>
        <v>426.66666666666663</v>
      </c>
      <c r="G528" s="14">
        <f>53.5*(2/3*10)</f>
        <v>356.66666666666663</v>
      </c>
      <c r="H528" s="14">
        <f>34*(2/3*10)</f>
        <v>226.66666666666666</v>
      </c>
      <c r="I528" s="14">
        <f>154.3*(2/3*10)</f>
        <v>1028.6666666666667</v>
      </c>
      <c r="K528" s="15">
        <v>525</v>
      </c>
      <c r="L528">
        <f t="shared" si="8"/>
        <v>5</v>
      </c>
    </row>
    <row r="529" spans="1:12" ht="16.5" x14ac:dyDescent="0.2">
      <c r="A529" s="4" t="s">
        <v>287</v>
      </c>
      <c r="B529">
        <v>2014</v>
      </c>
      <c r="C529" s="14">
        <f>825.7*(2/3*10)</f>
        <v>5504.6666666666661</v>
      </c>
      <c r="D529" s="14">
        <f>0.5*(2/3*10)</f>
        <v>3.333333333333333</v>
      </c>
      <c r="E529" s="14">
        <f>1009.3*(2/3*10)</f>
        <v>6728.6666666666661</v>
      </c>
      <c r="F529" s="14">
        <f>63.8*(2/3*10)</f>
        <v>425.33333333333326</v>
      </c>
      <c r="G529" s="14">
        <f>53.7*(2/3*10)</f>
        <v>358</v>
      </c>
      <c r="H529" s="14">
        <f>34*(2/3*10)</f>
        <v>226.66666666666666</v>
      </c>
      <c r="I529" s="14">
        <f>154.3*(2/3*10)</f>
        <v>1028.6666666666667</v>
      </c>
      <c r="K529">
        <v>526</v>
      </c>
      <c r="L529">
        <f t="shared" si="8"/>
        <v>6</v>
      </c>
    </row>
    <row r="530" spans="1:12" ht="16.5" x14ac:dyDescent="0.2">
      <c r="A530" s="4" t="s">
        <v>287</v>
      </c>
      <c r="B530">
        <v>2015</v>
      </c>
      <c r="C530" s="14">
        <f>825.4*(2/3*10)</f>
        <v>5502.6666666666661</v>
      </c>
      <c r="D530" s="14">
        <f>0.5*(2/3*10)</f>
        <v>3.333333333333333</v>
      </c>
      <c r="E530" s="14">
        <f>1009.2*(2/3*10)</f>
        <v>6728</v>
      </c>
      <c r="F530" s="14">
        <f>63.7*(2/3*10)</f>
        <v>424.66666666666663</v>
      </c>
      <c r="G530" s="14">
        <f>53.7*(2/3*10)</f>
        <v>358</v>
      </c>
      <c r="H530" s="14">
        <f>34*(2/3*10)</f>
        <v>226.66666666666666</v>
      </c>
      <c r="I530" s="14">
        <f>154.4*(2/3*10)</f>
        <v>1029.3333333333333</v>
      </c>
      <c r="K530" s="15">
        <v>527</v>
      </c>
      <c r="L530">
        <f t="shared" si="8"/>
        <v>7</v>
      </c>
    </row>
    <row r="531" spans="1:12" ht="16.5" x14ac:dyDescent="0.2">
      <c r="A531" s="4" t="s">
        <v>287</v>
      </c>
      <c r="B531">
        <v>2016</v>
      </c>
      <c r="C531" s="14">
        <f>825.4*(2/3*10)</f>
        <v>5502.6666666666661</v>
      </c>
      <c r="D531" s="14">
        <f>0.5*(2/3*10)</f>
        <v>3.333333333333333</v>
      </c>
      <c r="E531" s="14">
        <f>1009.2*(2/3*10)</f>
        <v>6728</v>
      </c>
      <c r="F531" s="14">
        <f>63.5*(2/3*10)</f>
        <v>423.33333333333331</v>
      </c>
      <c r="G531" s="14">
        <f>53.9*(2/3*10)</f>
        <v>359.33333333333331</v>
      </c>
      <c r="H531" s="14">
        <f>34*(2/3*10)</f>
        <v>226.66666666666666</v>
      </c>
      <c r="I531" s="14">
        <f>154.4*(2/3*10)</f>
        <v>1029.3333333333333</v>
      </c>
      <c r="K531">
        <v>528</v>
      </c>
      <c r="L531">
        <f t="shared" si="8"/>
        <v>0</v>
      </c>
    </row>
    <row r="532" spans="1:12" ht="16.5" x14ac:dyDescent="0.2">
      <c r="A532" s="4" t="s">
        <v>286</v>
      </c>
      <c r="B532">
        <v>2009</v>
      </c>
      <c r="C532" s="14">
        <f>1589.4*(2/3*10)</f>
        <v>10596</v>
      </c>
      <c r="D532" s="14">
        <f>6.5*(2/3*10)</f>
        <v>43.333333333333329</v>
      </c>
      <c r="E532" s="14">
        <f>1246.9*(2/3*10)</f>
        <v>8312.6666666666661</v>
      </c>
      <c r="F532" s="14">
        <f>87.5*(2/3*10)</f>
        <v>583.33333333333326</v>
      </c>
      <c r="G532" s="14">
        <f>77*(2/3*10)</f>
        <v>513.33333333333326</v>
      </c>
      <c r="H532" s="14">
        <f>48.7*(2/3*10)</f>
        <v>324.66666666666663</v>
      </c>
      <c r="I532" s="14">
        <f>208.7*(2/3*10)</f>
        <v>1391.333333333333</v>
      </c>
      <c r="K532" s="15">
        <v>529</v>
      </c>
      <c r="L532">
        <f t="shared" si="8"/>
        <v>1</v>
      </c>
    </row>
    <row r="533" spans="1:12" ht="16.5" x14ac:dyDescent="0.2">
      <c r="A533" s="4" t="s">
        <v>286</v>
      </c>
      <c r="B533">
        <v>2010</v>
      </c>
      <c r="C533" s="14">
        <f>1586.8*(2/3*10)</f>
        <v>10578.666666666666</v>
      </c>
      <c r="D533" s="14">
        <f>6.6*(2/3*10)</f>
        <v>43.999999999999993</v>
      </c>
      <c r="E533" s="14">
        <f>1246.7*(2/3*10)</f>
        <v>8311.3333333333321</v>
      </c>
      <c r="F533" s="14">
        <f>87.5*(2/3*10)</f>
        <v>583.33333333333326</v>
      </c>
      <c r="G533" s="14">
        <f>78.1*(2/3*10)</f>
        <v>520.66666666666663</v>
      </c>
      <c r="H533" s="14">
        <f>49.1*(2/3*10)</f>
        <v>327.33333333333331</v>
      </c>
      <c r="I533" s="14">
        <f>208.8*(2/3*10)</f>
        <v>1392</v>
      </c>
      <c r="K533">
        <v>530</v>
      </c>
      <c r="L533">
        <f t="shared" si="8"/>
        <v>2</v>
      </c>
    </row>
    <row r="534" spans="1:12" ht="16.5" x14ac:dyDescent="0.2">
      <c r="A534" s="4" t="s">
        <v>286</v>
      </c>
      <c r="B534">
        <v>2011</v>
      </c>
      <c r="C534" s="14">
        <f>1585.6*(2/3*10)</f>
        <v>10570.666666666664</v>
      </c>
      <c r="D534" s="14">
        <f>6.5*(2/3*10)</f>
        <v>43.333333333333329</v>
      </c>
      <c r="E534" s="14">
        <f>1246.4*(2/3*10)</f>
        <v>8309.3333333333339</v>
      </c>
      <c r="F534" s="14">
        <f>87.3*(2/3*10)</f>
        <v>581.99999999999989</v>
      </c>
      <c r="G534" s="14">
        <f>79.3*(2/3*10)</f>
        <v>528.66666666666674</v>
      </c>
      <c r="H534" s="14">
        <f>49.3*(2/3*10)</f>
        <v>328.66666666666663</v>
      </c>
      <c r="I534" s="14">
        <f>208.8*(2/3*10)</f>
        <v>1392</v>
      </c>
      <c r="K534" s="15">
        <v>531</v>
      </c>
      <c r="L534">
        <f t="shared" si="8"/>
        <v>3</v>
      </c>
    </row>
    <row r="535" spans="1:12" ht="16.5" x14ac:dyDescent="0.2">
      <c r="A535" s="4" t="s">
        <v>286</v>
      </c>
      <c r="B535">
        <v>2012</v>
      </c>
      <c r="C535" s="14">
        <f>1585.8*(2/3*10)</f>
        <v>10571.999999999998</v>
      </c>
      <c r="D535" s="14">
        <f>6.5*(2/3*10)</f>
        <v>43.333333333333329</v>
      </c>
      <c r="E535" s="14">
        <f>1246.3*(2/3*10)</f>
        <v>8308.6666666666661</v>
      </c>
      <c r="F535" s="14">
        <f>86.4*(2/3*10)</f>
        <v>576</v>
      </c>
      <c r="G535" s="14">
        <f>79.9*(2/3*10)</f>
        <v>532.66666666666663</v>
      </c>
      <c r="H535" s="14">
        <f>49.5*(2/3*10)</f>
        <v>329.99999999999994</v>
      </c>
      <c r="I535" s="14">
        <f>208.6*(2/3*10)</f>
        <v>1390.6666666666665</v>
      </c>
      <c r="K535">
        <v>532</v>
      </c>
      <c r="L535">
        <f t="shared" si="8"/>
        <v>4</v>
      </c>
    </row>
    <row r="536" spans="1:12" ht="16.5" x14ac:dyDescent="0.2">
      <c r="A536" s="4" t="s">
        <v>286</v>
      </c>
      <c r="B536">
        <v>2013</v>
      </c>
      <c r="C536" s="14">
        <f>1588*(2/3*10)</f>
        <v>10586.666666666666</v>
      </c>
      <c r="D536" s="14">
        <f>6.5*(2/3*10)</f>
        <v>43.333333333333329</v>
      </c>
      <c r="E536" s="14">
        <f>1246.2*(2/3*10)</f>
        <v>8308</v>
      </c>
      <c r="F536" s="14">
        <f>85.5*(2/3*10)</f>
        <v>570</v>
      </c>
      <c r="G536" s="14">
        <f>79.2*(2/3*10)</f>
        <v>528</v>
      </c>
      <c r="H536" s="14">
        <f>49.5*(2/3*10)</f>
        <v>329.99999999999994</v>
      </c>
      <c r="I536" s="14">
        <f>208.4*(2/3*10)</f>
        <v>1389.3333333333333</v>
      </c>
      <c r="K536" s="15">
        <v>533</v>
      </c>
      <c r="L536">
        <f t="shared" si="8"/>
        <v>5</v>
      </c>
    </row>
    <row r="537" spans="1:12" ht="16.5" x14ac:dyDescent="0.2">
      <c r="A537" s="4" t="s">
        <v>286</v>
      </c>
      <c r="B537">
        <v>2014</v>
      </c>
      <c r="C537" s="14">
        <f>1586.9*(2/3*10)</f>
        <v>10579.333333333332</v>
      </c>
      <c r="D537" s="14">
        <f>6.5*(2/3*10)</f>
        <v>43.333333333333329</v>
      </c>
      <c r="E537" s="14">
        <f>1246*(2/3*10)</f>
        <v>8306.6666666666661</v>
      </c>
      <c r="F537" s="14">
        <f>85.4*(2/3*10)</f>
        <v>569.33333333333337</v>
      </c>
      <c r="G537" s="14">
        <f>79.8*(2/3*10)</f>
        <v>531.99999999999989</v>
      </c>
      <c r="H537" s="14">
        <f>49.6*(2/3*10)</f>
        <v>330.66666666666663</v>
      </c>
      <c r="I537" s="14">
        <f>208.9*(2/3*10)</f>
        <v>1392.6666666666665</v>
      </c>
      <c r="K537">
        <v>534</v>
      </c>
      <c r="L537">
        <f t="shared" si="8"/>
        <v>6</v>
      </c>
    </row>
    <row r="538" spans="1:12" ht="16.5" x14ac:dyDescent="0.2">
      <c r="A538" s="4" t="s">
        <v>286</v>
      </c>
      <c r="B538">
        <v>2015</v>
      </c>
      <c r="C538" s="14">
        <f>1587.4*(2/3*10)</f>
        <v>10582.666666666666</v>
      </c>
      <c r="D538" s="14">
        <f>6.5*(2/3*10)</f>
        <v>43.333333333333329</v>
      </c>
      <c r="E538" s="14">
        <f>1245.8*(2/3*10)</f>
        <v>8305.3333333333321</v>
      </c>
      <c r="F538" s="14">
        <f>85*(2/3*10)</f>
        <v>566.66666666666663</v>
      </c>
      <c r="G538" s="14">
        <f>80*(2/3*10)</f>
        <v>533.33333333333326</v>
      </c>
      <c r="H538" s="14">
        <f>49.7*(2/3*10)</f>
        <v>331.33333333333331</v>
      </c>
      <c r="I538" s="14">
        <f>208.7*(2/3*10)</f>
        <v>1391.333333333333</v>
      </c>
      <c r="K538" s="15">
        <v>535</v>
      </c>
      <c r="L538">
        <f t="shared" si="8"/>
        <v>7</v>
      </c>
    </row>
    <row r="539" spans="1:12" ht="16.5" x14ac:dyDescent="0.2">
      <c r="A539" s="4" t="s">
        <v>286</v>
      </c>
      <c r="B539">
        <v>2016</v>
      </c>
      <c r="C539" s="14">
        <f>1586.7*(2/3*10)</f>
        <v>10578</v>
      </c>
      <c r="D539" s="14">
        <f>6.5*(2/3*10)</f>
        <v>43.333333333333329</v>
      </c>
      <c r="E539" s="14">
        <f>1245.8*(2/3*10)</f>
        <v>8305.3333333333321</v>
      </c>
      <c r="F539" s="14">
        <f>84.9*(2/3*10)</f>
        <v>566</v>
      </c>
      <c r="G539" s="14">
        <f>80.8*(2/3*10)</f>
        <v>538.66666666666663</v>
      </c>
      <c r="H539" s="14">
        <f>49.7*(2/3*10)</f>
        <v>331.33333333333331</v>
      </c>
      <c r="I539" s="14">
        <f>208.6*(2/3*10)</f>
        <v>1390.6666666666665</v>
      </c>
      <c r="K539">
        <v>536</v>
      </c>
      <c r="L539">
        <f t="shared" si="8"/>
        <v>0</v>
      </c>
    </row>
    <row r="540" spans="1:12" ht="16.5" x14ac:dyDescent="0.2">
      <c r="A540" s="4" t="s">
        <v>285</v>
      </c>
      <c r="B540">
        <v>2009</v>
      </c>
      <c r="C540" s="14">
        <f>1166.6*(2/3*10)</f>
        <v>7777.3333333333321</v>
      </c>
      <c r="D540" s="14">
        <f>2.9*(2/3*10)</f>
        <v>19.333333333333332</v>
      </c>
      <c r="E540" s="14">
        <f>260.4*(2/3*10)</f>
        <v>1735.9999999999998</v>
      </c>
      <c r="F540" s="14">
        <f>596.8*(2/3*10)</f>
        <v>3978.6666666666661</v>
      </c>
      <c r="G540" s="14">
        <f>237.3*(2/3*10)</f>
        <v>1582</v>
      </c>
      <c r="H540" s="14">
        <f>73.1*(2/3*10)</f>
        <v>487.33333333333326</v>
      </c>
      <c r="I540" s="14">
        <f>409.5*(2/3*10)</f>
        <v>2729.9999999999995</v>
      </c>
      <c r="K540" s="15">
        <v>537</v>
      </c>
      <c r="L540">
        <f t="shared" si="8"/>
        <v>1</v>
      </c>
    </row>
    <row r="541" spans="1:12" ht="16.5" x14ac:dyDescent="0.2">
      <c r="A541" s="4" t="s">
        <v>285</v>
      </c>
      <c r="B541">
        <v>2010</v>
      </c>
      <c r="C541" s="14">
        <f>1166.5*(2/3*10)</f>
        <v>7776.6666666666661</v>
      </c>
      <c r="D541" s="14">
        <f>2.8*(2/3*10)</f>
        <v>18.666666666666664</v>
      </c>
      <c r="E541" s="14">
        <f>260*(2/3*10)</f>
        <v>1733.3333333333333</v>
      </c>
      <c r="F541" s="14">
        <f>595.5*(2/3*10)</f>
        <v>3969.9999999999995</v>
      </c>
      <c r="G541" s="14">
        <f>240.1*(2/3*10)</f>
        <v>1600.6666666666665</v>
      </c>
      <c r="H541" s="14">
        <f>73.7*(2/3*10)</f>
        <v>491.33333333333331</v>
      </c>
      <c r="I541" s="14">
        <f>409.3*(2/3*10)</f>
        <v>2728.6666666666665</v>
      </c>
      <c r="K541">
        <v>538</v>
      </c>
      <c r="L541">
        <f t="shared" si="8"/>
        <v>2</v>
      </c>
    </row>
    <row r="542" spans="1:12" ht="16.5" x14ac:dyDescent="0.2">
      <c r="A542" s="4" t="s">
        <v>285</v>
      </c>
      <c r="B542">
        <v>2011</v>
      </c>
      <c r="C542" s="14">
        <f>1166.4*(2/3*10)</f>
        <v>7776</v>
      </c>
      <c r="D542" s="14">
        <f>2.8*(2/3*10)</f>
        <v>18.666666666666664</v>
      </c>
      <c r="E542" s="14">
        <f>259.7*(2/3*10)</f>
        <v>1731.333333333333</v>
      </c>
      <c r="F542" s="14">
        <f>595.2*(2/3*10)</f>
        <v>3968</v>
      </c>
      <c r="G542" s="14">
        <f>242*(2/3*10)</f>
        <v>1613.3333333333333</v>
      </c>
      <c r="H542" s="14">
        <f>74*(2/3*10)</f>
        <v>493.33333333333331</v>
      </c>
      <c r="I542" s="14">
        <f>409.1*(2/3*10)</f>
        <v>2727.333333333333</v>
      </c>
      <c r="K542" s="15">
        <v>539</v>
      </c>
      <c r="L542">
        <f t="shared" si="8"/>
        <v>3</v>
      </c>
    </row>
    <row r="543" spans="1:12" ht="16.5" x14ac:dyDescent="0.2">
      <c r="A543" s="4" t="s">
        <v>285</v>
      </c>
      <c r="B543">
        <v>2012</v>
      </c>
      <c r="C543" s="14">
        <f>1166.2*(2/3*10)</f>
        <v>7774.6666666666661</v>
      </c>
      <c r="D543" s="14">
        <f>2.8*(2/3*10)</f>
        <v>18.666666666666664</v>
      </c>
      <c r="E543" s="14">
        <f>259.5*(2/3*10)</f>
        <v>1729.9999999999998</v>
      </c>
      <c r="F543" s="14">
        <f>594.6*(2/3*10)</f>
        <v>3964</v>
      </c>
      <c r="G543" s="14">
        <f>243.2*(2/3*10)</f>
        <v>1621.333333333333</v>
      </c>
      <c r="H543" s="14">
        <f>74.1*(2/3*10)</f>
        <v>493.99999999999994</v>
      </c>
      <c r="I543" s="14">
        <f>408.9*(2/3*10)</f>
        <v>2725.9999999999995</v>
      </c>
      <c r="K543">
        <v>540</v>
      </c>
      <c r="L543">
        <f t="shared" si="8"/>
        <v>4</v>
      </c>
    </row>
    <row r="544" spans="1:12" ht="16.5" x14ac:dyDescent="0.2">
      <c r="A544" s="4" t="s">
        <v>285</v>
      </c>
      <c r="B544">
        <v>2013</v>
      </c>
      <c r="C544" s="14">
        <f>1174.9*(2/3*10)</f>
        <v>7832.666666666667</v>
      </c>
      <c r="D544" s="14">
        <f>2.8*(2/3*10)</f>
        <v>18.666666666666664</v>
      </c>
      <c r="E544" s="14">
        <f>259.2*(2/3*10)</f>
        <v>1727.9999999999998</v>
      </c>
      <c r="F544" s="14">
        <f>591.8*(2/3*10)</f>
        <v>3945.3333333333326</v>
      </c>
      <c r="G544" s="14">
        <f>244.4*(2/3*10)</f>
        <v>1629.3333333333333</v>
      </c>
      <c r="H544" s="14">
        <f>74.2*(2/3*10)</f>
        <v>494.66666666666663</v>
      </c>
      <c r="I544" s="14">
        <f>405.5*(2/3*10)</f>
        <v>2703.333333333333</v>
      </c>
      <c r="K544" s="15">
        <v>541</v>
      </c>
      <c r="L544">
        <f t="shared" si="8"/>
        <v>5</v>
      </c>
    </row>
    <row r="545" spans="1:12" ht="16.5" x14ac:dyDescent="0.2">
      <c r="A545" s="4" t="s">
        <v>285</v>
      </c>
      <c r="B545">
        <v>2014</v>
      </c>
      <c r="C545" s="14">
        <f>1174.7*(2/3*10)</f>
        <v>7831.333333333333</v>
      </c>
      <c r="D545" s="14">
        <f>2.7*(2/3*10)</f>
        <v>18</v>
      </c>
      <c r="E545" s="14">
        <f>259*(2/3*10)</f>
        <v>1726.6666666666665</v>
      </c>
      <c r="F545" s="14">
        <f>591*(2/3*10)</f>
        <v>3939.9999999999995</v>
      </c>
      <c r="G545" s="14">
        <f>246.3*(2/3*10)</f>
        <v>1642</v>
      </c>
      <c r="H545" s="14">
        <f>74.3*(2/3*10)</f>
        <v>495.33333333333326</v>
      </c>
      <c r="I545" s="14">
        <f>405.3*(2/3*10)</f>
        <v>2702</v>
      </c>
      <c r="K545">
        <v>542</v>
      </c>
      <c r="L545">
        <f t="shared" si="8"/>
        <v>6</v>
      </c>
    </row>
    <row r="546" spans="1:12" ht="16.5" x14ac:dyDescent="0.2">
      <c r="A546" s="4" t="s">
        <v>285</v>
      </c>
      <c r="B546">
        <v>2015</v>
      </c>
      <c r="C546" s="14">
        <f>1174.5*(2/3*10)</f>
        <v>7829.9999999999991</v>
      </c>
      <c r="D546" s="14">
        <f>2.7*(2/3*10)</f>
        <v>18</v>
      </c>
      <c r="E546" s="14">
        <f>259*(2/3*10)</f>
        <v>1726.6666666666665</v>
      </c>
      <c r="F546" s="14">
        <f>590.4*(2/3*10)</f>
        <v>3935.9999999999995</v>
      </c>
      <c r="G546" s="14">
        <f>247.1*(2/3*10)</f>
        <v>1647.3333333333333</v>
      </c>
      <c r="H546" s="14">
        <f>74.3*(2/3*10)</f>
        <v>495.33333333333326</v>
      </c>
      <c r="I546" s="14">
        <f>405.3*(2/3*10)</f>
        <v>2702</v>
      </c>
      <c r="K546" s="15">
        <v>543</v>
      </c>
      <c r="L546">
        <f t="shared" si="8"/>
        <v>7</v>
      </c>
    </row>
    <row r="547" spans="1:12" ht="16.5" x14ac:dyDescent="0.2">
      <c r="A547" s="4" t="s">
        <v>285</v>
      </c>
      <c r="B547">
        <v>2016</v>
      </c>
      <c r="C547" s="14">
        <f>1174.2*(2/3*10)</f>
        <v>7828</v>
      </c>
      <c r="D547" s="14">
        <f>2.7*(2/3*10)</f>
        <v>18</v>
      </c>
      <c r="E547" s="14">
        <f>258.9*(2/3*10)</f>
        <v>1725.9999999999998</v>
      </c>
      <c r="F547" s="14">
        <f>589.8*(2/3*10)</f>
        <v>3931.9999999999995</v>
      </c>
      <c r="G547" s="14">
        <f>248*(2/3*10)</f>
        <v>1653.3333333333333</v>
      </c>
      <c r="H547" s="14">
        <f>74.4*(2/3*10)</f>
        <v>496</v>
      </c>
      <c r="I547" s="14">
        <f>405.4*(2/3*10)</f>
        <v>2702.6666666666661</v>
      </c>
      <c r="K547">
        <v>544</v>
      </c>
      <c r="L547">
        <f t="shared" si="8"/>
        <v>0</v>
      </c>
    </row>
    <row r="548" spans="1:12" ht="16.5" x14ac:dyDescent="0.2">
      <c r="A548" s="4" t="s">
        <v>284</v>
      </c>
      <c r="B548">
        <v>2009</v>
      </c>
      <c r="C548" s="14">
        <f>388.2*(2/3*10)</f>
        <v>2587.9999999999995</v>
      </c>
      <c r="D548" s="14">
        <f>2.5*(2/3*10)</f>
        <v>16.666666666666664</v>
      </c>
      <c r="E548" s="14">
        <f>4279.7*(2/3*10)</f>
        <v>28531.333333333328</v>
      </c>
      <c r="F548" s="14">
        <f>40.4*(2/3*10)</f>
        <v>269.33333333333331</v>
      </c>
      <c r="G548" s="14">
        <f>48.9*(2/3*10)</f>
        <v>325.99999999999994</v>
      </c>
      <c r="H548" s="14">
        <f>26.3*(2/3*10)</f>
        <v>175.33333333333331</v>
      </c>
      <c r="I548" s="14">
        <f>56.1*(2/3*10)</f>
        <v>374</v>
      </c>
      <c r="K548" s="15">
        <v>545</v>
      </c>
      <c r="L548">
        <f t="shared" si="8"/>
        <v>1</v>
      </c>
    </row>
    <row r="549" spans="1:12" ht="16.5" x14ac:dyDescent="0.2">
      <c r="A549" s="4" t="s">
        <v>284</v>
      </c>
      <c r="B549">
        <v>2010</v>
      </c>
      <c r="C549" s="14">
        <f>388.8*(2/3*10)</f>
        <v>2592</v>
      </c>
      <c r="D549" s="14">
        <f>2.4*(2/3*10)</f>
        <v>15.999999999999998</v>
      </c>
      <c r="E549" s="14">
        <f>4277.6*(2/3*10)</f>
        <v>28517.333333333332</v>
      </c>
      <c r="F549" s="14">
        <f>40.1*(2/3*10)</f>
        <v>267.33333333333331</v>
      </c>
      <c r="G549" s="14">
        <f>49.4*(2/3*10)</f>
        <v>329.33333333333331</v>
      </c>
      <c r="H549" s="14">
        <f>26.5*(2/3*10)</f>
        <v>176.66666666666666</v>
      </c>
      <c r="I549" s="14">
        <f>57.8*(2/3*10)</f>
        <v>385.33333333333326</v>
      </c>
      <c r="K549">
        <v>546</v>
      </c>
      <c r="L549">
        <f t="shared" si="8"/>
        <v>2</v>
      </c>
    </row>
    <row r="550" spans="1:12" ht="16.5" x14ac:dyDescent="0.2">
      <c r="A550" s="4" t="s">
        <v>284</v>
      </c>
      <c r="B550">
        <v>2011</v>
      </c>
      <c r="C550" s="14">
        <f>388.9*(2/3*10)</f>
        <v>2592.6666666666661</v>
      </c>
      <c r="D550" s="14">
        <f>2.8*(2/3*10)</f>
        <v>18.666666666666664</v>
      </c>
      <c r="E550" s="14">
        <f>4277.2*(2/3*10)</f>
        <v>28514.666666666664</v>
      </c>
      <c r="F550" s="14">
        <f>40*(2/3*10)</f>
        <v>266.66666666666663</v>
      </c>
      <c r="G550" s="14">
        <f>49.7*(2/3*10)</f>
        <v>331.33333333333326</v>
      </c>
      <c r="H550" s="14">
        <f>26.6*(2/3*10)</f>
        <v>177.33333333333331</v>
      </c>
      <c r="I550" s="14">
        <f>57.9*(2/3*10)</f>
        <v>385.99999999999994</v>
      </c>
      <c r="K550" s="15">
        <v>547</v>
      </c>
      <c r="L550">
        <f t="shared" si="8"/>
        <v>3</v>
      </c>
    </row>
    <row r="551" spans="1:12" ht="16.5" x14ac:dyDescent="0.2">
      <c r="A551" s="4" t="s">
        <v>284</v>
      </c>
      <c r="B551">
        <v>2012</v>
      </c>
      <c r="C551" s="14">
        <f>388.7*(2/3*10)</f>
        <v>2591.333333333333</v>
      </c>
      <c r="D551" s="14">
        <f>2.8*(2/3*10)</f>
        <v>18.666666666666664</v>
      </c>
      <c r="E551" s="14">
        <f>4276.8*(2/3*10)</f>
        <v>28512</v>
      </c>
      <c r="F551" s="14">
        <f>39.8*(2/3*10)</f>
        <v>265.33333333333331</v>
      </c>
      <c r="G551" s="14">
        <f>50.1*(2/3*10)</f>
        <v>333.99999999999994</v>
      </c>
      <c r="H551" s="14">
        <f>26.9*(2/3*10)</f>
        <v>179.33333333333331</v>
      </c>
      <c r="I551" s="14">
        <f>58*(2/3*10)</f>
        <v>386.66666666666663</v>
      </c>
      <c r="K551">
        <v>548</v>
      </c>
      <c r="L551">
        <f t="shared" si="8"/>
        <v>4</v>
      </c>
    </row>
    <row r="552" spans="1:12" ht="16.5" x14ac:dyDescent="0.2">
      <c r="A552" s="4" t="s">
        <v>284</v>
      </c>
      <c r="B552">
        <v>2013</v>
      </c>
      <c r="C552" s="14">
        <f>388.5*(2/3*10)</f>
        <v>2589.9999999999995</v>
      </c>
      <c r="D552" s="14">
        <f>2.8*(2/3*10)</f>
        <v>18.666666666666664</v>
      </c>
      <c r="E552" s="14">
        <f>4276.5*(2/3*10)</f>
        <v>28509.999999999996</v>
      </c>
      <c r="F552" s="14">
        <f>39.6*(2/3*10)</f>
        <v>264</v>
      </c>
      <c r="G552" s="14">
        <f>50.6*(2/3*10)</f>
        <v>337.33333333333337</v>
      </c>
      <c r="H552" s="14">
        <f>27.1*(2/3*10)</f>
        <v>180.66666666666666</v>
      </c>
      <c r="I552" s="14">
        <f>58*(2/3*10)</f>
        <v>386.66666666666663</v>
      </c>
      <c r="K552" s="15">
        <v>549</v>
      </c>
      <c r="L552">
        <f t="shared" si="8"/>
        <v>5</v>
      </c>
    </row>
    <row r="553" spans="1:12" ht="16.5" x14ac:dyDescent="0.2">
      <c r="A553" s="4" t="s">
        <v>284</v>
      </c>
      <c r="B553">
        <v>2014</v>
      </c>
      <c r="C553" s="14">
        <f>388.3*(2/3*10)</f>
        <v>2588.6666666666665</v>
      </c>
      <c r="D553" s="14">
        <f>2.8*(2/3*10)</f>
        <v>18.666666666666664</v>
      </c>
      <c r="E553" s="14">
        <f>4276.3*(2/3*10)</f>
        <v>28508.666666666664</v>
      </c>
      <c r="F553" s="14">
        <f>39.6*(2/3*10)</f>
        <v>264</v>
      </c>
      <c r="G553" s="14">
        <f>50.7*(2/3*10)</f>
        <v>338</v>
      </c>
      <c r="H553" s="14">
        <f>27.4*(2/3*10)</f>
        <v>182.66666666666663</v>
      </c>
      <c r="I553" s="14">
        <f>57.9*(2/3*10)</f>
        <v>385.99999999999994</v>
      </c>
      <c r="K553">
        <v>550</v>
      </c>
      <c r="L553">
        <f t="shared" si="8"/>
        <v>6</v>
      </c>
    </row>
    <row r="554" spans="1:12" ht="16.5" x14ac:dyDescent="0.2">
      <c r="A554" s="4" t="s">
        <v>284</v>
      </c>
      <c r="B554">
        <v>2015</v>
      </c>
      <c r="C554" s="14">
        <f>388.1*(2/3*10)</f>
        <v>2587.333333333333</v>
      </c>
      <c r="D554" s="14">
        <f>2.8*(2/3*10)</f>
        <v>18.666666666666664</v>
      </c>
      <c r="E554" s="14">
        <f>4276.1*(2/3*10)</f>
        <v>28507.333333333332</v>
      </c>
      <c r="F554" s="14">
        <f>39.6*(2/3*10)</f>
        <v>264</v>
      </c>
      <c r="G554" s="14">
        <f>50.9*(2/3*10)</f>
        <v>339.33333333333331</v>
      </c>
      <c r="H554" s="14">
        <f>27.5*(2/3*10)</f>
        <v>183.33333333333331</v>
      </c>
      <c r="I554" s="14">
        <f>58*(2/3*10)</f>
        <v>386.66666666666663</v>
      </c>
      <c r="K554" s="15">
        <v>551</v>
      </c>
      <c r="L554">
        <f t="shared" si="8"/>
        <v>7</v>
      </c>
    </row>
    <row r="555" spans="1:12" ht="16.5" x14ac:dyDescent="0.2">
      <c r="A555" s="4" t="s">
        <v>284</v>
      </c>
      <c r="B555">
        <v>2016</v>
      </c>
      <c r="C555" s="14">
        <f>388.5*(2/3*10)</f>
        <v>2589.9999999999995</v>
      </c>
      <c r="D555" s="14">
        <f>2.8*(2/3*10)</f>
        <v>18.666666666666664</v>
      </c>
      <c r="E555" s="14">
        <f>4276*(2/3*10)</f>
        <v>28506.666666666664</v>
      </c>
      <c r="F555" s="14">
        <f>39.4*(2/3*10)</f>
        <v>262.66666666666663</v>
      </c>
      <c r="G555" s="14">
        <f>50.9*(2/3*10)</f>
        <v>339.33333333333331</v>
      </c>
      <c r="H555" s="14">
        <f>27.5*(2/3*10)</f>
        <v>183.33333333333331</v>
      </c>
      <c r="I555" s="14">
        <f>58.1*(2/3*10)</f>
        <v>387.33333333333331</v>
      </c>
      <c r="K555">
        <v>552</v>
      </c>
      <c r="L555">
        <f t="shared" si="8"/>
        <v>0</v>
      </c>
    </row>
    <row r="556" spans="1:12" ht="16.5" x14ac:dyDescent="0.2">
      <c r="A556" s="4" t="s">
        <v>283</v>
      </c>
      <c r="B556">
        <v>2009</v>
      </c>
      <c r="C556" s="14">
        <f>3064.1*(2/3*10)</f>
        <v>20427.333333333332</v>
      </c>
      <c r="D556" s="14">
        <f>2.1*(2/3*10)</f>
        <v>14</v>
      </c>
      <c r="E556" s="14">
        <f>810.6*(2/3*10)</f>
        <v>5404</v>
      </c>
      <c r="F556" s="14">
        <f>155*(2/3*10)</f>
        <v>1033.3333333333333</v>
      </c>
      <c r="G556" s="14">
        <f>109.1*(2/3*10)</f>
        <v>727.33333333333326</v>
      </c>
      <c r="H556" s="14">
        <f>84*(2/3*10)</f>
        <v>560</v>
      </c>
      <c r="I556" s="14">
        <f>501.7*(2/3*10)</f>
        <v>3344.6666666666665</v>
      </c>
      <c r="K556" s="15">
        <v>553</v>
      </c>
      <c r="L556">
        <f t="shared" si="8"/>
        <v>1</v>
      </c>
    </row>
    <row r="557" spans="1:12" ht="16.5" x14ac:dyDescent="0.2">
      <c r="A557" s="4" t="s">
        <v>283</v>
      </c>
      <c r="B557">
        <v>2010</v>
      </c>
      <c r="C557" s="14">
        <f>3062*(2/3*10)</f>
        <v>20413.333333333332</v>
      </c>
      <c r="D557" s="14">
        <f>2.1*(2/3*10)</f>
        <v>14</v>
      </c>
      <c r="E557" s="14">
        <f>810.4*(2/3*10)</f>
        <v>5402.6666666666661</v>
      </c>
      <c r="F557" s="14">
        <f>154.9*(2/3*10)</f>
        <v>1032.6666666666665</v>
      </c>
      <c r="G557" s="14">
        <f>110.6*(2/3*10)</f>
        <v>737.33333333333326</v>
      </c>
      <c r="H557" s="14">
        <f>84.1*(2/3*10)</f>
        <v>560.66666666666663</v>
      </c>
      <c r="I557" s="14">
        <f>502.5*(2/3*10)</f>
        <v>3349.9999999999995</v>
      </c>
      <c r="K557">
        <v>554</v>
      </c>
      <c r="L557">
        <f t="shared" si="8"/>
        <v>2</v>
      </c>
    </row>
    <row r="558" spans="1:12" ht="16.5" x14ac:dyDescent="0.2">
      <c r="A558" s="4" t="s">
        <v>283</v>
      </c>
      <c r="B558">
        <v>2011</v>
      </c>
      <c r="C558" s="14">
        <f>3060.5*(2/3*10)</f>
        <v>20403.333333333332</v>
      </c>
      <c r="D558" s="14">
        <f>2.1*(2/3*10)</f>
        <v>14</v>
      </c>
      <c r="E558" s="14">
        <f>810.2*(2/3*10)</f>
        <v>5401.333333333333</v>
      </c>
      <c r="F558" s="14">
        <f>154.5*(2/3*10)</f>
        <v>1030</v>
      </c>
      <c r="G558" s="14">
        <f>111.8*(2/3*10)</f>
        <v>745.33333333333326</v>
      </c>
      <c r="H558" s="14">
        <f>84.5*(2/3*10)</f>
        <v>563.33333333333326</v>
      </c>
      <c r="I558" s="14">
        <f>502*(2/3*10)</f>
        <v>3346.6666666666665</v>
      </c>
      <c r="K558" s="15">
        <v>555</v>
      </c>
      <c r="L558">
        <f t="shared" si="8"/>
        <v>3</v>
      </c>
    </row>
    <row r="559" spans="1:12" ht="16.5" x14ac:dyDescent="0.2">
      <c r="A559" s="4" t="s">
        <v>283</v>
      </c>
      <c r="B559">
        <v>2012</v>
      </c>
      <c r="C559" s="14">
        <f>3059.8*(2/3*10)</f>
        <v>20398.666666666668</v>
      </c>
      <c r="D559" s="14">
        <f>2.1*(2/3*10)</f>
        <v>14</v>
      </c>
      <c r="E559" s="14">
        <f>810*(2/3*10)</f>
        <v>5399.9999999999991</v>
      </c>
      <c r="F559" s="14">
        <f>152.9*(2/3*10)</f>
        <v>1019.3333333333333</v>
      </c>
      <c r="G559" s="14">
        <f>112.7*(2/3*10)</f>
        <v>751.33333333333326</v>
      </c>
      <c r="H559" s="14">
        <f>86.3*(2/3*10)</f>
        <v>575.33333333333326</v>
      </c>
      <c r="I559" s="14">
        <f>501.5*(2/3*10)</f>
        <v>3343.333333333333</v>
      </c>
      <c r="K559">
        <v>556</v>
      </c>
      <c r="L559">
        <f t="shared" si="8"/>
        <v>4</v>
      </c>
    </row>
    <row r="560" spans="1:12" ht="16.5" x14ac:dyDescent="0.2">
      <c r="A560" s="4" t="s">
        <v>283</v>
      </c>
      <c r="B560">
        <v>2013</v>
      </c>
      <c r="C560" s="14">
        <f>3065.1*(2/3*10)</f>
        <v>20433.999999999996</v>
      </c>
      <c r="D560" s="14">
        <f>2.1*(2/3*10)</f>
        <v>14</v>
      </c>
      <c r="E560" s="14">
        <f>809.8*(2/3*10)</f>
        <v>5398.6666666666661</v>
      </c>
      <c r="F560" s="14">
        <f>147.4*(2/3*10)</f>
        <v>982.66666666666663</v>
      </c>
      <c r="G560" s="14">
        <f>111.9*(2/3*10)</f>
        <v>745.99999999999989</v>
      </c>
      <c r="H560" s="14">
        <f>86.9*(2/3*10)</f>
        <v>579.33333333333337</v>
      </c>
      <c r="I560" s="14">
        <f>501.5*(2/3*10)</f>
        <v>3343.333333333333</v>
      </c>
      <c r="K560" s="15">
        <v>557</v>
      </c>
      <c r="L560">
        <f t="shared" si="8"/>
        <v>5</v>
      </c>
    </row>
    <row r="561" spans="1:12" ht="16.5" x14ac:dyDescent="0.2">
      <c r="A561" s="4" t="s">
        <v>283</v>
      </c>
      <c r="B561">
        <v>2014</v>
      </c>
      <c r="C561" s="14">
        <f>3064.2*(2/3*10)</f>
        <v>20427.999999999996</v>
      </c>
      <c r="D561" s="14">
        <f>2.1*(2/3*10)</f>
        <v>14</v>
      </c>
      <c r="E561" s="14">
        <f>809.8*(2/3*10)</f>
        <v>5398.6666666666661</v>
      </c>
      <c r="F561" s="14">
        <f>146.8*(2/3*10)</f>
        <v>978.66666666666663</v>
      </c>
      <c r="G561" s="14">
        <f>113.2*(2/3*10)</f>
        <v>754.66666666666663</v>
      </c>
      <c r="H561" s="14">
        <f>87.2*(2/3*10)</f>
        <v>581.33333333333326</v>
      </c>
      <c r="I561" s="14">
        <f>501.2*(2/3*10)</f>
        <v>3341.333333333333</v>
      </c>
      <c r="K561">
        <v>558</v>
      </c>
      <c r="L561">
        <f t="shared" si="8"/>
        <v>6</v>
      </c>
    </row>
    <row r="562" spans="1:12" ht="16.5" x14ac:dyDescent="0.2">
      <c r="A562" s="4" t="s">
        <v>283</v>
      </c>
      <c r="B562">
        <v>2015</v>
      </c>
      <c r="C562" s="14">
        <f>3062.1*(2/3*10)</f>
        <v>20413.999999999996</v>
      </c>
      <c r="D562" s="14">
        <f>2.1*(2/3*10)</f>
        <v>14</v>
      </c>
      <c r="E562" s="14">
        <f>809.5*(2/3*10)</f>
        <v>5396.6666666666661</v>
      </c>
      <c r="F562" s="14">
        <f>146.7*(2/3*10)</f>
        <v>977.99999999999989</v>
      </c>
      <c r="G562" s="14">
        <f>114.6*(2/3*10)</f>
        <v>764</v>
      </c>
      <c r="H562" s="14">
        <f>87.5*(2/3*10)</f>
        <v>583.33333333333326</v>
      </c>
      <c r="I562" s="14">
        <f>501.8*(2/3*10)</f>
        <v>3345.333333333333</v>
      </c>
      <c r="K562" s="15">
        <v>559</v>
      </c>
      <c r="L562">
        <f t="shared" si="8"/>
        <v>7</v>
      </c>
    </row>
    <row r="563" spans="1:12" ht="16.5" x14ac:dyDescent="0.2">
      <c r="A563" s="4" t="s">
        <v>283</v>
      </c>
      <c r="B563">
        <v>2016</v>
      </c>
      <c r="C563" s="14">
        <f>3062*(2/3*10)</f>
        <v>20413.333333333332</v>
      </c>
      <c r="D563" s="14">
        <f>2.1*(2/3*10)</f>
        <v>14</v>
      </c>
      <c r="E563" s="14">
        <f>809.4*(2/3*10)</f>
        <v>5395.9999999999991</v>
      </c>
      <c r="F563" s="14">
        <f>145.3*(2/3*10)</f>
        <v>968.66666666666663</v>
      </c>
      <c r="G563" s="14">
        <f>115.8*(2/3*10)</f>
        <v>771.99999999999989</v>
      </c>
      <c r="H563" s="14">
        <f>87.9*(2/3*10)</f>
        <v>586</v>
      </c>
      <c r="I563" s="14">
        <f>501.7*(2/3*10)</f>
        <v>3344.6666666666665</v>
      </c>
      <c r="K563">
        <v>560</v>
      </c>
      <c r="L563">
        <f t="shared" si="8"/>
        <v>0</v>
      </c>
    </row>
    <row r="564" spans="1:12" ht="16.5" x14ac:dyDescent="0.2">
      <c r="A564" s="4" t="s">
        <v>282</v>
      </c>
      <c r="B564">
        <v>2009</v>
      </c>
      <c r="C564" s="14">
        <f>420.2*(2/3*10)</f>
        <v>2801.333333333333</v>
      </c>
      <c r="D564" s="14">
        <f>2.9*(2/3*10)</f>
        <v>19.333333333333332</v>
      </c>
      <c r="E564" s="14">
        <f>406.6*(2/3*10)</f>
        <v>2710.6666666666665</v>
      </c>
      <c r="F564" s="14">
        <f>19.1*(2/3*10)</f>
        <v>127.33333333333333</v>
      </c>
      <c r="G564" s="14">
        <f>35*(2/3*10)</f>
        <v>233.33333333333331</v>
      </c>
      <c r="H564" s="14">
        <f>15.2*(2/3*10)</f>
        <v>101.33333333333331</v>
      </c>
      <c r="I564" s="14">
        <f>24.2*(2/3*10)</f>
        <v>161.33333333333331</v>
      </c>
      <c r="K564" s="15">
        <v>561</v>
      </c>
      <c r="L564">
        <f t="shared" si="8"/>
        <v>1</v>
      </c>
    </row>
    <row r="565" spans="1:12" ht="16.5" x14ac:dyDescent="0.2">
      <c r="A565" s="4" t="s">
        <v>282</v>
      </c>
      <c r="B565">
        <v>2010</v>
      </c>
      <c r="C565" s="14">
        <f>419.9*(2/3*10)</f>
        <v>2799.333333333333</v>
      </c>
      <c r="D565" s="14">
        <f>2.8*(2/3*10)</f>
        <v>18.666666666666664</v>
      </c>
      <c r="E565" s="14">
        <f>406.5*(2/3*10)</f>
        <v>2709.9999999999995</v>
      </c>
      <c r="F565" s="14">
        <f>19*(2/3*10)</f>
        <v>126.66666666666666</v>
      </c>
      <c r="G565" s="14">
        <f>35.2*(2/3*10)</f>
        <v>234.66666666666666</v>
      </c>
      <c r="H565" s="14">
        <f>15.4*(2/3*10)</f>
        <v>102.66666666666666</v>
      </c>
      <c r="I565" s="14">
        <f>24.2*(2/3*10)</f>
        <v>161.33333333333331</v>
      </c>
      <c r="K565">
        <v>562</v>
      </c>
      <c r="L565">
        <f t="shared" si="8"/>
        <v>2</v>
      </c>
    </row>
    <row r="566" spans="1:12" ht="16.5" x14ac:dyDescent="0.2">
      <c r="A566" s="4" t="s">
        <v>282</v>
      </c>
      <c r="B566">
        <v>2011</v>
      </c>
      <c r="C566" s="14">
        <f>418.7*(2/3*10)</f>
        <v>2791.333333333333</v>
      </c>
      <c r="D566" s="14">
        <f>2.8*(2/3*10)</f>
        <v>18.666666666666664</v>
      </c>
      <c r="E566" s="14">
        <f>406.4*(2/3*10)</f>
        <v>2709.333333333333</v>
      </c>
      <c r="F566" s="14">
        <f>18.9*(2/3*10)</f>
        <v>125.99999999999999</v>
      </c>
      <c r="G566" s="14">
        <f>35.8*(2/3*10)</f>
        <v>238.66666666666663</v>
      </c>
      <c r="H566" s="14">
        <f>15.4*(2/3*10)</f>
        <v>102.66666666666666</v>
      </c>
      <c r="I566" s="14">
        <f>25.1*(2/3*10)</f>
        <v>167.33333333333331</v>
      </c>
      <c r="K566" s="15">
        <v>563</v>
      </c>
      <c r="L566">
        <f t="shared" si="8"/>
        <v>3</v>
      </c>
    </row>
    <row r="567" spans="1:12" ht="16.5" x14ac:dyDescent="0.2">
      <c r="A567" s="4" t="s">
        <v>282</v>
      </c>
      <c r="B567">
        <v>2012</v>
      </c>
      <c r="C567" s="14">
        <f>418.1*(2/3*10)</f>
        <v>2787.333333333333</v>
      </c>
      <c r="D567" s="14">
        <f>2.8*(2/3*10)</f>
        <v>18.666666666666664</v>
      </c>
      <c r="E567" s="14">
        <f>406.3*(2/3*10)</f>
        <v>2708.6666666666665</v>
      </c>
      <c r="F567" s="14">
        <f>18.9*(2/3*10)</f>
        <v>125.99999999999999</v>
      </c>
      <c r="G567" s="14">
        <f>36.3*(2/3*10)</f>
        <v>241.99999999999997</v>
      </c>
      <c r="H567" s="14">
        <f>15.4*(2/3*10)</f>
        <v>102.66666666666666</v>
      </c>
      <c r="I567" s="14">
        <f>25.1*(2/3*10)</f>
        <v>167.33333333333331</v>
      </c>
      <c r="K567">
        <v>564</v>
      </c>
      <c r="L567">
        <f t="shared" si="8"/>
        <v>4</v>
      </c>
    </row>
    <row r="568" spans="1:12" ht="16.5" x14ac:dyDescent="0.2">
      <c r="A568" s="4" t="s">
        <v>282</v>
      </c>
      <c r="B568">
        <v>2013</v>
      </c>
      <c r="C568" s="14">
        <f>417.7*(2/3*10)</f>
        <v>2784.6666666666665</v>
      </c>
      <c r="D568" s="14">
        <f>2.8*(2/3*10)</f>
        <v>18.666666666666664</v>
      </c>
      <c r="E568" s="14">
        <f>406.3*(2/3*10)</f>
        <v>2708.6666666666665</v>
      </c>
      <c r="F568" s="14">
        <f>18.9*(2/3*10)</f>
        <v>125.99999999999999</v>
      </c>
      <c r="G568" s="14">
        <f>36.9*(2/3*10)</f>
        <v>245.99999999999997</v>
      </c>
      <c r="H568" s="14">
        <f>15.4*(2/3*10)</f>
        <v>102.66666666666666</v>
      </c>
      <c r="I568" s="14">
        <f>25*(2/3*10)</f>
        <v>166.66666666666666</v>
      </c>
      <c r="K568" s="15">
        <v>565</v>
      </c>
      <c r="L568">
        <f t="shared" si="8"/>
        <v>5</v>
      </c>
    </row>
    <row r="569" spans="1:12" ht="16.5" x14ac:dyDescent="0.2">
      <c r="A569" s="4" t="s">
        <v>282</v>
      </c>
      <c r="B569">
        <v>2014</v>
      </c>
      <c r="C569" s="14">
        <f>417.5*(2/3*10)</f>
        <v>2783.333333333333</v>
      </c>
      <c r="D569" s="14">
        <f>2.8*(2/3*10)</f>
        <v>18.666666666666664</v>
      </c>
      <c r="E569" s="14">
        <f>406.2*(2/3*10)</f>
        <v>2707.9999999999995</v>
      </c>
      <c r="F569" s="14">
        <f>18.8*(2/3*10)</f>
        <v>125.33333333333333</v>
      </c>
      <c r="G569" s="14">
        <f>37*(2/3*10)</f>
        <v>246.66666666666666</v>
      </c>
      <c r="H569" s="14">
        <f>15.4*(2/3*10)</f>
        <v>102.66666666666666</v>
      </c>
      <c r="I569" s="14">
        <f>25*(2/3*10)</f>
        <v>166.66666666666666</v>
      </c>
      <c r="K569">
        <v>566</v>
      </c>
      <c r="L569">
        <f t="shared" si="8"/>
        <v>6</v>
      </c>
    </row>
    <row r="570" spans="1:12" ht="16.5" x14ac:dyDescent="0.2">
      <c r="A570" s="4" t="s">
        <v>282</v>
      </c>
      <c r="B570">
        <v>2015</v>
      </c>
      <c r="C570" s="14">
        <f>417.4*(2/3*10)</f>
        <v>2782.6666666666661</v>
      </c>
      <c r="D570" s="14">
        <f>2.8*(2/3*10)</f>
        <v>18.666666666666664</v>
      </c>
      <c r="E570" s="14">
        <f>406.2*(2/3*10)</f>
        <v>2707.9999999999995</v>
      </c>
      <c r="F570" s="14">
        <f>18.8*(2/3*10)</f>
        <v>125.33333333333333</v>
      </c>
      <c r="G570" s="14">
        <f>37.2*(2/3*10)</f>
        <v>247.99999999999994</v>
      </c>
      <c r="H570" s="14">
        <f>15.4*(2/3*10)</f>
        <v>102.66666666666666</v>
      </c>
      <c r="I570" s="14">
        <f>25*(2/3*10)</f>
        <v>166.66666666666666</v>
      </c>
      <c r="K570" s="15">
        <v>567</v>
      </c>
      <c r="L570">
        <f t="shared" si="8"/>
        <v>7</v>
      </c>
    </row>
    <row r="571" spans="1:12" ht="16.5" x14ac:dyDescent="0.2">
      <c r="A571" s="4" t="s">
        <v>282</v>
      </c>
      <c r="B571">
        <v>2016</v>
      </c>
      <c r="C571" s="14">
        <f>417.2*(2/3*10)</f>
        <v>2781.333333333333</v>
      </c>
      <c r="D571" s="14">
        <f>2.8*(2/3*10)</f>
        <v>18.666666666666664</v>
      </c>
      <c r="E571" s="14">
        <f>406.2*(2/3*10)</f>
        <v>2707.9999999999995</v>
      </c>
      <c r="F571" s="14">
        <f>18.8*(2/3*10)</f>
        <v>125.33333333333333</v>
      </c>
      <c r="G571" s="14">
        <f>37.4*(2/3*10)</f>
        <v>249.33333333333331</v>
      </c>
      <c r="H571" s="14">
        <f>15.4*(2/3*10)</f>
        <v>102.66666666666666</v>
      </c>
      <c r="I571" s="14">
        <f>24.9*(2/3*10)</f>
        <v>165.99999999999997</v>
      </c>
      <c r="K571">
        <v>568</v>
      </c>
      <c r="L571">
        <f t="shared" si="8"/>
        <v>0</v>
      </c>
    </row>
    <row r="572" spans="1:12" ht="16.5" x14ac:dyDescent="0.2">
      <c r="A572" s="4" t="s">
        <v>281</v>
      </c>
      <c r="B572">
        <v>2009</v>
      </c>
      <c r="C572" s="14">
        <f>1326.9*(2/3*10)</f>
        <v>8846</v>
      </c>
      <c r="D572" s="14">
        <f>15.6*(2/3*10)</f>
        <v>103.99999999999999</v>
      </c>
      <c r="E572" s="14">
        <f>4129.4*(2/3*10)</f>
        <v>27529.333333333328</v>
      </c>
      <c r="F572" s="14">
        <f>57*(2/3*10)</f>
        <v>379.99999999999994</v>
      </c>
      <c r="G572" s="14">
        <f>93*(2/3*10)</f>
        <v>620</v>
      </c>
      <c r="H572" s="14">
        <f>50.2*(2/3*10)</f>
        <v>334.66666666666663</v>
      </c>
      <c r="I572" s="14">
        <f>110.3*(2/3*10)</f>
        <v>735.33333333333326</v>
      </c>
      <c r="K572" s="15">
        <v>569</v>
      </c>
      <c r="L572">
        <f t="shared" si="8"/>
        <v>1</v>
      </c>
    </row>
    <row r="573" spans="1:12" ht="16.5" x14ac:dyDescent="0.2">
      <c r="A573" s="4" t="s">
        <v>281</v>
      </c>
      <c r="B573">
        <v>2010</v>
      </c>
      <c r="C573" s="14">
        <f>1326*(2/3*10)</f>
        <v>8840</v>
      </c>
      <c r="D573" s="14">
        <f>15.5*(2/3*10)</f>
        <v>103.33333333333333</v>
      </c>
      <c r="E573" s="14">
        <f>4129.1*(2/3*10)</f>
        <v>27527.333333333332</v>
      </c>
      <c r="F573" s="14">
        <f>57*(2/3*10)</f>
        <v>379.99999999999994</v>
      </c>
      <c r="G573" s="14">
        <f>93.9*(2/3*10)</f>
        <v>625.99999999999989</v>
      </c>
      <c r="H573" s="14">
        <f>50.6*(2/3*10)</f>
        <v>337.33333333333331</v>
      </c>
      <c r="I573" s="14">
        <f>110.2*(2/3*10)</f>
        <v>734.66666666666663</v>
      </c>
      <c r="K573">
        <v>570</v>
      </c>
      <c r="L573">
        <f t="shared" si="8"/>
        <v>2</v>
      </c>
    </row>
    <row r="574" spans="1:12" ht="16.5" x14ac:dyDescent="0.2">
      <c r="A574" s="4" t="s">
        <v>281</v>
      </c>
      <c r="B574">
        <v>2011</v>
      </c>
      <c r="C574" s="14">
        <f>1324.9*(2/3*10)</f>
        <v>8832.6666666666661</v>
      </c>
      <c r="D574" s="14">
        <f>15.6*(2/3*10)</f>
        <v>103.99999999999999</v>
      </c>
      <c r="E574" s="14">
        <f>4128.7*(2/3*10)</f>
        <v>27524.666666666664</v>
      </c>
      <c r="F574" s="14">
        <f>56.8*(2/3*10)</f>
        <v>378.66666666666663</v>
      </c>
      <c r="G574" s="14">
        <f>94.7*(2/3*10)</f>
        <v>631.33333333333337</v>
      </c>
      <c r="H574" s="14">
        <f>51.1*(2/3*10)</f>
        <v>340.66666666666663</v>
      </c>
      <c r="I574" s="14">
        <f>110.5*(2/3*10)</f>
        <v>736.66666666666663</v>
      </c>
      <c r="K574" s="15">
        <v>571</v>
      </c>
      <c r="L574">
        <f t="shared" si="8"/>
        <v>3</v>
      </c>
    </row>
    <row r="575" spans="1:12" ht="16.5" x14ac:dyDescent="0.2">
      <c r="A575" s="4" t="s">
        <v>281</v>
      </c>
      <c r="B575">
        <v>2012</v>
      </c>
      <c r="C575" s="14">
        <f>1323.8*(2/3*10)</f>
        <v>8825.3333333333321</v>
      </c>
      <c r="D575" s="14">
        <f>15.5*(2/3*10)</f>
        <v>103.33333333333333</v>
      </c>
      <c r="E575" s="14">
        <f>4128.5*(2/3*10)</f>
        <v>27523.333333333332</v>
      </c>
      <c r="F575" s="14">
        <f>56.6*(2/3*10)</f>
        <v>377.33333333333331</v>
      </c>
      <c r="G575" s="14">
        <f>95.9*(2/3*10)</f>
        <v>639.33333333333337</v>
      </c>
      <c r="H575" s="14">
        <f>51.4*(2/3*10)</f>
        <v>342.66666666666663</v>
      </c>
      <c r="I575" s="14">
        <f>110.5*(2/3*10)</f>
        <v>736.66666666666663</v>
      </c>
      <c r="K575">
        <v>572</v>
      </c>
      <c r="L575">
        <f t="shared" si="8"/>
        <v>4</v>
      </c>
    </row>
    <row r="576" spans="1:12" ht="16.5" x14ac:dyDescent="0.2">
      <c r="A576" s="4" t="s">
        <v>281</v>
      </c>
      <c r="B576">
        <v>2013</v>
      </c>
      <c r="C576" s="14">
        <f>1323.6*(2/3*10)</f>
        <v>8823.9999999999982</v>
      </c>
      <c r="D576" s="14">
        <f>15.5*(2/3*10)</f>
        <v>103.33333333333333</v>
      </c>
      <c r="E576" s="14">
        <f>4128.3*(2/3*10)</f>
        <v>27522</v>
      </c>
      <c r="F576" s="14">
        <f>56.4*(2/3*10)</f>
        <v>375.99999999999994</v>
      </c>
      <c r="G576" s="14">
        <f>96.7*(2/3*10)</f>
        <v>644.66666666666652</v>
      </c>
      <c r="H576" s="14">
        <f>51.7*(2/3*10)</f>
        <v>344.66666666666663</v>
      </c>
      <c r="I576" s="14">
        <f>110.3*(2/3*10)</f>
        <v>735.33333333333326</v>
      </c>
      <c r="K576" s="15">
        <v>573</v>
      </c>
      <c r="L576">
        <f t="shared" si="8"/>
        <v>5</v>
      </c>
    </row>
    <row r="577" spans="1:12" ht="16.5" x14ac:dyDescent="0.2">
      <c r="A577" s="4" t="s">
        <v>281</v>
      </c>
      <c r="B577">
        <v>2014</v>
      </c>
      <c r="C577" s="14">
        <f>1322.9*(2/3*10)</f>
        <v>8819.3333333333339</v>
      </c>
      <c r="D577" s="14">
        <f>15.5*(2/3*10)</f>
        <v>103.33333333333333</v>
      </c>
      <c r="E577" s="14">
        <f>4127.6*(2/3*10)</f>
        <v>27517.333333333332</v>
      </c>
      <c r="F577" s="14">
        <f>56*(2/3*10)</f>
        <v>373.33333333333331</v>
      </c>
      <c r="G577" s="14">
        <f>97.8*(2/3*10)</f>
        <v>652</v>
      </c>
      <c r="H577" s="14">
        <f>52.1*(2/3*10)</f>
        <v>347.33333333333331</v>
      </c>
      <c r="I577" s="14">
        <f>110.8*(2/3*10)</f>
        <v>738.66666666666663</v>
      </c>
      <c r="K577">
        <v>574</v>
      </c>
      <c r="L577">
        <f t="shared" si="8"/>
        <v>6</v>
      </c>
    </row>
    <row r="578" spans="1:12" ht="16.5" x14ac:dyDescent="0.2">
      <c r="A578" s="4" t="s">
        <v>281</v>
      </c>
      <c r="B578">
        <v>2015</v>
      </c>
      <c r="C578" s="14">
        <f>1322.5*(2/3*10)</f>
        <v>8816.6666666666661</v>
      </c>
      <c r="D578" s="14">
        <f>15.5*(2/3*10)</f>
        <v>103.33333333333333</v>
      </c>
      <c r="E578" s="14">
        <f>4127.5*(2/3*10)</f>
        <v>27516.666666666664</v>
      </c>
      <c r="F578" s="14">
        <f>55.6*(2/3*10)</f>
        <v>370.66666666666663</v>
      </c>
      <c r="G578" s="14">
        <f>98.3*(2/3*10)</f>
        <v>655.33333333333337</v>
      </c>
      <c r="H578" s="14">
        <f>52.2*(2/3*10)</f>
        <v>348</v>
      </c>
      <c r="I578" s="14">
        <f>110.8*(2/3*10)</f>
        <v>738.66666666666663</v>
      </c>
      <c r="K578" s="15">
        <v>575</v>
      </c>
      <c r="L578">
        <f t="shared" si="8"/>
        <v>7</v>
      </c>
    </row>
    <row r="579" spans="1:12" ht="16.5" x14ac:dyDescent="0.2">
      <c r="A579" s="4" t="s">
        <v>281</v>
      </c>
      <c r="B579">
        <v>2016</v>
      </c>
      <c r="C579" s="14">
        <f>1322*(2/3*10)</f>
        <v>8813.3333333333321</v>
      </c>
      <c r="D579" s="14">
        <f>15.5*(2/3*10)</f>
        <v>103.33333333333333</v>
      </c>
      <c r="E579" s="14">
        <f>4127.1*(2/3*10)</f>
        <v>27514</v>
      </c>
      <c r="F579" s="14">
        <f>55.6*(2/3*10)</f>
        <v>370.66666666666663</v>
      </c>
      <c r="G579" s="14">
        <f>98.7*(2/3*10)</f>
        <v>658</v>
      </c>
      <c r="H579" s="14">
        <f>52.6*(2/3*10)</f>
        <v>350.66666666666663</v>
      </c>
      <c r="I579" s="14">
        <f>110.8*(2/3*10)</f>
        <v>738.66666666666663</v>
      </c>
      <c r="K579">
        <v>576</v>
      </c>
      <c r="L579">
        <f t="shared" si="8"/>
        <v>0</v>
      </c>
    </row>
    <row r="580" spans="1:12" ht="16.5" x14ac:dyDescent="0.2">
      <c r="A580" s="4" t="s">
        <v>280</v>
      </c>
      <c r="B580">
        <v>2009</v>
      </c>
      <c r="C580" s="14">
        <f>2882.8*(2/3*10)</f>
        <v>19218.666666666668</v>
      </c>
      <c r="D580" s="14">
        <f>4.5*(2/3*10)</f>
        <v>29.999999999999996</v>
      </c>
      <c r="E580" s="14">
        <f>5277*(2/3*10)</f>
        <v>35180</v>
      </c>
      <c r="F580" s="14">
        <f>858.3*(2/3*10)</f>
        <v>5721.9999999999991</v>
      </c>
      <c r="G580" s="14">
        <f>97.3*(2/3*10)</f>
        <v>648.66666666666663</v>
      </c>
      <c r="H580" s="14">
        <f>73*(2/3*10)</f>
        <v>486.66666666666663</v>
      </c>
      <c r="I580" s="14">
        <f>183.5*(2/3*10)</f>
        <v>1223.3333333333333</v>
      </c>
      <c r="K580" s="15">
        <v>577</v>
      </c>
      <c r="L580">
        <f t="shared" si="8"/>
        <v>1</v>
      </c>
    </row>
    <row r="581" spans="1:12" ht="16.5" x14ac:dyDescent="0.2">
      <c r="A581" s="4" t="s">
        <v>280</v>
      </c>
      <c r="B581">
        <v>2010</v>
      </c>
      <c r="C581" s="14">
        <f>2880.5*(2/3*10)</f>
        <v>19203.333333333332</v>
      </c>
      <c r="D581" s="14">
        <f>4.5*(2/3*10)</f>
        <v>29.999999999999996</v>
      </c>
      <c r="E581" s="14">
        <f>5275.9*(2/3*10)</f>
        <v>35172.666666666664</v>
      </c>
      <c r="F581" s="14">
        <f>857.8*(2/3*10)</f>
        <v>5718.6666666666661</v>
      </c>
      <c r="G581" s="14">
        <f>98.2*(2/3*10)</f>
        <v>654.66666666666663</v>
      </c>
      <c r="H581" s="14">
        <f>75.4*(2/3*10)</f>
        <v>502.66666666666669</v>
      </c>
      <c r="I581" s="14">
        <f>183.4*(2/3*10)</f>
        <v>1222.6666666666665</v>
      </c>
      <c r="K581">
        <v>578</v>
      </c>
      <c r="L581">
        <f t="shared" ref="L581:L644" si="9">MOD(K581,8)</f>
        <v>2</v>
      </c>
    </row>
    <row r="582" spans="1:12" ht="16.5" x14ac:dyDescent="0.2">
      <c r="A582" s="4" t="s">
        <v>280</v>
      </c>
      <c r="B582">
        <v>2011</v>
      </c>
      <c r="C582" s="14">
        <f>2879.5*(2/3*10)</f>
        <v>19196.666666666664</v>
      </c>
      <c r="D582" s="14">
        <f>4.5*(2/3*10)</f>
        <v>29.999999999999996</v>
      </c>
      <c r="E582" s="14">
        <f>5275.4*(2/3*10)</f>
        <v>35169.333333333328</v>
      </c>
      <c r="F582" s="14">
        <f>857.6*(2/3*10)</f>
        <v>5717.333333333333</v>
      </c>
      <c r="G582" s="14">
        <f>99.2*(2/3*10)</f>
        <v>661.33333333333326</v>
      </c>
      <c r="H582" s="14">
        <f>75.9*(2/3*10)</f>
        <v>506</v>
      </c>
      <c r="I582" s="14">
        <f>183.4*(2/3*10)</f>
        <v>1222.6666666666665</v>
      </c>
      <c r="K582" s="15">
        <v>579</v>
      </c>
      <c r="L582">
        <f t="shared" si="9"/>
        <v>3</v>
      </c>
    </row>
    <row r="583" spans="1:12" ht="16.5" x14ac:dyDescent="0.2">
      <c r="A583" s="4" t="s">
        <v>280</v>
      </c>
      <c r="B583">
        <v>2012</v>
      </c>
      <c r="C583" s="14">
        <f>2880.2*(2/3*10)</f>
        <v>19201.333333333332</v>
      </c>
      <c r="D583" s="14">
        <f>4.5*(2/3*10)</f>
        <v>29.999999999999996</v>
      </c>
      <c r="E583" s="14">
        <f>5275.2*(2/3*10)</f>
        <v>35167.999999999993</v>
      </c>
      <c r="F583" s="14">
        <f>857.4*(2/3*10)</f>
        <v>5715.9999999999991</v>
      </c>
      <c r="G583" s="14">
        <f>98.6*(2/3*10)</f>
        <v>657.33333333333326</v>
      </c>
      <c r="H583" s="14">
        <f>76.1*(2/3*10)</f>
        <v>507.33333333333326</v>
      </c>
      <c r="I583" s="14">
        <f>183.5*(2/3*10)</f>
        <v>1223.3333333333333</v>
      </c>
      <c r="K583">
        <v>580</v>
      </c>
      <c r="L583">
        <f t="shared" si="9"/>
        <v>4</v>
      </c>
    </row>
    <row r="584" spans="1:12" ht="16.5" x14ac:dyDescent="0.2">
      <c r="A584" s="4" t="s">
        <v>280</v>
      </c>
      <c r="B584">
        <v>2013</v>
      </c>
      <c r="C584" s="14">
        <f>2880.8*(2/3*10)</f>
        <v>19205.333333333332</v>
      </c>
      <c r="D584" s="14">
        <f>4.5*(2/3*10)</f>
        <v>29.999999999999996</v>
      </c>
      <c r="E584" s="14">
        <f>5275.1*(2/3*10)</f>
        <v>35167.333333333336</v>
      </c>
      <c r="F584" s="14">
        <f>856*(2/3*10)</f>
        <v>5706.6666666666661</v>
      </c>
      <c r="G584" s="14">
        <f>99.3*(2/3*10)</f>
        <v>662</v>
      </c>
      <c r="H584" s="14">
        <f>76.2*(2/3*10)</f>
        <v>508</v>
      </c>
      <c r="I584" s="14">
        <f>183.4*(2/3*10)</f>
        <v>1222.6666666666665</v>
      </c>
      <c r="K584" s="15">
        <v>581</v>
      </c>
      <c r="L584">
        <f t="shared" si="9"/>
        <v>5</v>
      </c>
    </row>
    <row r="585" spans="1:12" ht="16.5" x14ac:dyDescent="0.2">
      <c r="A585" s="4" t="s">
        <v>280</v>
      </c>
      <c r="B585">
        <v>2014</v>
      </c>
      <c r="C585" s="14">
        <f>2880.3*(2/3*10)</f>
        <v>19202</v>
      </c>
      <c r="D585" s="14">
        <f>4.5*(2/3*10)</f>
        <v>29.999999999999996</v>
      </c>
      <c r="E585" s="14">
        <f>5274.8*(2/3*10)</f>
        <v>35165.333333333328</v>
      </c>
      <c r="F585" s="14">
        <f>855.8*(2/3*10)</f>
        <v>5705.3333333333321</v>
      </c>
      <c r="G585" s="14">
        <f>99.8*(2/3*10)</f>
        <v>665.33333333333326</v>
      </c>
      <c r="H585" s="14">
        <f>76.3*(2/3*10)</f>
        <v>508.66666666666663</v>
      </c>
      <c r="I585" s="14">
        <f>183.5*(2/3*10)</f>
        <v>1223.3333333333333</v>
      </c>
      <c r="K585">
        <v>582</v>
      </c>
      <c r="L585">
        <f t="shared" si="9"/>
        <v>6</v>
      </c>
    </row>
    <row r="586" spans="1:12" ht="16.5" x14ac:dyDescent="0.2">
      <c r="A586" s="4" t="s">
        <v>280</v>
      </c>
      <c r="B586">
        <v>2015</v>
      </c>
      <c r="C586" s="14">
        <f>2879.4*(2/3*10)</f>
        <v>19196</v>
      </c>
      <c r="D586" s="14">
        <f>4.5*(2/3*10)</f>
        <v>29.999999999999996</v>
      </c>
      <c r="E586" s="14">
        <f>5274.6*(2/3*10)</f>
        <v>35164</v>
      </c>
      <c r="F586" s="14">
        <f>855.6*(2/3*10)</f>
        <v>5704</v>
      </c>
      <c r="G586" s="14">
        <f>100.2*(2/3*10)</f>
        <v>668</v>
      </c>
      <c r="H586" s="14">
        <f>76.4*(2/3*10)</f>
        <v>509.33333333333331</v>
      </c>
      <c r="I586" s="14">
        <f>184*(2/3*10)</f>
        <v>1226.6666666666665</v>
      </c>
      <c r="K586" s="15">
        <v>583</v>
      </c>
      <c r="L586">
        <f t="shared" si="9"/>
        <v>7</v>
      </c>
    </row>
    <row r="587" spans="1:12" ht="16.5" x14ac:dyDescent="0.2">
      <c r="A587" s="4" t="s">
        <v>280</v>
      </c>
      <c r="B587">
        <v>2016</v>
      </c>
      <c r="C587" s="14">
        <f>2878.8*(2/3*10)</f>
        <v>19192</v>
      </c>
      <c r="D587" s="14">
        <f>4.5*(2/3*10)</f>
        <v>29.999999999999996</v>
      </c>
      <c r="E587" s="14">
        <f>5274.3*(2/3*10)</f>
        <v>35162</v>
      </c>
      <c r="F587" s="14">
        <f>855.4*(2/3*10)</f>
        <v>5702.6666666666661</v>
      </c>
      <c r="G587" s="14">
        <f>101.1*(2/3*10)</f>
        <v>673.99999999999989</v>
      </c>
      <c r="H587" s="14">
        <f>76.6*(2/3*10)</f>
        <v>510.66666666666657</v>
      </c>
      <c r="I587" s="14">
        <f>184*(2/3*10)</f>
        <v>1226.6666666666665</v>
      </c>
      <c r="K587">
        <v>584</v>
      </c>
      <c r="L587">
        <f t="shared" si="9"/>
        <v>0</v>
      </c>
    </row>
    <row r="588" spans="1:12" ht="16.5" x14ac:dyDescent="0.2">
      <c r="A588" s="4" t="s">
        <v>279</v>
      </c>
      <c r="B588">
        <v>2009</v>
      </c>
      <c r="C588" s="14">
        <f>2997*(2/3*10)</f>
        <v>19980</v>
      </c>
      <c r="D588" s="14">
        <f>2.9*(2/3*10)</f>
        <v>19.333333333333332</v>
      </c>
      <c r="E588" s="14">
        <f>1037.4*(2/3*10)</f>
        <v>6916</v>
      </c>
      <c r="F588" s="14">
        <f>517*(2/3*10)</f>
        <v>3446.6666666666665</v>
      </c>
      <c r="G588" s="14">
        <f>225.8*(2/3*10)</f>
        <v>1505.3333333333333</v>
      </c>
      <c r="H588" s="14">
        <f>109.2*(2/3*10)</f>
        <v>728</v>
      </c>
      <c r="I588" s="14">
        <f>237.6*(2/3*10)</f>
        <v>1583.9999999999998</v>
      </c>
      <c r="K588" s="15">
        <v>585</v>
      </c>
      <c r="L588">
        <f t="shared" si="9"/>
        <v>1</v>
      </c>
    </row>
    <row r="589" spans="1:12" ht="16.5" x14ac:dyDescent="0.2">
      <c r="A589" s="4" t="s">
        <v>279</v>
      </c>
      <c r="B589">
        <v>2010</v>
      </c>
      <c r="C589" s="14">
        <f>2996.6*(2/3*10)</f>
        <v>19977.333333333332</v>
      </c>
      <c r="D589" s="14">
        <f>2.9*(2/3*10)</f>
        <v>19.333333333333332</v>
      </c>
      <c r="E589" s="14">
        <f>1036.9*(2/3*10)</f>
        <v>6912.666666666667</v>
      </c>
      <c r="F589" s="14">
        <f>516.7*(2/3*10)</f>
        <v>3444.6666666666665</v>
      </c>
      <c r="G589" s="14">
        <f>227.1*(2/3*10)</f>
        <v>1513.9999999999998</v>
      </c>
      <c r="H589" s="14">
        <f>109.7*(2/3*10)</f>
        <v>731.33333333333326</v>
      </c>
      <c r="I589" s="14">
        <f>237.2*(2/3*10)</f>
        <v>1581.333333333333</v>
      </c>
      <c r="K589">
        <v>586</v>
      </c>
      <c r="L589">
        <f t="shared" si="9"/>
        <v>2</v>
      </c>
    </row>
    <row r="590" spans="1:12" ht="16.5" x14ac:dyDescent="0.2">
      <c r="A590" s="4" t="s">
        <v>279</v>
      </c>
      <c r="B590">
        <v>2011</v>
      </c>
      <c r="C590" s="14">
        <f>2995*(2/3*10)</f>
        <v>19966.666666666664</v>
      </c>
      <c r="D590" s="14">
        <f>2.9*(2/3*10)</f>
        <v>19.333333333333332</v>
      </c>
      <c r="E590" s="14">
        <f>1036.5*(2/3*10)</f>
        <v>6909.9999999999991</v>
      </c>
      <c r="F590" s="14">
        <f>516.2*(2/3*10)</f>
        <v>3441.3333333333335</v>
      </c>
      <c r="G590" s="14">
        <f>228.9*(2/3*10)</f>
        <v>1526</v>
      </c>
      <c r="H590" s="14">
        <f>110.4*(2/3*10)</f>
        <v>736</v>
      </c>
      <c r="I590" s="14">
        <f>237.3*(2/3*10)</f>
        <v>1582</v>
      </c>
      <c r="K590" s="15">
        <v>587</v>
      </c>
      <c r="L590">
        <f t="shared" si="9"/>
        <v>3</v>
      </c>
    </row>
    <row r="591" spans="1:12" ht="16.5" x14ac:dyDescent="0.2">
      <c r="A591" s="4" t="s">
        <v>279</v>
      </c>
      <c r="B591">
        <v>2012</v>
      </c>
      <c r="C591" s="14">
        <f>2994.2*(2/3*10)</f>
        <v>19961.333333333332</v>
      </c>
      <c r="D591" s="14">
        <f>2.8*(2/3*10)</f>
        <v>18.666666666666664</v>
      </c>
      <c r="E591" s="14">
        <f>1036.3*(2/3*10)</f>
        <v>6908.6666666666661</v>
      </c>
      <c r="F591" s="14">
        <f>515.2*(2/3*10)</f>
        <v>3434.6666666666665</v>
      </c>
      <c r="G591" s="14">
        <f>231.4*(2/3*10)</f>
        <v>1542.6666666666665</v>
      </c>
      <c r="H591" s="14">
        <f>110.5*(2/3*10)</f>
        <v>736.66666666666663</v>
      </c>
      <c r="I591" s="14">
        <f>236.7*(2/3*10)</f>
        <v>1577.9999999999998</v>
      </c>
      <c r="K591">
        <v>588</v>
      </c>
      <c r="L591">
        <f t="shared" si="9"/>
        <v>4</v>
      </c>
    </row>
    <row r="592" spans="1:12" ht="16.5" x14ac:dyDescent="0.2">
      <c r="A592" s="4" t="s">
        <v>279</v>
      </c>
      <c r="B592">
        <v>2013</v>
      </c>
      <c r="C592" s="14">
        <f>2995.5*(2/3*10)</f>
        <v>19970</v>
      </c>
      <c r="D592" s="14">
        <f>2.8*(2/3*10)</f>
        <v>18.666666666666664</v>
      </c>
      <c r="E592" s="14">
        <f>1036.2*(2/3*10)</f>
        <v>6908</v>
      </c>
      <c r="F592" s="14">
        <f>514.1*(2/3*10)</f>
        <v>3427.333333333333</v>
      </c>
      <c r="G592" s="14">
        <f>232.8*(2/3*10)</f>
        <v>1552</v>
      </c>
      <c r="H592" s="14">
        <f>110.6*(2/3*10)</f>
        <v>737.33333333333326</v>
      </c>
      <c r="I592" s="14">
        <f>235.1*(2/3*10)</f>
        <v>1567.3333333333333</v>
      </c>
      <c r="K592" s="15">
        <v>589</v>
      </c>
      <c r="L592">
        <f t="shared" si="9"/>
        <v>5</v>
      </c>
    </row>
    <row r="593" spans="1:12" ht="16.5" x14ac:dyDescent="0.2">
      <c r="A593" s="4" t="s">
        <v>279</v>
      </c>
      <c r="B593">
        <v>2014</v>
      </c>
      <c r="C593" s="14">
        <f>2995.1*(2/3*10)</f>
        <v>19967.333333333332</v>
      </c>
      <c r="D593" s="14">
        <f>2.8*(2/3*10)</f>
        <v>18.666666666666664</v>
      </c>
      <c r="E593" s="14">
        <f>1036.1*(2/3*10)</f>
        <v>6907.3333333333321</v>
      </c>
      <c r="F593" s="14">
        <f>512.3*(2/3*10)</f>
        <v>3415.3333333333326</v>
      </c>
      <c r="G593" s="14">
        <f>234.6*(2/3*10)</f>
        <v>1563.9999999999998</v>
      </c>
      <c r="H593" s="14">
        <f>110.9*(2/3*10)</f>
        <v>739.33333333333326</v>
      </c>
      <c r="I593" s="14">
        <f>235.3*(2/3*10)</f>
        <v>1568.6666666666665</v>
      </c>
      <c r="K593">
        <v>590</v>
      </c>
      <c r="L593">
        <f t="shared" si="9"/>
        <v>6</v>
      </c>
    </row>
    <row r="594" spans="1:12" ht="16.5" x14ac:dyDescent="0.2">
      <c r="A594" s="4" t="s">
        <v>279</v>
      </c>
      <c r="B594">
        <v>2015</v>
      </c>
      <c r="C594" s="14">
        <f>2994.2*(2/3*10)</f>
        <v>19961.333333333332</v>
      </c>
      <c r="D594" s="14">
        <f>2.8*(2/3*10)</f>
        <v>18.666666666666664</v>
      </c>
      <c r="E594" s="14">
        <f>1035.9*(2/3*10)</f>
        <v>6906</v>
      </c>
      <c r="F594" s="14">
        <f>512*(2/3*10)</f>
        <v>3413.333333333333</v>
      </c>
      <c r="G594" s="14">
        <f>235.9*(2/3*10)</f>
        <v>1572.6666666666665</v>
      </c>
      <c r="H594" s="14">
        <f>110.9*(2/3*10)</f>
        <v>739.33333333333326</v>
      </c>
      <c r="I594" s="14">
        <f>235.2*(2/3*10)</f>
        <v>1567.9999999999998</v>
      </c>
      <c r="K594" s="15">
        <v>591</v>
      </c>
      <c r="L594">
        <f t="shared" si="9"/>
        <v>7</v>
      </c>
    </row>
    <row r="595" spans="1:12" ht="16.5" x14ac:dyDescent="0.2">
      <c r="A595" s="4" t="s">
        <v>279</v>
      </c>
      <c r="B595">
        <v>2016</v>
      </c>
      <c r="C595" s="14">
        <f>2994.3*(2/3*10)</f>
        <v>19962</v>
      </c>
      <c r="D595" s="14">
        <f>2.8*(2/3*10)</f>
        <v>18.666666666666664</v>
      </c>
      <c r="E595" s="14">
        <f>1035.8*(2/3*10)</f>
        <v>6905.3333333333321</v>
      </c>
      <c r="F595" s="14">
        <f>511.1*(2/3*10)</f>
        <v>3407.333333333333</v>
      </c>
      <c r="G595" s="14">
        <f>236.6*(2/3*10)</f>
        <v>1577.3333333333333</v>
      </c>
      <c r="H595" s="14">
        <f>110.9*(2/3*10)</f>
        <v>739.33333333333326</v>
      </c>
      <c r="I595" s="14">
        <f>235.3*(2/3*10)</f>
        <v>1568.6666666666665</v>
      </c>
      <c r="K595">
        <v>592</v>
      </c>
      <c r="L595">
        <f t="shared" si="9"/>
        <v>0</v>
      </c>
    </row>
    <row r="596" spans="1:12" ht="16.5" x14ac:dyDescent="0.2">
      <c r="A596" s="4" t="s">
        <v>278</v>
      </c>
      <c r="B596">
        <v>2009</v>
      </c>
      <c r="C596" s="14">
        <f>99.4*(2/3*10)</f>
        <v>662.66666666666663</v>
      </c>
      <c r="D596" s="14">
        <f>0.2*(2/3*10)</f>
        <v>1.3333333333333333</v>
      </c>
      <c r="E596" s="14">
        <f>8991.7*(2/3*10)</f>
        <v>59944.666666666664</v>
      </c>
      <c r="F596" s="14">
        <f>61.6*(2/3*10)</f>
        <v>410.66666666666663</v>
      </c>
      <c r="G596" s="14">
        <f>22.6*(2/3*10)</f>
        <v>150.66666666666666</v>
      </c>
      <c r="H596" s="14">
        <f>32.3*(2/3*10)</f>
        <v>215.33333333333329</v>
      </c>
      <c r="I596" s="14">
        <f>103.4*(2/3*10)</f>
        <v>689.33333333333326</v>
      </c>
      <c r="K596" s="15">
        <v>593</v>
      </c>
      <c r="L596">
        <f t="shared" si="9"/>
        <v>1</v>
      </c>
    </row>
    <row r="597" spans="1:12" ht="16.5" x14ac:dyDescent="0.2">
      <c r="A597" s="4" t="s">
        <v>278</v>
      </c>
      <c r="B597">
        <v>2010</v>
      </c>
      <c r="C597" s="14">
        <f>99.4*(2/3*10)</f>
        <v>662.66666666666663</v>
      </c>
      <c r="D597" s="14">
        <f>0.2*(2/3*10)</f>
        <v>1.3333333333333333</v>
      </c>
      <c r="E597" s="14">
        <f>8995.6*(2/3*10)</f>
        <v>59970.666666666664</v>
      </c>
      <c r="F597" s="14">
        <f>61.3*(2/3*10)</f>
        <v>408.66666666666663</v>
      </c>
      <c r="G597" s="14">
        <f>23.1*(2/3*10)</f>
        <v>153.99999999999997</v>
      </c>
      <c r="H597" s="14">
        <f>32.1*(2/3*10)</f>
        <v>214</v>
      </c>
      <c r="I597" s="14">
        <f>103.2*(2/3*10)</f>
        <v>688</v>
      </c>
      <c r="K597">
        <v>594</v>
      </c>
      <c r="L597">
        <f t="shared" si="9"/>
        <v>2</v>
      </c>
    </row>
    <row r="598" spans="1:12" ht="16.5" x14ac:dyDescent="0.2">
      <c r="A598" s="4" t="s">
        <v>278</v>
      </c>
      <c r="B598">
        <v>2011</v>
      </c>
      <c r="C598" s="14">
        <f>99.3*(2/3*10)</f>
        <v>661.99999999999989</v>
      </c>
      <c r="D598" s="14">
        <f>0.2*(2/3*10)</f>
        <v>1.3333333333333333</v>
      </c>
      <c r="E598" s="14">
        <f>8994*(2/3*10)</f>
        <v>59959.999999999993</v>
      </c>
      <c r="F598" s="14">
        <f>61.3*(2/3*10)</f>
        <v>408.66666666666663</v>
      </c>
      <c r="G598" s="14">
        <f>23.2*(2/3*10)</f>
        <v>154.66666666666666</v>
      </c>
      <c r="H598" s="14">
        <f>33.8*(2/3*10)</f>
        <v>225.33333333333329</v>
      </c>
      <c r="I598" s="14">
        <f>103.1*(2/3*10)</f>
        <v>687.33333333333326</v>
      </c>
      <c r="K598" s="15">
        <v>595</v>
      </c>
      <c r="L598">
        <f t="shared" si="9"/>
        <v>3</v>
      </c>
    </row>
    <row r="599" spans="1:12" ht="16.5" x14ac:dyDescent="0.2">
      <c r="A599" s="4" t="s">
        <v>278</v>
      </c>
      <c r="B599">
        <v>2012</v>
      </c>
      <c r="C599" s="14">
        <f>99.6*(2/3*10)</f>
        <v>663.99999999999989</v>
      </c>
      <c r="D599" s="14">
        <f>0.2*(2/3*10)</f>
        <v>1.3333333333333333</v>
      </c>
      <c r="E599" s="14">
        <f>8993.7*(2/3*10)</f>
        <v>59958</v>
      </c>
      <c r="F599" s="14">
        <f>61*(2/3*10)</f>
        <v>406.66666666666663</v>
      </c>
      <c r="G599" s="14">
        <f>23.7*(2/3*10)</f>
        <v>157.99999999999997</v>
      </c>
      <c r="H599" s="14">
        <f>33.9*(2/3*10)</f>
        <v>225.99999999999997</v>
      </c>
      <c r="I599" s="14">
        <f>103.2*(2/3*10)</f>
        <v>688</v>
      </c>
      <c r="K599">
        <v>596</v>
      </c>
      <c r="L599">
        <f t="shared" si="9"/>
        <v>4</v>
      </c>
    </row>
    <row r="600" spans="1:12" ht="16.5" x14ac:dyDescent="0.2">
      <c r="A600" s="4" t="s">
        <v>278</v>
      </c>
      <c r="B600">
        <v>2013</v>
      </c>
      <c r="C600" s="14">
        <f>100*(2/3*10)</f>
        <v>666.66666666666663</v>
      </c>
      <c r="D600" s="14">
        <f>0.2*(2/3*10)</f>
        <v>1.3333333333333333</v>
      </c>
      <c r="E600" s="14">
        <f>8993.7*(2/3*10)</f>
        <v>59958</v>
      </c>
      <c r="F600" s="14">
        <f>60.9*(2/3*10)</f>
        <v>405.99999999999994</v>
      </c>
      <c r="G600" s="14">
        <f>23.8*(2/3*10)</f>
        <v>158.66666666666663</v>
      </c>
      <c r="H600" s="14">
        <f>33.9*(2/3*10)</f>
        <v>225.99999999999997</v>
      </c>
      <c r="I600" s="14">
        <f>103.2*(2/3*10)</f>
        <v>688</v>
      </c>
      <c r="K600" s="15">
        <v>597</v>
      </c>
      <c r="L600">
        <f t="shared" si="9"/>
        <v>5</v>
      </c>
    </row>
    <row r="601" spans="1:12" ht="16.5" x14ac:dyDescent="0.2">
      <c r="A601" s="4" t="s">
        <v>278</v>
      </c>
      <c r="B601">
        <v>2014</v>
      </c>
      <c r="C601" s="14">
        <f>100*(2/3*10)</f>
        <v>666.66666666666663</v>
      </c>
      <c r="D601" s="14">
        <f>0.2*(2/3*10)</f>
        <v>1.3333333333333333</v>
      </c>
      <c r="E601" s="14">
        <f>8993.5*(2/3*10)</f>
        <v>59956.666666666664</v>
      </c>
      <c r="F601" s="14">
        <f>60.9*(2/3*10)</f>
        <v>405.99999999999994</v>
      </c>
      <c r="G601" s="14">
        <f>23.8*(2/3*10)</f>
        <v>158.66666666666663</v>
      </c>
      <c r="H601" s="14">
        <f>34*(2/3*10)</f>
        <v>226.66666666666666</v>
      </c>
      <c r="I601" s="14">
        <f>103.2*(2/3*10)</f>
        <v>688</v>
      </c>
      <c r="K601">
        <v>598</v>
      </c>
      <c r="L601">
        <f t="shared" si="9"/>
        <v>6</v>
      </c>
    </row>
    <row r="602" spans="1:12" ht="16.5" x14ac:dyDescent="0.2">
      <c r="A602" s="4" t="s">
        <v>278</v>
      </c>
      <c r="B602">
        <v>2015</v>
      </c>
      <c r="C602" s="14">
        <f>99.8*(2/3*10)</f>
        <v>665.33333333333326</v>
      </c>
      <c r="D602" s="14">
        <f>0.2*(2/3*10)</f>
        <v>1.3333333333333333</v>
      </c>
      <c r="E602" s="14">
        <f>8993.4*(2/3*10)</f>
        <v>59955.999999999993</v>
      </c>
      <c r="F602" s="14">
        <f>60.9*(2/3*10)</f>
        <v>405.99999999999994</v>
      </c>
      <c r="G602" s="14">
        <f>23.8*(2/3*10)</f>
        <v>158.66666666666663</v>
      </c>
      <c r="H602" s="14">
        <f>33.9*(2/3*10)</f>
        <v>225.99999999999997</v>
      </c>
      <c r="I602" s="14">
        <f>103.5*(2/3*10)</f>
        <v>689.99999999999989</v>
      </c>
      <c r="K602" s="15">
        <v>599</v>
      </c>
      <c r="L602">
        <f t="shared" si="9"/>
        <v>7</v>
      </c>
    </row>
    <row r="603" spans="1:12" ht="16.5" x14ac:dyDescent="0.2">
      <c r="A603" s="4" t="s">
        <v>278</v>
      </c>
      <c r="B603">
        <v>2016</v>
      </c>
      <c r="C603" s="14">
        <f>99.7*(2/3*10)</f>
        <v>664.66666666666663</v>
      </c>
      <c r="D603" s="14">
        <f>0.2*(2/3*10)</f>
        <v>1.3333333333333333</v>
      </c>
      <c r="E603" s="14">
        <f>8993.4*(2/3*10)</f>
        <v>59955.999999999993</v>
      </c>
      <c r="F603" s="14">
        <f>60.9*(2/3*10)</f>
        <v>405.99999999999994</v>
      </c>
      <c r="G603" s="14">
        <f>23.9*(2/3*10)</f>
        <v>159.33333333333331</v>
      </c>
      <c r="H603" s="14">
        <f>34*(2/3*10)</f>
        <v>226.66666666666666</v>
      </c>
      <c r="I603" s="14">
        <f>103.5*(2/3*10)</f>
        <v>689.99999999999989</v>
      </c>
      <c r="K603">
        <v>600</v>
      </c>
      <c r="L603">
        <f t="shared" si="9"/>
        <v>0</v>
      </c>
    </row>
    <row r="604" spans="1:12" ht="16.5" x14ac:dyDescent="0.2">
      <c r="A604" s="4" t="s">
        <v>277</v>
      </c>
      <c r="B604">
        <v>2009</v>
      </c>
      <c r="C604" s="14">
        <f>284.6*(2/3*10)</f>
        <v>1897.3333333333333</v>
      </c>
      <c r="D604" s="14">
        <f>27*(2/3*10)</f>
        <v>179.99999999999997</v>
      </c>
      <c r="E604" s="14">
        <f>75.9*(2/3*10)</f>
        <v>506</v>
      </c>
      <c r="F604" s="14">
        <f>2.5*(2/3*10)</f>
        <v>16.666666666666664</v>
      </c>
      <c r="G604" s="14">
        <f>379.5*(2/3*10)</f>
        <v>2530</v>
      </c>
      <c r="H604" s="14">
        <f>60.3*(2/3*10)</f>
        <v>401.99999999999994</v>
      </c>
      <c r="I604" s="14">
        <f>412.4*(2/3*10)</f>
        <v>2749.333333333333</v>
      </c>
      <c r="K604" s="15">
        <v>601</v>
      </c>
      <c r="L604">
        <f t="shared" si="9"/>
        <v>1</v>
      </c>
    </row>
    <row r="605" spans="1:12" ht="16.5" x14ac:dyDescent="0.2">
      <c r="A605" s="4" t="s">
        <v>277</v>
      </c>
      <c r="B605">
        <v>2010</v>
      </c>
      <c r="C605" s="14">
        <f>282.3*(2/3*10)</f>
        <v>1882</v>
      </c>
      <c r="D605" s="14">
        <f>26.5*(2/3*10)</f>
        <v>176.66666666666666</v>
      </c>
      <c r="E605" s="14">
        <f>74.4*(2/3*10)</f>
        <v>496</v>
      </c>
      <c r="F605" s="14">
        <f>2.4*(2/3*10)</f>
        <v>15.999999999999998</v>
      </c>
      <c r="G605" s="14">
        <f>387.1*(2/3*10)</f>
        <v>2580.6666666666665</v>
      </c>
      <c r="H605" s="14">
        <f>61*(2/3*10)</f>
        <v>406.66666666666663</v>
      </c>
      <c r="I605" s="14">
        <f>408.6*(2/3*10)</f>
        <v>2724</v>
      </c>
      <c r="K605">
        <v>602</v>
      </c>
      <c r="L605">
        <f t="shared" si="9"/>
        <v>2</v>
      </c>
    </row>
    <row r="606" spans="1:12" ht="16.5" x14ac:dyDescent="0.2">
      <c r="A606" s="4" t="s">
        <v>277</v>
      </c>
      <c r="B606">
        <v>2011</v>
      </c>
      <c r="C606" s="14">
        <f>281.5*(2/3*10)</f>
        <v>1876.6666666666665</v>
      </c>
      <c r="D606" s="14">
        <f>25.9*(2/3*10)</f>
        <v>172.66666666666663</v>
      </c>
      <c r="E606" s="14">
        <f>73*(2/3*10)</f>
        <v>486.66666666666663</v>
      </c>
      <c r="F606" s="14">
        <f>2.3*(2/3*10)</f>
        <v>15.33333333333333</v>
      </c>
      <c r="G606" s="14">
        <f>393.5*(2/3*10)</f>
        <v>2623.333333333333</v>
      </c>
      <c r="H606" s="14">
        <f>62.8*(2/3*10)</f>
        <v>418.66666666666663</v>
      </c>
      <c r="I606" s="14">
        <f>403.1*(2/3*10)</f>
        <v>2687.333333333333</v>
      </c>
      <c r="K606" s="15">
        <v>603</v>
      </c>
      <c r="L606">
        <f t="shared" si="9"/>
        <v>3</v>
      </c>
    </row>
    <row r="607" spans="1:12" ht="16.5" x14ac:dyDescent="0.2">
      <c r="A607" s="4" t="s">
        <v>277</v>
      </c>
      <c r="B607">
        <v>2012</v>
      </c>
      <c r="C607" s="14">
        <f>282.3*(2/3*10)</f>
        <v>1882</v>
      </c>
      <c r="D607" s="14">
        <f>25.7*(2/3*10)</f>
        <v>171.33333333333331</v>
      </c>
      <c r="E607" s="14">
        <f>72.3*(2/3*10)</f>
        <v>481.99999999999994</v>
      </c>
      <c r="F607" s="14">
        <f>2.2*(2/3*10)</f>
        <v>14.666666666666666</v>
      </c>
      <c r="G607" s="14">
        <f>399*(2/3*10)</f>
        <v>2659.9999999999995</v>
      </c>
      <c r="H607" s="14">
        <f>63.3*(2/3*10)</f>
        <v>421.99999999999994</v>
      </c>
      <c r="I607" s="14">
        <f>397.3*(2/3*10)</f>
        <v>2648.6666666666665</v>
      </c>
      <c r="K607">
        <v>604</v>
      </c>
      <c r="L607">
        <f t="shared" si="9"/>
        <v>4</v>
      </c>
    </row>
    <row r="608" spans="1:12" ht="16.5" x14ac:dyDescent="0.2">
      <c r="A608" s="4" t="s">
        <v>277</v>
      </c>
      <c r="B608">
        <v>2013</v>
      </c>
      <c r="C608" s="14">
        <f>282*(2/3*10)</f>
        <v>1879.9999999999998</v>
      </c>
      <c r="D608" s="14">
        <f>25.5*(2/3*10)</f>
        <v>169.99999999999997</v>
      </c>
      <c r="E608" s="14">
        <f>71.5*(2/3*10)</f>
        <v>476.66666666666663</v>
      </c>
      <c r="F608" s="14">
        <f>2.1*(2/3*10)</f>
        <v>14</v>
      </c>
      <c r="G608" s="14">
        <f>400.5*(2/3*10)</f>
        <v>2669.9999999999995</v>
      </c>
      <c r="H608" s="14">
        <f>66*(2/3*10)</f>
        <v>439.99999999999994</v>
      </c>
      <c r="I608" s="14">
        <f>394.2*(2/3*10)</f>
        <v>2627.9999999999995</v>
      </c>
      <c r="K608" s="15">
        <v>605</v>
      </c>
      <c r="L608">
        <f t="shared" si="9"/>
        <v>5</v>
      </c>
    </row>
    <row r="609" spans="1:12" ht="16.5" x14ac:dyDescent="0.2">
      <c r="A609" s="4" t="s">
        <v>277</v>
      </c>
      <c r="B609">
        <v>2014</v>
      </c>
      <c r="C609" s="14">
        <f>282.3*(2/3*10)</f>
        <v>1882</v>
      </c>
      <c r="D609" s="14">
        <f>25.2*(2/3*10)</f>
        <v>167.99999999999997</v>
      </c>
      <c r="E609" s="14">
        <f>70.8*(2/3*10)</f>
        <v>471.99999999999994</v>
      </c>
      <c r="F609" s="14">
        <f>2*(2/3*10)</f>
        <v>13.333333333333332</v>
      </c>
      <c r="G609" s="14">
        <f>404.4*(2/3*10)</f>
        <v>2696</v>
      </c>
      <c r="H609" s="14">
        <f>66.3*(2/3*10)</f>
        <v>441.99999999999994</v>
      </c>
      <c r="I609" s="14">
        <f>391*(2/3*10)</f>
        <v>2606.6666666666665</v>
      </c>
      <c r="K609">
        <v>606</v>
      </c>
      <c r="L609">
        <f t="shared" si="9"/>
        <v>6</v>
      </c>
    </row>
    <row r="610" spans="1:12" ht="16.5" x14ac:dyDescent="0.2">
      <c r="A610" s="4" t="s">
        <v>277</v>
      </c>
      <c r="B610">
        <v>2015</v>
      </c>
      <c r="C610" s="14">
        <f>284.7*(2/3*10)</f>
        <v>1897.9999999999998</v>
      </c>
      <c r="D610" s="14">
        <f>25*(2/3*10)</f>
        <v>166.66666666666666</v>
      </c>
      <c r="E610" s="14">
        <f>70.1*(2/3*10)</f>
        <v>467.33333333333326</v>
      </c>
      <c r="F610" s="14">
        <f>1.9*(2/3*10)</f>
        <v>12.666666666666664</v>
      </c>
      <c r="G610" s="14">
        <f>406.8*(2/3*10)</f>
        <v>2711.9999999999995</v>
      </c>
      <c r="H610" s="14">
        <f>66.7*(2/3*10)</f>
        <v>444.66666666666663</v>
      </c>
      <c r="I610" s="14">
        <f>388.3*(2/3*10)</f>
        <v>2588.6666666666665</v>
      </c>
      <c r="K610" s="15">
        <v>607</v>
      </c>
      <c r="L610">
        <f t="shared" si="9"/>
        <v>7</v>
      </c>
    </row>
    <row r="611" spans="1:12" ht="16.5" x14ac:dyDescent="0.2">
      <c r="A611" s="4" t="s">
        <v>277</v>
      </c>
      <c r="B611">
        <v>2016</v>
      </c>
      <c r="C611" s="14">
        <f>286.1*(2/3*10)</f>
        <v>1907.3333333333333</v>
      </c>
      <c r="D611" s="14">
        <f>24.8*(2/3*10)</f>
        <v>165.33333333333331</v>
      </c>
      <c r="E611" s="14">
        <f>69.5*(2/3*10)</f>
        <v>463.33333333333331</v>
      </c>
      <c r="F611" s="14">
        <f>1.8*(2/3*10)</f>
        <v>12</v>
      </c>
      <c r="G611" s="14">
        <f>407.9*(2/3*10)</f>
        <v>2719.333333333333</v>
      </c>
      <c r="H611" s="14">
        <f>67.1*(2/3*10)</f>
        <v>447.33333333333326</v>
      </c>
      <c r="I611" s="14">
        <f>386.2*(2/3*10)</f>
        <v>2574.6666666666665</v>
      </c>
      <c r="K611">
        <v>608</v>
      </c>
      <c r="L611">
        <f t="shared" si="9"/>
        <v>0</v>
      </c>
    </row>
    <row r="612" spans="1:12" ht="16.5" x14ac:dyDescent="0.2">
      <c r="A612" s="4" t="s">
        <v>276</v>
      </c>
      <c r="B612">
        <v>2009</v>
      </c>
      <c r="C612" s="14">
        <f>361.7*(2/3*10)</f>
        <v>2411.333333333333</v>
      </c>
      <c r="D612" s="14">
        <f>20.8*(2/3*10)</f>
        <v>138.66666666666666</v>
      </c>
      <c r="E612" s="14">
        <f>111.6*(2/3*10)</f>
        <v>743.99999999999989</v>
      </c>
      <c r="F612" s="14">
        <f>12.9*(2/3*10)</f>
        <v>86</v>
      </c>
      <c r="G612" s="14">
        <f>197.5*(2/3*10)</f>
        <v>1316.6666666666663</v>
      </c>
      <c r="H612" s="14">
        <f>36.3*(2/3*10)</f>
        <v>241.99999999999997</v>
      </c>
      <c r="I612" s="14">
        <f>214.4*(2/3*10)</f>
        <v>1429.3333333333333</v>
      </c>
      <c r="K612" s="15">
        <v>609</v>
      </c>
      <c r="L612">
        <f t="shared" si="9"/>
        <v>1</v>
      </c>
    </row>
    <row r="613" spans="1:12" ht="16.5" x14ac:dyDescent="0.2">
      <c r="A613" s="4" t="s">
        <v>276</v>
      </c>
      <c r="B613">
        <v>2010</v>
      </c>
      <c r="C613" s="14">
        <f>359.9*(2/3*10)</f>
        <v>2399.333333333333</v>
      </c>
      <c r="D613" s="14">
        <f>18.7*(2/3*10)</f>
        <v>124.66666666666666</v>
      </c>
      <c r="E613" s="14">
        <f>109.9*(2/3*10)</f>
        <v>732.66666666666663</v>
      </c>
      <c r="F613" s="14">
        <f>12.3*(2/3*10)</f>
        <v>82</v>
      </c>
      <c r="G613" s="14">
        <f>203.5*(2/3*10)</f>
        <v>1356.6666666666665</v>
      </c>
      <c r="H613" s="14">
        <f>37.9*(2/3*10)</f>
        <v>252.66666666666663</v>
      </c>
      <c r="I613" s="14">
        <f>213.2*(2/3*10)</f>
        <v>1421.333333333333</v>
      </c>
      <c r="K613">
        <v>610</v>
      </c>
      <c r="L613">
        <f t="shared" si="9"/>
        <v>2</v>
      </c>
    </row>
    <row r="614" spans="1:12" ht="16.5" x14ac:dyDescent="0.2">
      <c r="A614" s="4" t="s">
        <v>276</v>
      </c>
      <c r="B614">
        <v>2011</v>
      </c>
      <c r="C614" s="14">
        <f>358.6*(2/3*10)</f>
        <v>2390.6666666666665</v>
      </c>
      <c r="D614" s="14">
        <f>17.9*(2/3*10)</f>
        <v>119.33333333333331</v>
      </c>
      <c r="E614" s="14">
        <f>109.4*(2/3*10)</f>
        <v>729.33333333333326</v>
      </c>
      <c r="F614" s="14">
        <f>12.1*(2/3*10)</f>
        <v>80.666666666666657</v>
      </c>
      <c r="G614" s="14">
        <f>206.6*(2/3*10)</f>
        <v>1377.3333333333333</v>
      </c>
      <c r="H614" s="14">
        <f>39.5*(2/3*10)</f>
        <v>263.33333333333331</v>
      </c>
      <c r="I614" s="14">
        <f>211.8*(2/3*10)</f>
        <v>1412</v>
      </c>
      <c r="K614" s="15">
        <v>611</v>
      </c>
      <c r="L614">
        <f t="shared" si="9"/>
        <v>3</v>
      </c>
    </row>
    <row r="615" spans="1:12" ht="16.5" x14ac:dyDescent="0.2">
      <c r="A615" s="4" t="s">
        <v>276</v>
      </c>
      <c r="B615">
        <v>2012</v>
      </c>
      <c r="C615" s="14">
        <f>357.2*(2/3*10)</f>
        <v>2381.333333333333</v>
      </c>
      <c r="D615" s="14">
        <f>17.5*(2/3*10)</f>
        <v>116.66666666666666</v>
      </c>
      <c r="E615" s="14">
        <f>108.5*(2/3*10)</f>
        <v>723.33333333333326</v>
      </c>
      <c r="F615" s="14">
        <f>11.9*(2/3*10)</f>
        <v>79.333333333333329</v>
      </c>
      <c r="G615" s="14">
        <f>210*(2/3*10)</f>
        <v>1399.9999999999998</v>
      </c>
      <c r="H615" s="14">
        <f>41.2*(2/3*10)</f>
        <v>274.66666666666669</v>
      </c>
      <c r="I615" s="14">
        <f>210*(2/3*10)</f>
        <v>1399.9999999999998</v>
      </c>
      <c r="K615">
        <v>612</v>
      </c>
      <c r="L615">
        <f t="shared" si="9"/>
        <v>4</v>
      </c>
    </row>
    <row r="616" spans="1:12" ht="16.5" x14ac:dyDescent="0.2">
      <c r="A616" s="4" t="s">
        <v>276</v>
      </c>
      <c r="B616">
        <v>2013</v>
      </c>
      <c r="C616" s="14">
        <f>356.3*(2/3*10)</f>
        <v>2375.333333333333</v>
      </c>
      <c r="D616" s="14">
        <f>17*(2/3*10)</f>
        <v>113.33333333333333</v>
      </c>
      <c r="E616" s="14">
        <f>108.2*(2/3*10)</f>
        <v>721.33333333333326</v>
      </c>
      <c r="F616" s="14">
        <f>11.7*(2/3*10)</f>
        <v>77.999999999999986</v>
      </c>
      <c r="G616" s="14">
        <f>211.3*(2/3*10)</f>
        <v>1408.6666666666665</v>
      </c>
      <c r="H616" s="14">
        <f>42.7*(2/3*10)</f>
        <v>284.66666666666669</v>
      </c>
      <c r="I616" s="14">
        <f>209*(2/3*10)</f>
        <v>1393.3333333333333</v>
      </c>
      <c r="K616" s="15">
        <v>613</v>
      </c>
      <c r="L616">
        <f t="shared" si="9"/>
        <v>5</v>
      </c>
    </row>
    <row r="617" spans="1:12" ht="16.5" x14ac:dyDescent="0.2">
      <c r="A617" s="4" t="s">
        <v>276</v>
      </c>
      <c r="B617">
        <v>2014</v>
      </c>
      <c r="C617" s="14">
        <f>355.5*(2/3*10)</f>
        <v>2370</v>
      </c>
      <c r="D617" s="14">
        <f>16.6*(2/3*10)</f>
        <v>110.66666666666667</v>
      </c>
      <c r="E617" s="14">
        <f>107.7*(2/3*10)</f>
        <v>718</v>
      </c>
      <c r="F617" s="14">
        <f>11.5*(2/3*10)</f>
        <v>76.666666666666657</v>
      </c>
      <c r="G617" s="14">
        <f>213.3*(2/3*10)</f>
        <v>1422</v>
      </c>
      <c r="H617" s="14">
        <f>43.6*(2/3*10)</f>
        <v>290.66666666666663</v>
      </c>
      <c r="I617" s="14">
        <f>208*(2/3*10)</f>
        <v>1386.6666666666665</v>
      </c>
      <c r="K617">
        <v>614</v>
      </c>
      <c r="L617">
        <f t="shared" si="9"/>
        <v>6</v>
      </c>
    </row>
    <row r="618" spans="1:12" ht="16.5" x14ac:dyDescent="0.2">
      <c r="A618" s="4" t="s">
        <v>276</v>
      </c>
      <c r="B618">
        <v>2015</v>
      </c>
      <c r="C618" s="14">
        <f>355.5*(2/3*10)</f>
        <v>2370</v>
      </c>
      <c r="D618" s="14">
        <f>16.4*(2/3*10)</f>
        <v>109.33333333333331</v>
      </c>
      <c r="E618" s="14">
        <f>107.3*(2/3*10)</f>
        <v>715.33333333333326</v>
      </c>
      <c r="F618" s="14">
        <f>11.3*(2/3*10)</f>
        <v>75.333333333333329</v>
      </c>
      <c r="G618" s="14">
        <f>214.9*(2/3*10)</f>
        <v>1432.6666666666663</v>
      </c>
      <c r="H618" s="14">
        <f>44.1*(2/3*10)</f>
        <v>294</v>
      </c>
      <c r="I618" s="14">
        <f>206.7*(2/3*10)</f>
        <v>1377.9999999999998</v>
      </c>
      <c r="K618" s="15">
        <v>615</v>
      </c>
      <c r="L618">
        <f t="shared" si="9"/>
        <v>7</v>
      </c>
    </row>
    <row r="619" spans="1:12" ht="16.5" x14ac:dyDescent="0.2">
      <c r="A619" s="4" t="s">
        <v>276</v>
      </c>
      <c r="B619">
        <v>2016</v>
      </c>
      <c r="C619" s="14">
        <f>354*(2/3*10)</f>
        <v>2360</v>
      </c>
      <c r="D619" s="14">
        <f>16.1*(2/3*10)</f>
        <v>107.33333333333333</v>
      </c>
      <c r="E619" s="14">
        <f>106.9*(2/3*10)</f>
        <v>712.66666666666663</v>
      </c>
      <c r="F619" s="14">
        <f>11.1*(2/3*10)</f>
        <v>73.999999999999986</v>
      </c>
      <c r="G619" s="14">
        <f>217.6*(2/3*10)</f>
        <v>1450.6666666666665</v>
      </c>
      <c r="H619" s="14">
        <f>44.6*(2/3*10)</f>
        <v>297.33333333333331</v>
      </c>
      <c r="I619" s="14">
        <f>206*(2/3*10)</f>
        <v>1373.3333333333333</v>
      </c>
      <c r="K619">
        <v>616</v>
      </c>
      <c r="L619">
        <f t="shared" si="9"/>
        <v>0</v>
      </c>
    </row>
    <row r="620" spans="1:12" ht="16.5" x14ac:dyDescent="0.2">
      <c r="A620" s="4" t="s">
        <v>275</v>
      </c>
      <c r="B620">
        <v>2009</v>
      </c>
      <c r="C620" s="14">
        <f>180.3*(2/3*10)</f>
        <v>1202</v>
      </c>
      <c r="D620" s="14">
        <f>35*(2/3*10)</f>
        <v>233.33333333333331</v>
      </c>
      <c r="E620" s="14">
        <f>54.3*(2/3*10)</f>
        <v>361.99999999999994</v>
      </c>
      <c r="F620" s="14">
        <f>3.5*(2/3*10)</f>
        <v>23.333333333333332</v>
      </c>
      <c r="G620" s="14">
        <f>174.5*(2/3*10)</f>
        <v>1163.3333333333333</v>
      </c>
      <c r="H620" s="14">
        <f>39.2*(2/3*10)</f>
        <v>261.33333333333331</v>
      </c>
      <c r="I620" s="14">
        <f>200.3*(2/3*10)</f>
        <v>1335.3333333333333</v>
      </c>
      <c r="K620" s="15">
        <v>617</v>
      </c>
      <c r="L620">
        <f t="shared" si="9"/>
        <v>1</v>
      </c>
    </row>
    <row r="621" spans="1:12" ht="16.5" x14ac:dyDescent="0.2">
      <c r="A621" s="4" t="s">
        <v>275</v>
      </c>
      <c r="B621">
        <v>2010</v>
      </c>
      <c r="C621" s="14">
        <f>176.8*(2/3*10)</f>
        <v>1178.6666666666667</v>
      </c>
      <c r="D621" s="14">
        <f>33.5*(2/3*10)</f>
        <v>223.33333333333331</v>
      </c>
      <c r="E621" s="14">
        <f>54.3*(2/3*10)</f>
        <v>361.99999999999994</v>
      </c>
      <c r="F621" s="14">
        <f>3.2*(2/3*10)</f>
        <v>21.333333333333332</v>
      </c>
      <c r="G621" s="14">
        <f>179.6*(2/3*10)</f>
        <v>1197.3333333333335</v>
      </c>
      <c r="H621" s="14">
        <f>40.8*(2/3*10)</f>
        <v>271.99999999999994</v>
      </c>
      <c r="I621" s="14">
        <f>198.9*(2/3*10)</f>
        <v>1326</v>
      </c>
      <c r="K621">
        <v>618</v>
      </c>
      <c r="L621">
        <f t="shared" si="9"/>
        <v>2</v>
      </c>
    </row>
    <row r="622" spans="1:12" ht="16.5" x14ac:dyDescent="0.2">
      <c r="A622" s="4" t="s">
        <v>275</v>
      </c>
      <c r="B622">
        <v>2011</v>
      </c>
      <c r="C622" s="14">
        <f>176.1*(2/3*10)</f>
        <v>1173.9999999999998</v>
      </c>
      <c r="D622" s="14">
        <f>32.7*(2/3*10)</f>
        <v>218</v>
      </c>
      <c r="E622" s="14">
        <f>54.2*(2/3*10)</f>
        <v>361.33333333333331</v>
      </c>
      <c r="F622" s="14">
        <f>2.8*(2/3*10)</f>
        <v>18.666666666666664</v>
      </c>
      <c r="G622" s="14">
        <f>181.8*(2/3*10)</f>
        <v>1212</v>
      </c>
      <c r="H622" s="14">
        <f>41.8*(2/3*10)</f>
        <v>278.66666666666663</v>
      </c>
      <c r="I622" s="14">
        <f>197.7*(2/3*10)</f>
        <v>1317.9999999999998</v>
      </c>
      <c r="K622" s="15">
        <v>619</v>
      </c>
      <c r="L622">
        <f t="shared" si="9"/>
        <v>3</v>
      </c>
    </row>
    <row r="623" spans="1:12" ht="16.5" x14ac:dyDescent="0.2">
      <c r="A623" s="4" t="s">
        <v>275</v>
      </c>
      <c r="B623">
        <v>2012</v>
      </c>
      <c r="C623" s="14">
        <f>176.2*(2/3*10)</f>
        <v>1174.6666666666665</v>
      </c>
      <c r="D623" s="14">
        <f>32.2*(2/3*10)</f>
        <v>214.66666666666666</v>
      </c>
      <c r="E623" s="14">
        <f>54.1*(2/3*10)</f>
        <v>360.66666666666663</v>
      </c>
      <c r="F623" s="14">
        <f>2.6*(2/3*10)</f>
        <v>17.333333333333332</v>
      </c>
      <c r="G623" s="14">
        <f>183.6*(2/3*10)</f>
        <v>1223.9999999999998</v>
      </c>
      <c r="H623" s="14">
        <f>42.2*(2/3*10)</f>
        <v>281.33333333333331</v>
      </c>
      <c r="I623" s="14">
        <f>196.1*(2/3*10)</f>
        <v>1307.3333333333333</v>
      </c>
      <c r="K623">
        <v>620</v>
      </c>
      <c r="L623">
        <f t="shared" si="9"/>
        <v>4</v>
      </c>
    </row>
    <row r="624" spans="1:12" ht="16.5" x14ac:dyDescent="0.2">
      <c r="A624" s="4" t="s">
        <v>275</v>
      </c>
      <c r="B624">
        <v>2013</v>
      </c>
      <c r="C624" s="14">
        <f>175.5*(2/3*10)</f>
        <v>1170</v>
      </c>
      <c r="D624" s="14">
        <f>31.4*(2/3*10)</f>
        <v>209.33333333333331</v>
      </c>
      <c r="E624" s="14">
        <f>54.1*(2/3*10)</f>
        <v>360.66666666666663</v>
      </c>
      <c r="F624" s="14">
        <f>2.5*(2/3*10)</f>
        <v>16.666666666666664</v>
      </c>
      <c r="G624" s="14">
        <f>186.1*(2/3*10)</f>
        <v>1240.6666666666665</v>
      </c>
      <c r="H624" s="14">
        <f>42.8*(2/3*10)</f>
        <v>285.33333333333331</v>
      </c>
      <c r="I624" s="14">
        <f>194.5*(2/3*10)</f>
        <v>1296.6666666666665</v>
      </c>
      <c r="K624" s="15">
        <v>621</v>
      </c>
      <c r="L624">
        <f t="shared" si="9"/>
        <v>5</v>
      </c>
    </row>
    <row r="625" spans="1:12" ht="16.5" x14ac:dyDescent="0.2">
      <c r="A625" s="4" t="s">
        <v>275</v>
      </c>
      <c r="B625">
        <v>2014</v>
      </c>
      <c r="C625" s="14">
        <f>174.1*(2/3*10)</f>
        <v>1160.6666666666665</v>
      </c>
      <c r="D625" s="14">
        <f>31*(2/3*10)</f>
        <v>206.66666666666666</v>
      </c>
      <c r="E625" s="14">
        <f>54*(2/3*10)</f>
        <v>359.99999999999994</v>
      </c>
      <c r="F625" s="14">
        <f>2.5*(2/3*10)</f>
        <v>16.666666666666664</v>
      </c>
      <c r="G625" s="14">
        <f>188.3*(2/3*10)</f>
        <v>1255.3333333333333</v>
      </c>
      <c r="H625" s="14">
        <f>43.2*(2/3*10)</f>
        <v>288</v>
      </c>
      <c r="I625" s="14">
        <f>194*(2/3*10)</f>
        <v>1293.3333333333333</v>
      </c>
      <c r="K625">
        <v>622</v>
      </c>
      <c r="L625">
        <f t="shared" si="9"/>
        <v>6</v>
      </c>
    </row>
    <row r="626" spans="1:12" ht="16.5" x14ac:dyDescent="0.2">
      <c r="A626" s="4" t="s">
        <v>275</v>
      </c>
      <c r="B626">
        <v>2015</v>
      </c>
      <c r="C626" s="14">
        <f>173.1*(2/3*10)</f>
        <v>1153.9999999999998</v>
      </c>
      <c r="D626" s="14">
        <f>30.8*(2/3*10)</f>
        <v>205.33333333333331</v>
      </c>
      <c r="E626" s="14">
        <f>54*(2/3*10)</f>
        <v>359.99999999999994</v>
      </c>
      <c r="F626" s="14">
        <f>2.5*(2/3*10)</f>
        <v>16.666666666666664</v>
      </c>
      <c r="G626" s="14">
        <f>189.8*(2/3*10)</f>
        <v>1265.3333333333333</v>
      </c>
      <c r="H626" s="14">
        <f>43.5*(2/3*10)</f>
        <v>290</v>
      </c>
      <c r="I626" s="14">
        <f>193.4*(2/3*10)</f>
        <v>1289.3333333333333</v>
      </c>
      <c r="K626" s="15">
        <v>623</v>
      </c>
      <c r="L626">
        <f t="shared" si="9"/>
        <v>7</v>
      </c>
    </row>
    <row r="627" spans="1:12" ht="16.5" x14ac:dyDescent="0.2">
      <c r="A627" s="4" t="s">
        <v>275</v>
      </c>
      <c r="B627">
        <v>2016</v>
      </c>
      <c r="C627" s="14">
        <f>172.3*(2/3*10)</f>
        <v>1148.6666666666667</v>
      </c>
      <c r="D627" s="14">
        <f>30.6*(2/3*10)</f>
        <v>204</v>
      </c>
      <c r="E627" s="14">
        <f>54*(2/3*10)</f>
        <v>359.99999999999994</v>
      </c>
      <c r="F627" s="14">
        <f>2.4*(2/3*10)</f>
        <v>15.999999999999998</v>
      </c>
      <c r="G627" s="14">
        <f>191.3*(2/3*10)</f>
        <v>1275.333333333333</v>
      </c>
      <c r="H627" s="14">
        <f>43.5*(2/3*10)</f>
        <v>290</v>
      </c>
      <c r="I627" s="14">
        <f>192.9*(2/3*10)</f>
        <v>1286</v>
      </c>
      <c r="K627">
        <v>624</v>
      </c>
      <c r="L627">
        <f t="shared" si="9"/>
        <v>0</v>
      </c>
    </row>
    <row r="628" spans="1:12" ht="16.5" x14ac:dyDescent="0.2">
      <c r="A628" s="4" t="s">
        <v>274</v>
      </c>
      <c r="B628">
        <v>2009</v>
      </c>
      <c r="C628" s="14">
        <f>904.7*(2/3*10)</f>
        <v>6031.333333333333</v>
      </c>
      <c r="D628" s="14">
        <f>85.8*(2/3*10)</f>
        <v>571.99999999999989</v>
      </c>
      <c r="E628" s="14">
        <f>38*(2/3*10)</f>
        <v>253.33333333333331</v>
      </c>
      <c r="F628" s="14">
        <f>9.4*(2/3*10)</f>
        <v>62.666666666666664</v>
      </c>
      <c r="G628" s="14">
        <f>291.7*(2/3*10)</f>
        <v>1944.6666666666665</v>
      </c>
      <c r="H628" s="14">
        <f>69.3*(2/3*10)</f>
        <v>461.99999999999994</v>
      </c>
      <c r="I628" s="14">
        <f>237.4*(2/3*10)</f>
        <v>1582.6666666666665</v>
      </c>
      <c r="K628" s="15">
        <v>625</v>
      </c>
      <c r="L628">
        <f t="shared" si="9"/>
        <v>1</v>
      </c>
    </row>
    <row r="629" spans="1:12" ht="16.5" x14ac:dyDescent="0.2">
      <c r="A629" s="4" t="s">
        <v>274</v>
      </c>
      <c r="B629">
        <v>2010</v>
      </c>
      <c r="C629" s="14">
        <f>902.9*(2/3*10)</f>
        <v>6019.333333333333</v>
      </c>
      <c r="D629" s="14">
        <f>85.5*(2/3*10)</f>
        <v>570</v>
      </c>
      <c r="E629" s="14">
        <f>37.9*(2/3*10)</f>
        <v>252.66666666666663</v>
      </c>
      <c r="F629" s="14">
        <f>9.3*(2/3*10)</f>
        <v>62</v>
      </c>
      <c r="G629" s="14">
        <f>294.6*(2/3*10)</f>
        <v>1964</v>
      </c>
      <c r="H629" s="14">
        <f>69.8*(2/3*10)</f>
        <v>465.33333333333326</v>
      </c>
      <c r="I629" s="14">
        <f>236.5*(2/3*10)</f>
        <v>1576.6666666666665</v>
      </c>
      <c r="K629">
        <v>626</v>
      </c>
      <c r="L629">
        <f t="shared" si="9"/>
        <v>2</v>
      </c>
    </row>
    <row r="630" spans="1:12" ht="16.5" x14ac:dyDescent="0.2">
      <c r="A630" s="4" t="s">
        <v>274</v>
      </c>
      <c r="B630">
        <v>2011</v>
      </c>
      <c r="C630" s="14">
        <f>902.8*(2/3*10)</f>
        <v>6018.6666666666661</v>
      </c>
      <c r="D630" s="14">
        <f>85.2*(2/3*10)</f>
        <v>568</v>
      </c>
      <c r="E630" s="14">
        <f>37.7*(2/3*10)</f>
        <v>251.33333333333334</v>
      </c>
      <c r="F630" s="14">
        <f>9.2*(2/3*10)</f>
        <v>61.333333333333321</v>
      </c>
      <c r="G630" s="14">
        <f>295.1*(2/3*10)</f>
        <v>1967.3333333333333</v>
      </c>
      <c r="H630" s="14">
        <f>69.9*(2/3*10)</f>
        <v>466</v>
      </c>
      <c r="I630" s="14">
        <f>235.9*(2/3*10)</f>
        <v>1572.6666666666665</v>
      </c>
      <c r="K630" s="15">
        <v>627</v>
      </c>
      <c r="L630">
        <f t="shared" si="9"/>
        <v>3</v>
      </c>
    </row>
    <row r="631" spans="1:12" ht="16.5" x14ac:dyDescent="0.2">
      <c r="A631" s="4" t="s">
        <v>274</v>
      </c>
      <c r="B631">
        <v>2012</v>
      </c>
      <c r="C631" s="14">
        <f>900.8*(2/3*10)</f>
        <v>6005.3333333333321</v>
      </c>
      <c r="D631" s="14">
        <f>84.9*(2/3*10)</f>
        <v>566</v>
      </c>
      <c r="E631" s="14">
        <f>37.7*(2/3*10)</f>
        <v>251.33333333333334</v>
      </c>
      <c r="F631" s="14">
        <f>9.8*(2/3*10)</f>
        <v>65.333333333333329</v>
      </c>
      <c r="G631" s="14">
        <f>296.8*(2/3*10)</f>
        <v>1978.6666666666665</v>
      </c>
      <c r="H631" s="14">
        <f>70.4*(2/3*10)</f>
        <v>469.33333333333331</v>
      </c>
      <c r="I631" s="14">
        <f>234.3*(2/3*10)</f>
        <v>1562</v>
      </c>
      <c r="K631">
        <v>628</v>
      </c>
      <c r="L631">
        <f t="shared" si="9"/>
        <v>4</v>
      </c>
    </row>
    <row r="632" spans="1:12" ht="16.5" x14ac:dyDescent="0.2">
      <c r="A632" s="4" t="s">
        <v>274</v>
      </c>
      <c r="B632">
        <v>2013</v>
      </c>
      <c r="C632" s="14">
        <f>899.5*(2/3*10)</f>
        <v>5996.6666666666661</v>
      </c>
      <c r="D632" s="14">
        <f>84.7*(2/3*10)</f>
        <v>564.66666666666663</v>
      </c>
      <c r="E632" s="14">
        <f>37.6*(2/3*10)</f>
        <v>250.66666666666666</v>
      </c>
      <c r="F632" s="14">
        <f>9.7*(2/3*10)</f>
        <v>64.666666666666657</v>
      </c>
      <c r="G632" s="14">
        <f>298.8*(2/3*10)</f>
        <v>1992</v>
      </c>
      <c r="H632" s="14">
        <f>70.6*(2/3*10)</f>
        <v>470.66666666666657</v>
      </c>
      <c r="I632" s="14">
        <f>233.2*(2/3*10)</f>
        <v>1554.6666666666665</v>
      </c>
      <c r="K632" s="15">
        <v>629</v>
      </c>
      <c r="L632">
        <f t="shared" si="9"/>
        <v>5</v>
      </c>
    </row>
    <row r="633" spans="1:12" ht="16.5" x14ac:dyDescent="0.2">
      <c r="A633" s="4" t="s">
        <v>274</v>
      </c>
      <c r="B633">
        <v>2014</v>
      </c>
      <c r="C633" s="14">
        <f>900*(2/3*10)</f>
        <v>5999.9999999999991</v>
      </c>
      <c r="D633" s="14">
        <f>84.3*(2/3*10)</f>
        <v>561.99999999999989</v>
      </c>
      <c r="E633" s="14">
        <f>37.5*(2/3*10)</f>
        <v>249.99999999999997</v>
      </c>
      <c r="F633" s="14">
        <f>9.4*(2/3*10)</f>
        <v>62.666666666666664</v>
      </c>
      <c r="G633" s="14">
        <f>300.7*(2/3*10)</f>
        <v>2004.6666666666665</v>
      </c>
      <c r="H633" s="14">
        <f>71.5*(2/3*10)</f>
        <v>476.66666666666663</v>
      </c>
      <c r="I633" s="14">
        <f>230.8*(2/3*10)</f>
        <v>1538.6666666666665</v>
      </c>
      <c r="K633">
        <v>630</v>
      </c>
      <c r="L633">
        <f t="shared" si="9"/>
        <v>6</v>
      </c>
    </row>
    <row r="634" spans="1:12" ht="16.5" x14ac:dyDescent="0.2">
      <c r="A634" s="4" t="s">
        <v>274</v>
      </c>
      <c r="B634">
        <v>2015</v>
      </c>
      <c r="C634" s="14">
        <f>899.4*(2/3*10)</f>
        <v>5995.9999999999991</v>
      </c>
      <c r="D634" s="14">
        <f>83.9*(2/3*10)</f>
        <v>559.33333333333337</v>
      </c>
      <c r="E634" s="14">
        <f>37.4*(2/3*10)</f>
        <v>249.33333333333331</v>
      </c>
      <c r="F634" s="14">
        <f>9.3*(2/3*10)</f>
        <v>62</v>
      </c>
      <c r="G634" s="14">
        <f>303.4*(2/3*10)</f>
        <v>2022.6666666666663</v>
      </c>
      <c r="H634" s="14">
        <f>72.1*(2/3*10)</f>
        <v>480.66666666666657</v>
      </c>
      <c r="I634" s="14">
        <f>228.5*(2/3*10)</f>
        <v>1523.3333333333333</v>
      </c>
      <c r="K634" s="15">
        <v>631</v>
      </c>
      <c r="L634">
        <f t="shared" si="9"/>
        <v>7</v>
      </c>
    </row>
    <row r="635" spans="1:12" ht="16.5" x14ac:dyDescent="0.2">
      <c r="A635" s="4" t="s">
        <v>274</v>
      </c>
      <c r="B635">
        <v>2016</v>
      </c>
      <c r="C635" s="14">
        <f>898.4*(2/3*10)</f>
        <v>5989.333333333333</v>
      </c>
      <c r="D635" s="14">
        <f>83.5*(2/3*10)</f>
        <v>556.66666666666663</v>
      </c>
      <c r="E635" s="14">
        <f>37.2*(2/3*10)</f>
        <v>248</v>
      </c>
      <c r="F635" s="14">
        <f>9.2*(2/3*10)</f>
        <v>61.333333333333321</v>
      </c>
      <c r="G635" s="14">
        <f>306.6*(2/3*10)</f>
        <v>2044</v>
      </c>
      <c r="H635" s="14">
        <f>73.1*(2/3*10)</f>
        <v>487.33333333333326</v>
      </c>
      <c r="I635" s="14">
        <f>225.9*(2/3*10)</f>
        <v>1506</v>
      </c>
      <c r="K635">
        <v>632</v>
      </c>
      <c r="L635">
        <f t="shared" si="9"/>
        <v>0</v>
      </c>
    </row>
    <row r="636" spans="1:12" ht="16.5" x14ac:dyDescent="0.2">
      <c r="A636" s="4" t="s">
        <v>273</v>
      </c>
      <c r="B636">
        <v>2009</v>
      </c>
      <c r="C636" s="14">
        <f>227*(2/3*10)</f>
        <v>1513.3333333333333</v>
      </c>
      <c r="D636" s="14">
        <f>51.1*(2/3*10)</f>
        <v>340.66666666666663</v>
      </c>
      <c r="E636" s="14">
        <f>28.5*(2/3*10)</f>
        <v>189.99999999999997</v>
      </c>
      <c r="F636" s="14">
        <f>3.6*(2/3*10)</f>
        <v>24</v>
      </c>
      <c r="G636" s="14">
        <f>129.2*(2/3*10)</f>
        <v>861.33333333333314</v>
      </c>
      <c r="H636" s="14">
        <f>34.6*(2/3*10)</f>
        <v>230.66666666666666</v>
      </c>
      <c r="I636" s="14">
        <f>175.8*(2/3*10)</f>
        <v>1172</v>
      </c>
      <c r="K636" s="15">
        <v>633</v>
      </c>
      <c r="L636">
        <f t="shared" si="9"/>
        <v>1</v>
      </c>
    </row>
    <row r="637" spans="1:12" ht="16.5" x14ac:dyDescent="0.2">
      <c r="A637" s="4" t="s">
        <v>273</v>
      </c>
      <c r="B637">
        <v>2010</v>
      </c>
      <c r="C637" s="14">
        <f>225.5*(2/3*10)</f>
        <v>1503.3333333333333</v>
      </c>
      <c r="D637" s="14">
        <f>50*(2/3*10)</f>
        <v>333.33333333333331</v>
      </c>
      <c r="E637" s="14">
        <f>28.4*(2/3*10)</f>
        <v>189.33333333333331</v>
      </c>
      <c r="F637" s="14">
        <f>3.3*(2/3*10)</f>
        <v>21.999999999999996</v>
      </c>
      <c r="G637" s="14">
        <f>133.2*(2/3*10)</f>
        <v>887.99999999999989</v>
      </c>
      <c r="H637" s="14">
        <f>35.3*(2/3*10)</f>
        <v>235.33333333333329</v>
      </c>
      <c r="I637" s="14">
        <f>174.3*(2/3*10)</f>
        <v>1162</v>
      </c>
      <c r="K637">
        <v>634</v>
      </c>
      <c r="L637">
        <f t="shared" si="9"/>
        <v>2</v>
      </c>
    </row>
    <row r="638" spans="1:12" ht="16.5" x14ac:dyDescent="0.2">
      <c r="A638" s="4" t="s">
        <v>273</v>
      </c>
      <c r="B638">
        <v>2011</v>
      </c>
      <c r="C638" s="14">
        <f>225.1*(2/3*10)</f>
        <v>1500.6666666666665</v>
      </c>
      <c r="D638" s="14">
        <f>49.5*(2/3*10)</f>
        <v>329.99999999999994</v>
      </c>
      <c r="E638" s="14">
        <f>28.4*(2/3*10)</f>
        <v>189.33333333333331</v>
      </c>
      <c r="F638" s="14">
        <f>3.1*(2/3*10)</f>
        <v>20.666666666666664</v>
      </c>
      <c r="G638" s="14">
        <f>134.7*(2/3*10)</f>
        <v>898</v>
      </c>
      <c r="H638" s="14">
        <f>35.8*(2/3*10)</f>
        <v>238.66666666666663</v>
      </c>
      <c r="I638" s="14">
        <f>173.2*(2/3*10)</f>
        <v>1154.6666666666665</v>
      </c>
      <c r="K638" s="15">
        <v>635</v>
      </c>
      <c r="L638">
        <f t="shared" si="9"/>
        <v>3</v>
      </c>
    </row>
    <row r="639" spans="1:12" ht="16.5" x14ac:dyDescent="0.2">
      <c r="A639" s="4" t="s">
        <v>273</v>
      </c>
      <c r="B639">
        <v>2012</v>
      </c>
      <c r="C639" s="14">
        <f>224.8*(2/3*10)</f>
        <v>1498.6666666666665</v>
      </c>
      <c r="D639" s="14">
        <f>49.1*(2/3*10)</f>
        <v>327.33333333333331</v>
      </c>
      <c r="E639" s="14">
        <f>28.3*(2/3*10)</f>
        <v>188.66666666666666</v>
      </c>
      <c r="F639" s="14">
        <f>2.9*(2/3*10)</f>
        <v>19.333333333333332</v>
      </c>
      <c r="G639" s="14">
        <f>136.6*(2/3*10)</f>
        <v>910.66666666666652</v>
      </c>
      <c r="H639" s="14">
        <f>36.1*(2/3*10)</f>
        <v>240.66666666666666</v>
      </c>
      <c r="I639" s="14">
        <f>172.1*(2/3*10)</f>
        <v>1147.3333333333333</v>
      </c>
      <c r="K639">
        <v>636</v>
      </c>
      <c r="L639">
        <f t="shared" si="9"/>
        <v>4</v>
      </c>
    </row>
    <row r="640" spans="1:12" ht="16.5" x14ac:dyDescent="0.2">
      <c r="A640" s="4" t="s">
        <v>273</v>
      </c>
      <c r="B640">
        <v>2013</v>
      </c>
      <c r="C640" s="14">
        <f>225.2*(2/3*10)</f>
        <v>1501.333333333333</v>
      </c>
      <c r="D640" s="14">
        <f>48.7*(2/3*10)</f>
        <v>324.66666666666663</v>
      </c>
      <c r="E640" s="14">
        <f>28.3*(2/3*10)</f>
        <v>188.66666666666666</v>
      </c>
      <c r="F640" s="14">
        <f>2.8*(2/3*10)</f>
        <v>18.666666666666664</v>
      </c>
      <c r="G640" s="14">
        <f>137.9*(2/3*10)</f>
        <v>919.33333333333326</v>
      </c>
      <c r="H640" s="14">
        <f>36.7*(2/3*10)</f>
        <v>244.66666666666666</v>
      </c>
      <c r="I640" s="14">
        <f>169.9*(2/3*10)</f>
        <v>1132.6666666666665</v>
      </c>
      <c r="K640" s="15">
        <v>637</v>
      </c>
      <c r="L640">
        <f t="shared" si="9"/>
        <v>5</v>
      </c>
    </row>
    <row r="641" spans="1:12" ht="16.5" x14ac:dyDescent="0.2">
      <c r="A641" s="4" t="s">
        <v>273</v>
      </c>
      <c r="B641">
        <v>2014</v>
      </c>
      <c r="C641" s="14">
        <f>224.6*(2/3*10)</f>
        <v>1497.3333333333333</v>
      </c>
      <c r="D641" s="14">
        <f>48.4*(2/3*10)</f>
        <v>322.66666666666663</v>
      </c>
      <c r="E641" s="14">
        <f>28.3*(2/3*10)</f>
        <v>188.66666666666666</v>
      </c>
      <c r="F641" s="14">
        <f>2.8*(2/3*10)</f>
        <v>18.666666666666664</v>
      </c>
      <c r="G641" s="14">
        <f>139.5*(2/3*10)</f>
        <v>929.99999999999989</v>
      </c>
      <c r="H641" s="14">
        <f>37.4*(2/3*10)</f>
        <v>249.33333333333331</v>
      </c>
      <c r="I641" s="14">
        <f>168.6*(2/3*10)</f>
        <v>1123.9999999999998</v>
      </c>
      <c r="K641">
        <v>638</v>
      </c>
      <c r="L641">
        <f t="shared" si="9"/>
        <v>6</v>
      </c>
    </row>
    <row r="642" spans="1:12" ht="16.5" x14ac:dyDescent="0.2">
      <c r="A642" s="4" t="s">
        <v>273</v>
      </c>
      <c r="B642">
        <v>2015</v>
      </c>
      <c r="C642" s="14">
        <f>225*(2/3*10)</f>
        <v>1499.9999999999998</v>
      </c>
      <c r="D642" s="14">
        <f>48*(2/3*10)</f>
        <v>320</v>
      </c>
      <c r="E642" s="14">
        <f>28.3*(2/3*10)</f>
        <v>188.66666666666666</v>
      </c>
      <c r="F642" s="14">
        <f>2.8*(2/3*10)</f>
        <v>18.666666666666664</v>
      </c>
      <c r="G642" s="14">
        <f>140.9*(2/3*10)</f>
        <v>939.33333333333326</v>
      </c>
      <c r="H642" s="14">
        <f>37.6*(2/3*10)</f>
        <v>250.66666666666666</v>
      </c>
      <c r="I642" s="14">
        <f>167.1*(2/3*10)</f>
        <v>1113.9999999999998</v>
      </c>
      <c r="K642" s="15">
        <v>639</v>
      </c>
      <c r="L642">
        <f t="shared" si="9"/>
        <v>7</v>
      </c>
    </row>
    <row r="643" spans="1:12" ht="16.5" x14ac:dyDescent="0.2">
      <c r="A643" s="4" t="s">
        <v>273</v>
      </c>
      <c r="B643">
        <v>2016</v>
      </c>
      <c r="C643" s="14">
        <f>225.5*(2/3*10)</f>
        <v>1503.3333333333333</v>
      </c>
      <c r="D643" s="14">
        <f>47.8*(2/3*10)</f>
        <v>318.66666666666663</v>
      </c>
      <c r="E643" s="14">
        <f>28.3*(2/3*10)</f>
        <v>188.66666666666666</v>
      </c>
      <c r="F643" s="14">
        <f>2.7*(2/3*10)</f>
        <v>18</v>
      </c>
      <c r="G643" s="14">
        <f>142.3*(2/3*10)</f>
        <v>948.66666666666663</v>
      </c>
      <c r="H643" s="14">
        <f>37.7*(2/3*10)</f>
        <v>251.33333333333334</v>
      </c>
      <c r="I643" s="14">
        <f>165.2*(2/3*10)</f>
        <v>1101.3333333333333</v>
      </c>
      <c r="K643">
        <v>640</v>
      </c>
      <c r="L643">
        <f t="shared" si="9"/>
        <v>0</v>
      </c>
    </row>
    <row r="644" spans="1:12" ht="16.5" x14ac:dyDescent="0.2">
      <c r="A644" s="4" t="s">
        <v>272</v>
      </c>
      <c r="B644">
        <v>2009</v>
      </c>
      <c r="C644" s="14">
        <f>255.1*(2/3*10)</f>
        <v>1700.6666666666665</v>
      </c>
      <c r="D644" s="14">
        <f>62*(2/3*10)</f>
        <v>413.33333333333331</v>
      </c>
      <c r="E644" s="14">
        <f>13.4*(2/3*10)</f>
        <v>89.333333333333329</v>
      </c>
      <c r="F644" s="14">
        <f>1.5*(2/3*10)</f>
        <v>10</v>
      </c>
      <c r="G644" s="14">
        <f>286.4*(2/3*10)</f>
        <v>1909.333333333333</v>
      </c>
      <c r="H644" s="14">
        <f>66*(2/3*10)</f>
        <v>439.99999999999994</v>
      </c>
      <c r="I644" s="14">
        <f>596.7*(2/3*10)</f>
        <v>3978</v>
      </c>
      <c r="K644" s="15">
        <v>641</v>
      </c>
      <c r="L644">
        <f t="shared" si="9"/>
        <v>1</v>
      </c>
    </row>
    <row r="645" spans="1:12" ht="16.5" x14ac:dyDescent="0.2">
      <c r="A645" s="4" t="s">
        <v>272</v>
      </c>
      <c r="B645">
        <v>2010</v>
      </c>
      <c r="C645" s="14">
        <f>248.4*(2/3*10)</f>
        <v>1656</v>
      </c>
      <c r="D645" s="14">
        <f>60.7*(2/3*10)</f>
        <v>404.66666666666663</v>
      </c>
      <c r="E645" s="14">
        <f>13.3*(2/3*10)</f>
        <v>88.666666666666657</v>
      </c>
      <c r="F645" s="14">
        <f>1.2*(2/3*10)</f>
        <v>7.9999999999999991</v>
      </c>
      <c r="G645" s="14">
        <f>296.8*(2/3*10)</f>
        <v>1978.6666666666665</v>
      </c>
      <c r="H645" s="14">
        <f>67.8*(2/3*10)</f>
        <v>451.99999999999994</v>
      </c>
      <c r="I645" s="14">
        <f>593.1*(2/3*10)</f>
        <v>3954</v>
      </c>
      <c r="K645">
        <v>642</v>
      </c>
      <c r="L645">
        <f t="shared" ref="L645:L708" si="10">MOD(K645,8)</f>
        <v>2</v>
      </c>
    </row>
    <row r="646" spans="1:12" ht="16.5" x14ac:dyDescent="0.2">
      <c r="A646" s="4" t="s">
        <v>272</v>
      </c>
      <c r="B646">
        <v>2011</v>
      </c>
      <c r="C646" s="14">
        <f>245*(2/3*10)</f>
        <v>1633.3333333333333</v>
      </c>
      <c r="D646" s="14">
        <f>59.7*(2/3*10)</f>
        <v>398</v>
      </c>
      <c r="E646" s="14">
        <f>13.1*(2/3*10)</f>
        <v>87.333333333333329</v>
      </c>
      <c r="F646" s="14">
        <f>1.1*(2/3*10)</f>
        <v>7.333333333333333</v>
      </c>
      <c r="G646" s="14">
        <f>306.7*(2/3*10)</f>
        <v>2044.6666666666667</v>
      </c>
      <c r="H646" s="14">
        <f>67.7*(2/3*10)</f>
        <v>451.33333333333331</v>
      </c>
      <c r="I646" s="14">
        <f>588.7*(2/3*10)</f>
        <v>3924.6666666666665</v>
      </c>
      <c r="K646" s="15">
        <v>643</v>
      </c>
      <c r="L646">
        <f t="shared" si="10"/>
        <v>3</v>
      </c>
    </row>
    <row r="647" spans="1:12" ht="16.5" x14ac:dyDescent="0.2">
      <c r="A647" s="4" t="s">
        <v>272</v>
      </c>
      <c r="B647">
        <v>2012</v>
      </c>
      <c r="C647" s="14">
        <f>244.6*(2/3*10)</f>
        <v>1630.6666666666665</v>
      </c>
      <c r="D647" s="14">
        <f>59.7*(2/3*10)</f>
        <v>398</v>
      </c>
      <c r="E647" s="14">
        <f>13.1*(2/3*10)</f>
        <v>87.333333333333329</v>
      </c>
      <c r="F647" s="14">
        <f>1.1*(2/3*10)</f>
        <v>7.333333333333333</v>
      </c>
      <c r="G647" s="14">
        <f>310.2*(2/3*10)</f>
        <v>2067.9999999999995</v>
      </c>
      <c r="H647" s="14">
        <f>68.3*(2/3*10)</f>
        <v>455.33333333333326</v>
      </c>
      <c r="I647" s="14">
        <f>586.2*(2/3*10)</f>
        <v>3908</v>
      </c>
      <c r="K647">
        <v>644</v>
      </c>
      <c r="L647">
        <f t="shared" si="10"/>
        <v>4</v>
      </c>
    </row>
    <row r="648" spans="1:12" ht="16.5" x14ac:dyDescent="0.2">
      <c r="A648" s="4" t="s">
        <v>272</v>
      </c>
      <c r="B648">
        <v>2013</v>
      </c>
      <c r="C648" s="14">
        <f>244.2*(2/3*10)</f>
        <v>1627.9999999999998</v>
      </c>
      <c r="D648" s="14">
        <f>59.3*(2/3*10)</f>
        <v>395.33333333333326</v>
      </c>
      <c r="E648" s="14">
        <f>13.1*(2/3*10)</f>
        <v>87.333333333333329</v>
      </c>
      <c r="F648" s="14">
        <f>1.1*(2/3*10)</f>
        <v>7.333333333333333</v>
      </c>
      <c r="G648" s="14">
        <f>313.9*(2/3*10)</f>
        <v>2092.6666666666665</v>
      </c>
      <c r="H648" s="14">
        <f>70.2*(2/3*10)</f>
        <v>468</v>
      </c>
      <c r="I648" s="14">
        <f>582*(2/3*10)</f>
        <v>3879.9999999999995</v>
      </c>
      <c r="K648" s="15">
        <v>645</v>
      </c>
      <c r="L648">
        <f t="shared" si="10"/>
        <v>5</v>
      </c>
    </row>
    <row r="649" spans="1:12" ht="16.5" x14ac:dyDescent="0.2">
      <c r="A649" s="4" t="s">
        <v>272</v>
      </c>
      <c r="B649">
        <v>2014</v>
      </c>
      <c r="C649" s="14">
        <f>241.7*(2/3*10)</f>
        <v>1611.333333333333</v>
      </c>
      <c r="D649" s="14">
        <f>58.7*(2/3*10)</f>
        <v>391.33333333333331</v>
      </c>
      <c r="E649" s="14">
        <f>13.1*(2/3*10)</f>
        <v>87.333333333333329</v>
      </c>
      <c r="F649" s="14">
        <f>1.1*(2/3*10)</f>
        <v>7.333333333333333</v>
      </c>
      <c r="G649" s="14">
        <f>317.9*(2/3*10)</f>
        <v>2119.333333333333</v>
      </c>
      <c r="H649" s="14">
        <f>71.6*(2/3*10)</f>
        <v>477.33333333333326</v>
      </c>
      <c r="I649" s="14">
        <f>579.9*(2/3*10)</f>
        <v>3865.9999999999995</v>
      </c>
      <c r="K649">
        <v>646</v>
      </c>
      <c r="L649">
        <f t="shared" si="10"/>
        <v>6</v>
      </c>
    </row>
    <row r="650" spans="1:12" ht="16.5" x14ac:dyDescent="0.2">
      <c r="A650" s="4" t="s">
        <v>272</v>
      </c>
      <c r="B650">
        <v>2015</v>
      </c>
      <c r="C650" s="14">
        <f>240.9*(2/3*10)</f>
        <v>1606</v>
      </c>
      <c r="D650" s="14">
        <f>58.2*(2/3*10)</f>
        <v>388</v>
      </c>
      <c r="E650" s="14">
        <f>13.1*(2/3*10)</f>
        <v>87.333333333333329</v>
      </c>
      <c r="F650" s="14">
        <f>1.1*(2/3*10)</f>
        <v>7.333333333333333</v>
      </c>
      <c r="G650" s="14">
        <f>320.7*(2/3*10)</f>
        <v>2138</v>
      </c>
      <c r="H650" s="14">
        <f>72.3*(2/3*10)</f>
        <v>481.99999999999994</v>
      </c>
      <c r="I650" s="14">
        <f>577.9*(2/3*10)</f>
        <v>3852.6666666666661</v>
      </c>
      <c r="K650" s="15">
        <v>647</v>
      </c>
      <c r="L650">
        <f t="shared" si="10"/>
        <v>7</v>
      </c>
    </row>
    <row r="651" spans="1:12" ht="16.5" x14ac:dyDescent="0.2">
      <c r="A651" s="4" t="s">
        <v>272</v>
      </c>
      <c r="B651">
        <v>2016</v>
      </c>
      <c r="C651" s="14">
        <f>239.4*(2/3*10)</f>
        <v>1596</v>
      </c>
      <c r="D651" s="14">
        <f>57.7*(2/3*10)</f>
        <v>384.66666666666663</v>
      </c>
      <c r="E651" s="14">
        <f>13*(2/3*10)</f>
        <v>86.666666666666657</v>
      </c>
      <c r="F651" s="14">
        <f>1.1*(2/3*10)</f>
        <v>7.333333333333333</v>
      </c>
      <c r="G651" s="14">
        <f>324.2*(2/3*10)</f>
        <v>2161.3333333333335</v>
      </c>
      <c r="H651" s="14">
        <f>72.7*(2/3*10)</f>
        <v>484.66666666666663</v>
      </c>
      <c r="I651" s="14">
        <f>576.3*(2/3*10)</f>
        <v>3841.9999999999995</v>
      </c>
      <c r="K651">
        <v>648</v>
      </c>
      <c r="L651">
        <f t="shared" si="10"/>
        <v>0</v>
      </c>
    </row>
    <row r="652" spans="1:12" ht="16.5" x14ac:dyDescent="0.2">
      <c r="A652" s="4" t="s">
        <v>271</v>
      </c>
      <c r="B652">
        <v>2009</v>
      </c>
      <c r="C652" s="14">
        <f>670.7*(2/3*10)</f>
        <v>4471.333333333333</v>
      </c>
      <c r="D652" s="14">
        <f>38.1*(2/3*10)</f>
        <v>254</v>
      </c>
      <c r="E652" s="14">
        <f>0.6*(2/3*10)</f>
        <v>3.9999999999999996</v>
      </c>
      <c r="F652" s="14">
        <f>1.7*(2/3*10)</f>
        <v>11.333333333333332</v>
      </c>
      <c r="G652" s="14">
        <f>254.9*(2/3*10)</f>
        <v>1699.3333333333333</v>
      </c>
      <c r="H652" s="14">
        <f>63*(2/3*10)</f>
        <v>419.99999999999994</v>
      </c>
      <c r="I652" s="14">
        <f>531.1*(2/3*10)</f>
        <v>3540.6666666666665</v>
      </c>
      <c r="K652" s="15">
        <v>649</v>
      </c>
      <c r="L652">
        <f t="shared" si="10"/>
        <v>1</v>
      </c>
    </row>
    <row r="653" spans="1:12" ht="16.5" x14ac:dyDescent="0.2">
      <c r="A653" s="4" t="s">
        <v>271</v>
      </c>
      <c r="B653">
        <v>2010</v>
      </c>
      <c r="C653" s="14">
        <f>669.2*(2/3*10)</f>
        <v>4461.333333333333</v>
      </c>
      <c r="D653" s="14">
        <f>37.5*(2/3*10)</f>
        <v>249.99999999999997</v>
      </c>
      <c r="E653" s="14">
        <f>0.6*(2/3*10)</f>
        <v>3.9999999999999996</v>
      </c>
      <c r="F653" s="14">
        <f>3.5*(2/3*10)</f>
        <v>23.333333333333332</v>
      </c>
      <c r="G653" s="14">
        <f>260.4*(2/3*10)</f>
        <v>1735.9999999999998</v>
      </c>
      <c r="H653" s="14">
        <f>64.2*(2/3*10)</f>
        <v>428</v>
      </c>
      <c r="I653" s="14">
        <f>527.1*(2/3*10)</f>
        <v>3514</v>
      </c>
      <c r="K653">
        <v>650</v>
      </c>
      <c r="L653">
        <f t="shared" si="10"/>
        <v>2</v>
      </c>
    </row>
    <row r="654" spans="1:12" ht="16.5" x14ac:dyDescent="0.2">
      <c r="A654" s="4" t="s">
        <v>271</v>
      </c>
      <c r="B654">
        <v>2011</v>
      </c>
      <c r="C654" s="14">
        <f>667.3*(2/3*10)</f>
        <v>4448.6666666666661</v>
      </c>
      <c r="D654" s="14">
        <f>37*(2/3*10)</f>
        <v>246.66666666666666</v>
      </c>
      <c r="E654" s="14">
        <f>0.6*(2/3*10)</f>
        <v>3.9999999999999996</v>
      </c>
      <c r="F654" s="14">
        <f>5.7*(2/3*10)</f>
        <v>38</v>
      </c>
      <c r="G654" s="14">
        <f>263.5*(2/3*10)</f>
        <v>1756.6666666666665</v>
      </c>
      <c r="H654" s="14">
        <f>65.9*(2/3*10)</f>
        <v>439.33333333333331</v>
      </c>
      <c r="I654" s="14">
        <f>521.8*(2/3*10)</f>
        <v>3478.6666666666661</v>
      </c>
      <c r="K654" s="15">
        <v>651</v>
      </c>
      <c r="L654">
        <f t="shared" si="10"/>
        <v>3</v>
      </c>
    </row>
    <row r="655" spans="1:12" ht="16.5" x14ac:dyDescent="0.2">
      <c r="A655" s="4" t="s">
        <v>271</v>
      </c>
      <c r="B655">
        <v>2012</v>
      </c>
      <c r="C655" s="14">
        <f>668.9*(2/3*10)</f>
        <v>4459.333333333333</v>
      </c>
      <c r="D655" s="14">
        <f>36.4*(2/3*10)</f>
        <v>242.66666666666663</v>
      </c>
      <c r="E655" s="14">
        <f>0.6*(2/3*10)</f>
        <v>3.9999999999999996</v>
      </c>
      <c r="F655" s="14">
        <f>2.8*(2/3*10)</f>
        <v>18.666666666666664</v>
      </c>
      <c r="G655" s="14">
        <f>266.4*(2/3*10)</f>
        <v>1776</v>
      </c>
      <c r="H655" s="14">
        <f>67.7*(2/3*10)</f>
        <v>451.33333333333331</v>
      </c>
      <c r="I655" s="14">
        <f>519*(2/3*10)</f>
        <v>3459.9999999999995</v>
      </c>
      <c r="K655">
        <v>652</v>
      </c>
      <c r="L655">
        <f t="shared" si="10"/>
        <v>4</v>
      </c>
    </row>
    <row r="656" spans="1:12" ht="16.5" x14ac:dyDescent="0.2">
      <c r="A656" s="4" t="s">
        <v>271</v>
      </c>
      <c r="B656">
        <v>2013</v>
      </c>
      <c r="C656" s="14">
        <f>668.1*(2/3*10)</f>
        <v>4454</v>
      </c>
      <c r="D656" s="14">
        <f>36*(2/3*10)</f>
        <v>239.99999999999997</v>
      </c>
      <c r="E656" s="14">
        <f>0.6*(2/3*10)</f>
        <v>3.9999999999999996</v>
      </c>
      <c r="F656" s="14">
        <f>2.7*(2/3*10)</f>
        <v>18</v>
      </c>
      <c r="G656" s="14">
        <f>269.5*(2/3*10)</f>
        <v>1796.6666666666665</v>
      </c>
      <c r="H656" s="14">
        <f>69.1*(2/3*10)</f>
        <v>460.66666666666657</v>
      </c>
      <c r="I656" s="14">
        <f>515.7*(2/3*10)</f>
        <v>3438</v>
      </c>
      <c r="K656" s="15">
        <v>653</v>
      </c>
      <c r="L656">
        <f t="shared" si="10"/>
        <v>5</v>
      </c>
    </row>
    <row r="657" spans="1:12" ht="16.5" x14ac:dyDescent="0.2">
      <c r="A657" s="4" t="s">
        <v>271</v>
      </c>
      <c r="B657">
        <v>2014</v>
      </c>
      <c r="C657" s="14">
        <f>664.4*(2/3*10)</f>
        <v>4429.333333333333</v>
      </c>
      <c r="D657" s="14">
        <f>35.6*(2/3*10)</f>
        <v>237.33333333333331</v>
      </c>
      <c r="E657" s="14">
        <f>0.7*(2/3*10)</f>
        <v>4.6666666666666661</v>
      </c>
      <c r="F657" s="14">
        <f>2.7*(2/3*10)</f>
        <v>18</v>
      </c>
      <c r="G657" s="14">
        <f>274.1*(2/3*10)</f>
        <v>1827.3333333333333</v>
      </c>
      <c r="H657" s="14">
        <f>70.6*(2/3*10)</f>
        <v>470.66666666666657</v>
      </c>
      <c r="I657" s="14">
        <f>513.4*(2/3*10)</f>
        <v>3422.6666666666661</v>
      </c>
      <c r="K657">
        <v>654</v>
      </c>
      <c r="L657">
        <f t="shared" si="10"/>
        <v>6</v>
      </c>
    </row>
    <row r="658" spans="1:12" ht="16.5" x14ac:dyDescent="0.2">
      <c r="A658" s="4" t="s">
        <v>271</v>
      </c>
      <c r="B658">
        <v>2015</v>
      </c>
      <c r="C658" s="14">
        <f>664.2*(2/3*10)</f>
        <v>4428</v>
      </c>
      <c r="D658" s="14">
        <f>35.3*(2/3*10)</f>
        <v>235.33333333333329</v>
      </c>
      <c r="E658" s="14">
        <f>0.7*(2/3*10)</f>
        <v>4.6666666666666661</v>
      </c>
      <c r="F658" s="14">
        <f>2.7*(2/3*10)</f>
        <v>18</v>
      </c>
      <c r="G658" s="14">
        <f>276.2*(2/3*10)</f>
        <v>1841.333333333333</v>
      </c>
      <c r="H658" s="14">
        <f>71.8*(2/3*10)</f>
        <v>478.66666666666663</v>
      </c>
      <c r="I658" s="14">
        <f>510.6*(2/3*10)</f>
        <v>3404</v>
      </c>
      <c r="K658" s="15">
        <v>655</v>
      </c>
      <c r="L658">
        <f t="shared" si="10"/>
        <v>7</v>
      </c>
    </row>
    <row r="659" spans="1:12" ht="16.5" x14ac:dyDescent="0.2">
      <c r="A659" s="4" t="s">
        <v>271</v>
      </c>
      <c r="B659">
        <v>2016</v>
      </c>
      <c r="C659" s="14">
        <f>665.2*(2/3*10)</f>
        <v>4434.666666666667</v>
      </c>
      <c r="D659" s="14">
        <f>35.1*(2/3*10)</f>
        <v>234</v>
      </c>
      <c r="E659" s="14">
        <f>0.7*(2/3*10)</f>
        <v>4.6666666666666661</v>
      </c>
      <c r="F659" s="14">
        <f>2.7*(2/3*10)</f>
        <v>18</v>
      </c>
      <c r="G659" s="14">
        <f>276.9*(2/3*10)</f>
        <v>1846</v>
      </c>
      <c r="H659" s="14">
        <f>72.7*(2/3*10)</f>
        <v>484.66666666666663</v>
      </c>
      <c r="I659" s="14">
        <f>508.2*(2/3*10)</f>
        <v>3387.9999999999995</v>
      </c>
      <c r="K659">
        <v>656</v>
      </c>
      <c r="L659">
        <f t="shared" si="10"/>
        <v>0</v>
      </c>
    </row>
    <row r="660" spans="1:12" ht="16.5" x14ac:dyDescent="0.2">
      <c r="A660" s="4" t="s">
        <v>270</v>
      </c>
      <c r="B660">
        <v>2009</v>
      </c>
      <c r="C660" s="14">
        <f>582.8*(2/3*10)</f>
        <v>3885.3333333333326</v>
      </c>
      <c r="D660" s="14">
        <f>23.9*(2/3*10)</f>
        <v>159.33333333333331</v>
      </c>
      <c r="E660" s="14">
        <f>22.1*(2/3*10)</f>
        <v>147.33333333333334</v>
      </c>
      <c r="F660" s="14">
        <f>3.2*(2/3*10)</f>
        <v>21.333333333333332</v>
      </c>
      <c r="G660" s="14">
        <f>200.4*(2/3*10)</f>
        <v>1336</v>
      </c>
      <c r="H660" s="14">
        <f>46.3*(2/3*10)</f>
        <v>308.66666666666663</v>
      </c>
      <c r="I660" s="14">
        <f>248.8*(2/3*10)</f>
        <v>1658.6666666666665</v>
      </c>
      <c r="K660" s="15">
        <v>657</v>
      </c>
      <c r="L660">
        <f t="shared" si="10"/>
        <v>1</v>
      </c>
    </row>
    <row r="661" spans="1:12" ht="16.5" x14ac:dyDescent="0.2">
      <c r="A661" s="4" t="s">
        <v>270</v>
      </c>
      <c r="B661">
        <v>2010</v>
      </c>
      <c r="C661" s="14">
        <f>588.7*(2/3*10)</f>
        <v>3924.6666666666665</v>
      </c>
      <c r="D661" s="14">
        <f>23.8*(2/3*10)</f>
        <v>158.66666666666666</v>
      </c>
      <c r="E661" s="14">
        <f>22*(2/3*10)</f>
        <v>146.66666666666666</v>
      </c>
      <c r="F661" s="14">
        <f>3.1*(2/3*10)</f>
        <v>20.666666666666664</v>
      </c>
      <c r="G661" s="14">
        <f>202.8*(2/3*10)</f>
        <v>1352</v>
      </c>
      <c r="H661" s="14">
        <f>46.5*(2/3*10)</f>
        <v>310</v>
      </c>
      <c r="I661" s="14">
        <f>240.2*(2/3*10)</f>
        <v>1601.333333333333</v>
      </c>
      <c r="K661">
        <v>658</v>
      </c>
      <c r="L661">
        <f t="shared" si="10"/>
        <v>2</v>
      </c>
    </row>
    <row r="662" spans="1:12" ht="16.5" x14ac:dyDescent="0.2">
      <c r="A662" s="4" t="s">
        <v>270</v>
      </c>
      <c r="B662">
        <v>2011</v>
      </c>
      <c r="C662" s="14">
        <f>588.7*(2/3*10)</f>
        <v>3924.6666666666665</v>
      </c>
      <c r="D662" s="14">
        <f>23.6*(2/3*10)</f>
        <v>157.33333333333334</v>
      </c>
      <c r="E662" s="14">
        <f>22*(2/3*10)</f>
        <v>146.66666666666666</v>
      </c>
      <c r="F662" s="14">
        <f>3*(2/3*10)</f>
        <v>20</v>
      </c>
      <c r="G662" s="14">
        <f>203.5*(2/3*10)</f>
        <v>1356.6666666666663</v>
      </c>
      <c r="H662" s="14">
        <f>47*(2/3*10)</f>
        <v>313.33333333333331</v>
      </c>
      <c r="I662" s="14">
        <f>239*(2/3*10)</f>
        <v>1593.3333333333333</v>
      </c>
      <c r="K662" s="15">
        <v>659</v>
      </c>
      <c r="L662">
        <f t="shared" si="10"/>
        <v>3</v>
      </c>
    </row>
    <row r="663" spans="1:12" ht="16.5" x14ac:dyDescent="0.2">
      <c r="A663" s="4" t="s">
        <v>270</v>
      </c>
      <c r="B663">
        <v>2012</v>
      </c>
      <c r="C663" s="14">
        <f>589.7*(2/3*10)</f>
        <v>3931.3333333333335</v>
      </c>
      <c r="D663" s="14">
        <f>23.5*(2/3*10)</f>
        <v>156.66666666666666</v>
      </c>
      <c r="E663" s="14">
        <f>22*(2/3*10)</f>
        <v>146.66666666666666</v>
      </c>
      <c r="F663" s="14">
        <f>3*(2/3*10)</f>
        <v>20</v>
      </c>
      <c r="G663" s="14">
        <f>203.6*(2/3*10)</f>
        <v>1357.3333333333333</v>
      </c>
      <c r="H663" s="14">
        <f>47.4*(2/3*10)</f>
        <v>315.99999999999994</v>
      </c>
      <c r="I663" s="14">
        <f>237.6*(2/3*10)</f>
        <v>1583.9999999999998</v>
      </c>
      <c r="K663">
        <v>660</v>
      </c>
      <c r="L663">
        <f t="shared" si="10"/>
        <v>4</v>
      </c>
    </row>
    <row r="664" spans="1:12" ht="16.5" x14ac:dyDescent="0.2">
      <c r="A664" s="4" t="s">
        <v>270</v>
      </c>
      <c r="B664">
        <v>2013</v>
      </c>
      <c r="C664" s="14">
        <f>588.9*(2/3*10)</f>
        <v>3925.9999999999995</v>
      </c>
      <c r="D664" s="14">
        <f>23.4*(2/3*10)</f>
        <v>155.99999999999997</v>
      </c>
      <c r="E664" s="14">
        <f>22*(2/3*10)</f>
        <v>146.66666666666666</v>
      </c>
      <c r="F664" s="14">
        <f>3*(2/3*10)</f>
        <v>20</v>
      </c>
      <c r="G664" s="14">
        <f>204.9*(2/3*10)</f>
        <v>1365.9999999999998</v>
      </c>
      <c r="H664" s="14">
        <f>47.9*(2/3*10)</f>
        <v>319.33333333333331</v>
      </c>
      <c r="I664" s="14">
        <f>236.3*(2/3*10)</f>
        <v>1575.3333333333333</v>
      </c>
      <c r="K664" s="15">
        <v>661</v>
      </c>
      <c r="L664">
        <f t="shared" si="10"/>
        <v>5</v>
      </c>
    </row>
    <row r="665" spans="1:12" ht="16.5" x14ac:dyDescent="0.2">
      <c r="A665" s="4" t="s">
        <v>270</v>
      </c>
      <c r="B665">
        <v>2014</v>
      </c>
      <c r="C665" s="14">
        <f>588.8*(2/3*10)</f>
        <v>3925.3333333333326</v>
      </c>
      <c r="D665" s="14">
        <f>23.2*(2/3*10)</f>
        <v>154.66666666666666</v>
      </c>
      <c r="E665" s="14">
        <f>21.9*(2/3*10)</f>
        <v>145.99999999999997</v>
      </c>
      <c r="F665" s="14">
        <f>2.8*(2/3*10)</f>
        <v>18.666666666666664</v>
      </c>
      <c r="G665" s="14">
        <f>205.8*(2/3*10)</f>
        <v>1372</v>
      </c>
      <c r="H665" s="14">
        <f>48.8*(2/3*10)</f>
        <v>325.33333333333326</v>
      </c>
      <c r="I665" s="14">
        <f>234.4*(2/3*10)</f>
        <v>1562.6666666666665</v>
      </c>
      <c r="K665">
        <v>662</v>
      </c>
      <c r="L665">
        <f t="shared" si="10"/>
        <v>6</v>
      </c>
    </row>
    <row r="666" spans="1:12" ht="16.5" x14ac:dyDescent="0.2">
      <c r="A666" s="4" t="s">
        <v>270</v>
      </c>
      <c r="B666">
        <v>2015</v>
      </c>
      <c r="C666" s="14">
        <f>588.3*(2/3*10)</f>
        <v>3921.9999999999995</v>
      </c>
      <c r="D666" s="14">
        <f>23.1*(2/3*10)</f>
        <v>154</v>
      </c>
      <c r="E666" s="14">
        <f>21.9*(2/3*10)</f>
        <v>145.99999999999997</v>
      </c>
      <c r="F666" s="14">
        <f>2.8*(2/3*10)</f>
        <v>18.666666666666664</v>
      </c>
      <c r="G666" s="14">
        <f>207.2*(2/3*10)</f>
        <v>1381.333333333333</v>
      </c>
      <c r="H666" s="14">
        <f>49.1*(2/3*10)</f>
        <v>327.33333333333331</v>
      </c>
      <c r="I666" s="14">
        <f>233.4*(2/3*10)</f>
        <v>1556</v>
      </c>
      <c r="K666" s="15">
        <v>663</v>
      </c>
      <c r="L666">
        <f t="shared" si="10"/>
        <v>7</v>
      </c>
    </row>
    <row r="667" spans="1:12" ht="16.5" x14ac:dyDescent="0.2">
      <c r="A667" s="4" t="s">
        <v>270</v>
      </c>
      <c r="B667">
        <v>2016</v>
      </c>
      <c r="C667" s="14">
        <f>587.5*(2/3*10)</f>
        <v>3916.6666666666665</v>
      </c>
      <c r="D667" s="14">
        <f>23*(2/3*10)</f>
        <v>153.33333333333331</v>
      </c>
      <c r="E667" s="14">
        <f>21.9*(2/3*10)</f>
        <v>145.99999999999997</v>
      </c>
      <c r="F667" s="14">
        <f>2.8*(2/3*10)</f>
        <v>18.666666666666664</v>
      </c>
      <c r="G667" s="14">
        <f>208.9*(2/3*10)</f>
        <v>1392.6666666666665</v>
      </c>
      <c r="H667" s="14">
        <f>50*(2/3*10)</f>
        <v>333.33333333333331</v>
      </c>
      <c r="I667" s="14">
        <f>231.5*(2/3*10)</f>
        <v>1543.3333333333333</v>
      </c>
      <c r="K667">
        <v>664</v>
      </c>
      <c r="L667">
        <f t="shared" si="10"/>
        <v>0</v>
      </c>
    </row>
    <row r="668" spans="1:12" ht="16.5" x14ac:dyDescent="0.2">
      <c r="A668" s="4" t="s">
        <v>269</v>
      </c>
      <c r="B668">
        <v>2009</v>
      </c>
      <c r="C668" s="14">
        <f>711.1*(2/3*10)</f>
        <v>4740.6666666666661</v>
      </c>
      <c r="D668" s="14">
        <f>43*(2/3*10)</f>
        <v>286.66666666666663</v>
      </c>
      <c r="E668" s="14">
        <f>29.9*(2/3*10)</f>
        <v>199.33333333333331</v>
      </c>
      <c r="F668" s="14">
        <f>13.2*(2/3*10)</f>
        <v>87.999999999999986</v>
      </c>
      <c r="G668" s="14">
        <f>194.8*(2/3*10)</f>
        <v>1298.6666666666665</v>
      </c>
      <c r="H668" s="14">
        <f>50.8*(2/3*10)</f>
        <v>338.66666666666663</v>
      </c>
      <c r="I668" s="14">
        <f>448.3*(2/3*10)</f>
        <v>2988.6666666666665</v>
      </c>
      <c r="K668" s="15">
        <v>665</v>
      </c>
      <c r="L668">
        <f t="shared" si="10"/>
        <v>1</v>
      </c>
    </row>
    <row r="669" spans="1:12" ht="16.5" x14ac:dyDescent="0.2">
      <c r="A669" s="4" t="s">
        <v>269</v>
      </c>
      <c r="B669">
        <v>2010</v>
      </c>
      <c r="C669" s="14">
        <f>709.2*(2/3*10)</f>
        <v>4728</v>
      </c>
      <c r="D669" s="14">
        <f>42.6*(2/3*10)</f>
        <v>284</v>
      </c>
      <c r="E669" s="14">
        <f>29.9*(2/3*10)</f>
        <v>199.33333333333331</v>
      </c>
      <c r="F669" s="14">
        <f>13.1*(2/3*10)</f>
        <v>87.333333333333329</v>
      </c>
      <c r="G669" s="14">
        <f>197.2*(2/3*10)</f>
        <v>1314.6666666666667</v>
      </c>
      <c r="H669" s="14">
        <f>51.4*(2/3*10)</f>
        <v>342.66666666666663</v>
      </c>
      <c r="I669" s="14">
        <f>447.7*(2/3*10)</f>
        <v>2984.6666666666665</v>
      </c>
      <c r="K669">
        <v>666</v>
      </c>
      <c r="L669">
        <f t="shared" si="10"/>
        <v>2</v>
      </c>
    </row>
    <row r="670" spans="1:12" ht="16.5" x14ac:dyDescent="0.2">
      <c r="A670" s="4" t="s">
        <v>269</v>
      </c>
      <c r="B670">
        <v>2011</v>
      </c>
      <c r="C670" s="14">
        <f>708.7*(2/3*10)</f>
        <v>4724.666666666667</v>
      </c>
      <c r="D670" s="14">
        <f>42.4*(2/3*10)</f>
        <v>282.66666666666663</v>
      </c>
      <c r="E670" s="14">
        <f>29.8*(2/3*10)</f>
        <v>198.66666666666666</v>
      </c>
      <c r="F670" s="14">
        <f>12.9*(2/3*10)</f>
        <v>86</v>
      </c>
      <c r="G670" s="14">
        <f>199.1*(2/3*10)</f>
        <v>1327.3333333333333</v>
      </c>
      <c r="H670" s="14">
        <f>52.2*(2/3*10)</f>
        <v>348</v>
      </c>
      <c r="I670" s="14">
        <f>445.9*(2/3*10)</f>
        <v>2972.6666666666661</v>
      </c>
      <c r="K670" s="15">
        <v>667</v>
      </c>
      <c r="L670">
        <f t="shared" si="10"/>
        <v>3</v>
      </c>
    </row>
    <row r="671" spans="1:12" ht="16.5" x14ac:dyDescent="0.2">
      <c r="A671" s="4" t="s">
        <v>269</v>
      </c>
      <c r="B671">
        <v>2012</v>
      </c>
      <c r="C671" s="14">
        <f>708.6*(2/3*10)</f>
        <v>4724</v>
      </c>
      <c r="D671" s="14">
        <f>42.2*(2/3*10)</f>
        <v>281.33333333333331</v>
      </c>
      <c r="E671" s="14">
        <f>29.8*(2/3*10)</f>
        <v>198.66666666666666</v>
      </c>
      <c r="F671" s="14">
        <f>12.9*(2/3*10)</f>
        <v>86</v>
      </c>
      <c r="G671" s="14">
        <f>199.9*(2/3*10)</f>
        <v>1332.6666666666663</v>
      </c>
      <c r="H671" s="14">
        <f>52.5*(2/3*10)</f>
        <v>349.99999999999994</v>
      </c>
      <c r="I671" s="14">
        <f>444.8*(2/3*10)</f>
        <v>2965.333333333333</v>
      </c>
      <c r="K671">
        <v>668</v>
      </c>
      <c r="L671">
        <f t="shared" si="10"/>
        <v>4</v>
      </c>
    </row>
    <row r="672" spans="1:12" ht="16.5" x14ac:dyDescent="0.2">
      <c r="A672" s="4" t="s">
        <v>269</v>
      </c>
      <c r="B672">
        <v>2013</v>
      </c>
      <c r="C672" s="14">
        <f>707.9*(2/3*10)</f>
        <v>4719.333333333333</v>
      </c>
      <c r="D672" s="14">
        <f>42.1*(2/3*10)</f>
        <v>280.66666666666663</v>
      </c>
      <c r="E672" s="14">
        <f>29.8*(2/3*10)</f>
        <v>198.66666666666666</v>
      </c>
      <c r="F672" s="14">
        <f>12.9*(2/3*10)</f>
        <v>86</v>
      </c>
      <c r="G672" s="14">
        <f>201.2*(2/3*10)</f>
        <v>1341.3333333333333</v>
      </c>
      <c r="H672" s="14">
        <f>52.8*(2/3*10)</f>
        <v>351.99999999999994</v>
      </c>
      <c r="I672" s="14">
        <f>443.5*(2/3*10)</f>
        <v>2956.6666666666665</v>
      </c>
      <c r="K672" s="15">
        <v>669</v>
      </c>
      <c r="L672">
        <f t="shared" si="10"/>
        <v>5</v>
      </c>
    </row>
    <row r="673" spans="1:12" ht="16.5" x14ac:dyDescent="0.2">
      <c r="A673" s="4" t="s">
        <v>269</v>
      </c>
      <c r="B673">
        <v>2014</v>
      </c>
      <c r="C673" s="14">
        <f>707.8*(2/3*10)</f>
        <v>4718.6666666666661</v>
      </c>
      <c r="D673" s="14">
        <f>41.9*(2/3*10)</f>
        <v>279.33333333333331</v>
      </c>
      <c r="E673" s="14">
        <f>29.8*(2/3*10)</f>
        <v>198.66666666666666</v>
      </c>
      <c r="F673" s="14">
        <f>12.8*(2/3*10)</f>
        <v>85.333333333333329</v>
      </c>
      <c r="G673" s="14">
        <f>203.6*(2/3*10)</f>
        <v>1357.3333333333333</v>
      </c>
      <c r="H673" s="14">
        <f>53.2*(2/3*10)</f>
        <v>354.66666666666663</v>
      </c>
      <c r="I673" s="14">
        <f>441.4*(2/3*10)</f>
        <v>2942.6666666666661</v>
      </c>
      <c r="K673">
        <v>670</v>
      </c>
      <c r="L673">
        <f t="shared" si="10"/>
        <v>6</v>
      </c>
    </row>
    <row r="674" spans="1:12" ht="16.5" x14ac:dyDescent="0.2">
      <c r="A674" s="4" t="s">
        <v>269</v>
      </c>
      <c r="B674">
        <v>2015</v>
      </c>
      <c r="C674" s="14">
        <f>708.9*(2/3*10)</f>
        <v>4725.9999999999991</v>
      </c>
      <c r="D674" s="14">
        <f>41.3*(2/3*10)</f>
        <v>275.33333333333331</v>
      </c>
      <c r="E674" s="14">
        <f>29.8*(2/3*10)</f>
        <v>198.66666666666666</v>
      </c>
      <c r="F674" s="14">
        <f>12.7*(2/3*10)</f>
        <v>84.666666666666657</v>
      </c>
      <c r="G674" s="14">
        <f>205.3*(2/3*10)</f>
        <v>1368.6666666666665</v>
      </c>
      <c r="H674" s="14">
        <f>53.5*(2/3*10)</f>
        <v>356.66666666666663</v>
      </c>
      <c r="I674" s="14">
        <f>439*(2/3*10)</f>
        <v>2926.6666666666665</v>
      </c>
      <c r="K674" s="15">
        <v>671</v>
      </c>
      <c r="L674">
        <f t="shared" si="10"/>
        <v>7</v>
      </c>
    </row>
    <row r="675" spans="1:12" ht="16.5" x14ac:dyDescent="0.2">
      <c r="A675" s="4" t="s">
        <v>269</v>
      </c>
      <c r="B675">
        <v>2016</v>
      </c>
      <c r="C675" s="14">
        <f>709.6*(2/3*10)</f>
        <v>4730.6666666666661</v>
      </c>
      <c r="D675" s="14">
        <f>41.2*(2/3*10)</f>
        <v>274.66666666666669</v>
      </c>
      <c r="E675" s="14">
        <f>29.8*(2/3*10)</f>
        <v>198.66666666666666</v>
      </c>
      <c r="F675" s="14">
        <f>12.7*(2/3*10)</f>
        <v>84.666666666666657</v>
      </c>
      <c r="G675" s="14">
        <f>205.6*(2/3*10)</f>
        <v>1370.6666666666665</v>
      </c>
      <c r="H675" s="14">
        <f>54*(2/3*10)</f>
        <v>359.99999999999994</v>
      </c>
      <c r="I675" s="14">
        <f>437.7*(2/3*10)</f>
        <v>2917.9999999999995</v>
      </c>
      <c r="K675">
        <v>672</v>
      </c>
      <c r="L675">
        <f t="shared" si="10"/>
        <v>0</v>
      </c>
    </row>
    <row r="676" spans="1:12" ht="16.5" x14ac:dyDescent="0.2">
      <c r="A676" s="4" t="s">
        <v>268</v>
      </c>
      <c r="B676">
        <v>2009</v>
      </c>
      <c r="C676" s="14">
        <f>1259.8*(2/3*10)</f>
        <v>8398.6666666666661</v>
      </c>
      <c r="D676" s="14">
        <f>24*(2/3*10)</f>
        <v>160</v>
      </c>
      <c r="E676" s="14">
        <f>19.2*(2/3*10)</f>
        <v>127.99999999999999</v>
      </c>
      <c r="F676" s="14">
        <f>12.1*(2/3*10)</f>
        <v>80.666666666666657</v>
      </c>
      <c r="G676" s="14">
        <f>308.7*(2/3*10)</f>
        <v>2057.9999999999995</v>
      </c>
      <c r="H676" s="14">
        <f>66.5*(2/3*10)</f>
        <v>443.33333333333331</v>
      </c>
      <c r="I676" s="14">
        <f>754.2*(2/3*10)</f>
        <v>5028</v>
      </c>
      <c r="K676" s="15">
        <v>673</v>
      </c>
      <c r="L676">
        <f t="shared" si="10"/>
        <v>1</v>
      </c>
    </row>
    <row r="677" spans="1:12" ht="16.5" x14ac:dyDescent="0.2">
      <c r="A677" s="4" t="s">
        <v>268</v>
      </c>
      <c r="B677">
        <v>2010</v>
      </c>
      <c r="C677" s="14">
        <f>1255.7*(2/3*10)</f>
        <v>8371.3333333333321</v>
      </c>
      <c r="D677" s="14">
        <f>23.8*(2/3*10)</f>
        <v>158.66666666666666</v>
      </c>
      <c r="E677" s="14">
        <f>18.9*(2/3*10)</f>
        <v>125.99999999999999</v>
      </c>
      <c r="F677" s="14">
        <f>11.2*(2/3*10)</f>
        <v>74.666666666666657</v>
      </c>
      <c r="G677" s="14">
        <f>316*(2/3*10)</f>
        <v>2106.6666666666665</v>
      </c>
      <c r="H677" s="14">
        <f>68.7*(2/3*10)</f>
        <v>458</v>
      </c>
      <c r="I677" s="14">
        <f>750.7*(2/3*10)</f>
        <v>5004.666666666667</v>
      </c>
      <c r="K677">
        <v>674</v>
      </c>
      <c r="L677">
        <f t="shared" si="10"/>
        <v>2</v>
      </c>
    </row>
    <row r="678" spans="1:12" ht="16.5" x14ac:dyDescent="0.2">
      <c r="A678" s="4" t="s">
        <v>268</v>
      </c>
      <c r="B678">
        <v>2011</v>
      </c>
      <c r="C678" s="14">
        <f>1254*(2/3*10)</f>
        <v>8360</v>
      </c>
      <c r="D678" s="14">
        <f>23.7*(2/3*10)</f>
        <v>157.99999999999997</v>
      </c>
      <c r="E678" s="14">
        <f>18.8*(2/3*10)</f>
        <v>125.33333333333333</v>
      </c>
      <c r="F678" s="14">
        <f>10.7*(2/3*10)</f>
        <v>71.333333333333329</v>
      </c>
      <c r="G678" s="14">
        <f>320.2*(2/3*10)</f>
        <v>2134.6666666666665</v>
      </c>
      <c r="H678" s="14">
        <f>71.1*(2/3*10)</f>
        <v>473.99999999999994</v>
      </c>
      <c r="I678" s="14">
        <f>746.1*(2/3*10)</f>
        <v>4974</v>
      </c>
      <c r="K678" s="15">
        <v>675</v>
      </c>
      <c r="L678">
        <f t="shared" si="10"/>
        <v>3</v>
      </c>
    </row>
    <row r="679" spans="1:12" ht="16.5" x14ac:dyDescent="0.2">
      <c r="A679" s="4" t="s">
        <v>268</v>
      </c>
      <c r="B679">
        <v>2012</v>
      </c>
      <c r="C679" s="14">
        <f>1254.1*(2/3*10)</f>
        <v>8360.6666666666661</v>
      </c>
      <c r="D679" s="14">
        <f>23.7*(2/3*10)</f>
        <v>157.99999999999997</v>
      </c>
      <c r="E679" s="14">
        <f>18.8*(2/3*10)</f>
        <v>125.33333333333333</v>
      </c>
      <c r="F679" s="14">
        <f>10.8*(2/3*10)</f>
        <v>72</v>
      </c>
      <c r="G679" s="14">
        <f>322.6*(2/3*10)</f>
        <v>2150.6666666666665</v>
      </c>
      <c r="H679" s="14">
        <f>72.9*(2/3*10)</f>
        <v>486</v>
      </c>
      <c r="I679" s="14">
        <f>742.2*(2/3*10)</f>
        <v>4948</v>
      </c>
      <c r="K679">
        <v>676</v>
      </c>
      <c r="L679">
        <f t="shared" si="10"/>
        <v>4</v>
      </c>
    </row>
    <row r="680" spans="1:12" ht="16.5" x14ac:dyDescent="0.2">
      <c r="A680" s="4" t="s">
        <v>268</v>
      </c>
      <c r="B680">
        <v>2013</v>
      </c>
      <c r="C680" s="14">
        <f>1255*(2/3*10)</f>
        <v>8366.6666666666661</v>
      </c>
      <c r="D680" s="14">
        <f>23.6*(2/3*10)</f>
        <v>157.33333333333334</v>
      </c>
      <c r="E680" s="14">
        <f>18.7*(2/3*10)</f>
        <v>124.66666666666666</v>
      </c>
      <c r="F680" s="14">
        <f>10.5*(2/3*10)</f>
        <v>70</v>
      </c>
      <c r="G680" s="14">
        <f>326.7*(2/3*10)</f>
        <v>2177.9999999999995</v>
      </c>
      <c r="H680" s="14">
        <f>74*(2/3*10)</f>
        <v>493.33333333333331</v>
      </c>
      <c r="I680" s="14">
        <f>736.8*(2/3*10)</f>
        <v>4911.9999999999991</v>
      </c>
      <c r="K680" s="15">
        <v>677</v>
      </c>
      <c r="L680">
        <f t="shared" si="10"/>
        <v>5</v>
      </c>
    </row>
    <row r="681" spans="1:12" ht="16.5" x14ac:dyDescent="0.2">
      <c r="A681" s="4" t="s">
        <v>268</v>
      </c>
      <c r="B681">
        <v>2014</v>
      </c>
      <c r="C681" s="14">
        <f>1254.5*(2/3*10)</f>
        <v>8363.3333333333321</v>
      </c>
      <c r="D681" s="14">
        <f>23.6*(2/3*10)</f>
        <v>157.33333333333334</v>
      </c>
      <c r="E681" s="14">
        <f>18.6*(2/3*10)</f>
        <v>124</v>
      </c>
      <c r="F681" s="14">
        <f>10.4*(2/3*10)</f>
        <v>69.333333333333329</v>
      </c>
      <c r="G681" s="14">
        <f>328.7*(2/3*10)</f>
        <v>2191.3333333333335</v>
      </c>
      <c r="H681" s="14">
        <f>75.7*(2/3*10)</f>
        <v>504.66666666666663</v>
      </c>
      <c r="I681" s="14">
        <f>734.1*(2/3*10)</f>
        <v>4894</v>
      </c>
      <c r="K681">
        <v>678</v>
      </c>
      <c r="L681">
        <f t="shared" si="10"/>
        <v>6</v>
      </c>
    </row>
    <row r="682" spans="1:12" ht="16.5" x14ac:dyDescent="0.2">
      <c r="A682" s="4" t="s">
        <v>268</v>
      </c>
      <c r="B682">
        <v>2015</v>
      </c>
      <c r="C682" s="14">
        <f>1255.6*(2/3*10)</f>
        <v>8370.6666666666661</v>
      </c>
      <c r="D682" s="14">
        <f>23.5*(2/3*10)</f>
        <v>156.66666666666666</v>
      </c>
      <c r="E682" s="14">
        <f>18.5*(2/3*10)</f>
        <v>123.33333333333333</v>
      </c>
      <c r="F682" s="14">
        <f>10.3*(2/3*10)</f>
        <v>68.666666666666671</v>
      </c>
      <c r="G682" s="14">
        <f>331.5*(2/3*10)</f>
        <v>2210</v>
      </c>
      <c r="H682" s="14">
        <f>76.1*(2/3*10)</f>
        <v>507.33333333333326</v>
      </c>
      <c r="I682" s="14">
        <f>730.3*(2/3*10)</f>
        <v>4868.6666666666661</v>
      </c>
      <c r="K682" s="15">
        <v>679</v>
      </c>
      <c r="L682">
        <f t="shared" si="10"/>
        <v>7</v>
      </c>
    </row>
    <row r="683" spans="1:12" ht="16.5" x14ac:dyDescent="0.2">
      <c r="A683" s="4" t="s">
        <v>268</v>
      </c>
      <c r="B683">
        <v>2016</v>
      </c>
      <c r="C683" s="14">
        <f>1255*(2/3*10)</f>
        <v>8366.6666666666661</v>
      </c>
      <c r="D683" s="14">
        <f>23.4*(2/3*10)</f>
        <v>155.99999999999997</v>
      </c>
      <c r="E683" s="14">
        <f>18.4*(2/3*10)</f>
        <v>122.66666666666664</v>
      </c>
      <c r="F683" s="14">
        <f>10*(2/3*10)</f>
        <v>66.666666666666657</v>
      </c>
      <c r="G683" s="14">
        <f>334.1*(2/3*10)</f>
        <v>2227.3333333333335</v>
      </c>
      <c r="H683" s="14">
        <f>76.9*(2/3*10)</f>
        <v>512.66666666666663</v>
      </c>
      <c r="I683" s="14">
        <f>727.8*(2/3*10)</f>
        <v>4851.9999999999991</v>
      </c>
      <c r="K683">
        <v>680</v>
      </c>
      <c r="L683">
        <f t="shared" si="10"/>
        <v>0</v>
      </c>
    </row>
    <row r="684" spans="1:12" ht="16.5" x14ac:dyDescent="0.2">
      <c r="A684" s="4" t="s">
        <v>267</v>
      </c>
      <c r="B684">
        <v>2009</v>
      </c>
      <c r="C684" s="14">
        <f>427.1*(2/3*10)</f>
        <v>2847.333333333333</v>
      </c>
      <c r="D684" s="14">
        <f>20.1*(2/3*10)</f>
        <v>134</v>
      </c>
      <c r="E684" s="14">
        <f>7.8*(2/3*10)</f>
        <v>51.999999999999993</v>
      </c>
      <c r="F684" s="14">
        <f>1.8*(2/3*10)</f>
        <v>12</v>
      </c>
      <c r="G684" s="14">
        <f>147.3*(2/3*10)</f>
        <v>982</v>
      </c>
      <c r="H684" s="14">
        <f>39.7*(2/3*10)</f>
        <v>264.66666666666669</v>
      </c>
      <c r="I684" s="14">
        <f>331.1*(2/3*10)</f>
        <v>2207.3333333333335</v>
      </c>
      <c r="K684" s="15">
        <v>681</v>
      </c>
      <c r="L684">
        <f t="shared" si="10"/>
        <v>1</v>
      </c>
    </row>
    <row r="685" spans="1:12" ht="16.5" x14ac:dyDescent="0.2">
      <c r="A685" s="4" t="s">
        <v>267</v>
      </c>
      <c r="B685">
        <v>2010</v>
      </c>
      <c r="C685" s="14">
        <f>425.8*(2/3*10)</f>
        <v>2838.6666666666665</v>
      </c>
      <c r="D685" s="14">
        <f>19.8*(2/3*10)</f>
        <v>132</v>
      </c>
      <c r="E685" s="14">
        <f>7.7*(2/3*10)</f>
        <v>51.333333333333329</v>
      </c>
      <c r="F685" s="14">
        <f>1.4*(2/3*10)</f>
        <v>9.3333333333333321</v>
      </c>
      <c r="G685" s="14">
        <f>150.3*(2/3*10)</f>
        <v>1001.9999999999998</v>
      </c>
      <c r="H685" s="14">
        <f>40.9*(2/3*10)</f>
        <v>272.66666666666663</v>
      </c>
      <c r="I685" s="14">
        <f>329.4*(2/3*10)</f>
        <v>2195.9999999999995</v>
      </c>
      <c r="K685">
        <v>682</v>
      </c>
      <c r="L685">
        <f t="shared" si="10"/>
        <v>2</v>
      </c>
    </row>
    <row r="686" spans="1:12" ht="16.5" x14ac:dyDescent="0.2">
      <c r="A686" s="4" t="s">
        <v>267</v>
      </c>
      <c r="B686">
        <v>2011</v>
      </c>
      <c r="C686" s="14">
        <f>426.2*(2/3*10)</f>
        <v>2841.333333333333</v>
      </c>
      <c r="D686" s="14">
        <f>19.6*(2/3*10)</f>
        <v>130.66666666666666</v>
      </c>
      <c r="E686" s="14">
        <f>7.7*(2/3*10)</f>
        <v>51.333333333333329</v>
      </c>
      <c r="F686" s="14">
        <f>1.2*(2/3*10)</f>
        <v>7.9999999999999991</v>
      </c>
      <c r="G686" s="14">
        <f>151.7*(2/3*10)</f>
        <v>1011.3333333333331</v>
      </c>
      <c r="H686" s="14">
        <f>41.9*(2/3*10)</f>
        <v>279.33333333333331</v>
      </c>
      <c r="I686" s="14">
        <f>327.2*(2/3*10)</f>
        <v>2181.333333333333</v>
      </c>
      <c r="K686" s="15">
        <v>683</v>
      </c>
      <c r="L686">
        <f t="shared" si="10"/>
        <v>3</v>
      </c>
    </row>
    <row r="687" spans="1:12" ht="16.5" x14ac:dyDescent="0.2">
      <c r="A687" s="4" t="s">
        <v>267</v>
      </c>
      <c r="B687">
        <v>2012</v>
      </c>
      <c r="C687" s="14">
        <f>426.4*(2/3*10)</f>
        <v>2842.6666666666661</v>
      </c>
      <c r="D687" s="14">
        <f>19.5*(2/3*10)</f>
        <v>130</v>
      </c>
      <c r="E687" s="14">
        <f>7.7*(2/3*10)</f>
        <v>51.333333333333329</v>
      </c>
      <c r="F687" s="14">
        <f>1*(2/3*10)</f>
        <v>6.6666666666666661</v>
      </c>
      <c r="G687" s="14">
        <f>153.5*(2/3*10)</f>
        <v>1023.3333333333335</v>
      </c>
      <c r="H687" s="14">
        <f>42.1*(2/3*10)</f>
        <v>280.66666666666663</v>
      </c>
      <c r="I687" s="14">
        <f>325.6*(2/3*10)</f>
        <v>2170.6666666666665</v>
      </c>
      <c r="K687">
        <v>684</v>
      </c>
      <c r="L687">
        <f t="shared" si="10"/>
        <v>4</v>
      </c>
    </row>
    <row r="688" spans="1:12" ht="16.5" x14ac:dyDescent="0.2">
      <c r="A688" s="4" t="s">
        <v>267</v>
      </c>
      <c r="B688">
        <v>2013</v>
      </c>
      <c r="C688" s="14">
        <f>426.3*(2/3*10)</f>
        <v>2842</v>
      </c>
      <c r="D688" s="14">
        <f>19.4*(2/3*10)</f>
        <v>129.33333333333331</v>
      </c>
      <c r="E688" s="14">
        <f>7.7*(2/3*10)</f>
        <v>51.333333333333329</v>
      </c>
      <c r="F688" s="14">
        <f>1*(2/3*10)</f>
        <v>6.6666666666666661</v>
      </c>
      <c r="G688" s="14">
        <f>154.3*(2/3*10)</f>
        <v>1028.6666666666667</v>
      </c>
      <c r="H688" s="14">
        <f>42.5*(2/3*10)</f>
        <v>283.33333333333331</v>
      </c>
      <c r="I688" s="14">
        <f>324.8*(2/3*10)</f>
        <v>2165.333333333333</v>
      </c>
      <c r="K688" s="15">
        <v>685</v>
      </c>
      <c r="L688">
        <f t="shared" si="10"/>
        <v>5</v>
      </c>
    </row>
    <row r="689" spans="1:12" ht="16.5" x14ac:dyDescent="0.2">
      <c r="A689" s="4" t="s">
        <v>267</v>
      </c>
      <c r="B689">
        <v>2014</v>
      </c>
      <c r="C689" s="14">
        <f>426.3*(2/3*10)</f>
        <v>2842</v>
      </c>
      <c r="D689" s="14">
        <f>19.2*(2/3*10)</f>
        <v>127.99999999999999</v>
      </c>
      <c r="E689" s="14">
        <f>7.6*(2/3*10)</f>
        <v>50.666666666666657</v>
      </c>
      <c r="F689" s="14">
        <f>1*(2/3*10)</f>
        <v>6.6666666666666661</v>
      </c>
      <c r="G689" s="14">
        <f>155.7*(2/3*10)</f>
        <v>1038</v>
      </c>
      <c r="H689" s="14">
        <f>42.9*(2/3*10)</f>
        <v>285.99999999999994</v>
      </c>
      <c r="I689" s="14">
        <f>323.3*(2/3*10)</f>
        <v>2155.333333333333</v>
      </c>
      <c r="K689">
        <v>686</v>
      </c>
      <c r="L689">
        <f t="shared" si="10"/>
        <v>6</v>
      </c>
    </row>
    <row r="690" spans="1:12" ht="16.5" x14ac:dyDescent="0.2">
      <c r="A690" s="4" t="s">
        <v>267</v>
      </c>
      <c r="B690">
        <v>2015</v>
      </c>
      <c r="C690" s="14">
        <f>428.4*(2/3*10)</f>
        <v>2855.9999999999995</v>
      </c>
      <c r="D690" s="14">
        <f>18.7*(2/3*10)</f>
        <v>124.66666666666666</v>
      </c>
      <c r="E690" s="14">
        <f>7.6*(2/3*10)</f>
        <v>50.666666666666657</v>
      </c>
      <c r="F690" s="14">
        <f>0.9*(2/3*10)</f>
        <v>6</v>
      </c>
      <c r="G690" s="14">
        <f>156.6*(2/3*10)</f>
        <v>1043.9999999999998</v>
      </c>
      <c r="H690" s="14">
        <f>43.3*(2/3*10)</f>
        <v>288.66666666666663</v>
      </c>
      <c r="I690" s="14">
        <f>320.9*(2/3*10)</f>
        <v>2139.333333333333</v>
      </c>
      <c r="K690" s="15">
        <v>687</v>
      </c>
      <c r="L690">
        <f t="shared" si="10"/>
        <v>7</v>
      </c>
    </row>
    <row r="691" spans="1:12" ht="16.5" x14ac:dyDescent="0.2">
      <c r="A691" s="4" t="s">
        <v>267</v>
      </c>
      <c r="B691">
        <v>2016</v>
      </c>
      <c r="C691" s="14">
        <f>428.3*(2/3*10)</f>
        <v>2855.333333333333</v>
      </c>
      <c r="D691" s="14">
        <f>18.6*(2/3*10)</f>
        <v>124</v>
      </c>
      <c r="E691" s="14">
        <f>7.6*(2/3*10)</f>
        <v>50.666666666666657</v>
      </c>
      <c r="F691" s="14">
        <f>0.9*(2/3*10)</f>
        <v>6</v>
      </c>
      <c r="G691" s="14">
        <f>157.7*(2/3*10)</f>
        <v>1051.3333333333333</v>
      </c>
      <c r="H691" s="14">
        <f>44.1*(2/3*10)</f>
        <v>294</v>
      </c>
      <c r="I691" s="14">
        <f>319.4*(2/3*10)</f>
        <v>2129.333333333333</v>
      </c>
      <c r="K691">
        <v>688</v>
      </c>
      <c r="L691">
        <f t="shared" si="10"/>
        <v>0</v>
      </c>
    </row>
    <row r="692" spans="1:12" ht="16.5" x14ac:dyDescent="0.2">
      <c r="A692" s="4" t="s">
        <v>266</v>
      </c>
      <c r="B692">
        <v>2009</v>
      </c>
      <c r="C692" s="14">
        <f>237.4*(2/3*10)</f>
        <v>1582.6666666666665</v>
      </c>
      <c r="D692" s="14">
        <f>27.5*(2/3*10)</f>
        <v>183.33333333333331</v>
      </c>
      <c r="E692" s="14">
        <f>36.7*(2/3*10)</f>
        <v>244.66666666666666</v>
      </c>
      <c r="F692" s="14">
        <f>1.9*(2/3*10)</f>
        <v>12.666666666666664</v>
      </c>
      <c r="G692" s="14">
        <f>108*(2/3*10)</f>
        <v>719.99999999999989</v>
      </c>
      <c r="H692" s="14">
        <f>25.6*(2/3*10)</f>
        <v>170.66666666666666</v>
      </c>
      <c r="I692" s="14">
        <f>126.8*(2/3*10)</f>
        <v>845.33333333333326</v>
      </c>
      <c r="K692" s="15">
        <v>689</v>
      </c>
      <c r="L692">
        <f t="shared" si="10"/>
        <v>1</v>
      </c>
    </row>
    <row r="693" spans="1:12" ht="16.5" x14ac:dyDescent="0.2">
      <c r="A693" s="4" t="s">
        <v>266</v>
      </c>
      <c r="B693">
        <v>2010</v>
      </c>
      <c r="C693" s="14">
        <f>235.8*(2/3*10)</f>
        <v>1572</v>
      </c>
      <c r="D693" s="14">
        <f>27.3*(2/3*10)</f>
        <v>182</v>
      </c>
      <c r="E693" s="14">
        <f>36.6*(2/3*10)</f>
        <v>244</v>
      </c>
      <c r="F693" s="14">
        <f>1.9*(2/3*10)</f>
        <v>12.666666666666664</v>
      </c>
      <c r="G693" s="14">
        <f>110.2*(2/3*10)</f>
        <v>734.66666666666663</v>
      </c>
      <c r="H693" s="14">
        <f>26.1*(2/3*10)</f>
        <v>174</v>
      </c>
      <c r="I693" s="14">
        <f>126.2*(2/3*10)</f>
        <v>841.33333333333326</v>
      </c>
      <c r="K693">
        <v>690</v>
      </c>
      <c r="L693">
        <f t="shared" si="10"/>
        <v>2</v>
      </c>
    </row>
    <row r="694" spans="1:12" ht="16.5" x14ac:dyDescent="0.2">
      <c r="A694" s="4" t="s">
        <v>266</v>
      </c>
      <c r="B694">
        <v>2011</v>
      </c>
      <c r="C694" s="14">
        <f>235.5*(2/3*10)</f>
        <v>1569.9999999999998</v>
      </c>
      <c r="D694" s="14">
        <f>27.1*(2/3*10)</f>
        <v>180.66666666666666</v>
      </c>
      <c r="E694" s="14">
        <f>36.5*(2/3*10)</f>
        <v>243.33333333333331</v>
      </c>
      <c r="F694" s="14">
        <f>2*(2/3*10)</f>
        <v>13.333333333333332</v>
      </c>
      <c r="G694" s="14">
        <f>111.3*(2/3*10)</f>
        <v>741.99999999999989</v>
      </c>
      <c r="H694" s="14">
        <f>26.3*(2/3*10)</f>
        <v>175.33333333333331</v>
      </c>
      <c r="I694" s="14">
        <f>125.3*(2/3*10)</f>
        <v>835.33333333333326</v>
      </c>
      <c r="K694" s="15">
        <v>691</v>
      </c>
      <c r="L694">
        <f t="shared" si="10"/>
        <v>3</v>
      </c>
    </row>
    <row r="695" spans="1:12" ht="16.5" x14ac:dyDescent="0.2">
      <c r="A695" s="4" t="s">
        <v>266</v>
      </c>
      <c r="B695">
        <v>2012</v>
      </c>
      <c r="C695" s="14">
        <f>235.1*(2/3*10)</f>
        <v>1567.3333333333333</v>
      </c>
      <c r="D695" s="14">
        <f>26.8*(2/3*10)</f>
        <v>178.66666666666666</v>
      </c>
      <c r="E695" s="14">
        <f>36.4*(2/3*10)</f>
        <v>242.66666666666663</v>
      </c>
      <c r="F695" s="14">
        <f>1.9*(2/3*10)</f>
        <v>12.666666666666664</v>
      </c>
      <c r="G695" s="14">
        <f>113.3*(2/3*10)</f>
        <v>755.33333333333337</v>
      </c>
      <c r="H695" s="14">
        <f>26.7*(2/3*10)</f>
        <v>177.99999999999997</v>
      </c>
      <c r="I695" s="14">
        <f>123.8*(2/3*10)</f>
        <v>825.33333333333326</v>
      </c>
      <c r="K695">
        <v>692</v>
      </c>
      <c r="L695">
        <f t="shared" si="10"/>
        <v>4</v>
      </c>
    </row>
    <row r="696" spans="1:12" ht="16.5" x14ac:dyDescent="0.2">
      <c r="A696" s="4" t="s">
        <v>266</v>
      </c>
      <c r="B696">
        <v>2013</v>
      </c>
      <c r="C696" s="14">
        <f>235.9*(2/3*10)</f>
        <v>1572.6666666666665</v>
      </c>
      <c r="D696" s="14">
        <f>26.6*(2/3*10)</f>
        <v>177.33333333333331</v>
      </c>
      <c r="E696" s="14">
        <f>36.4*(2/3*10)</f>
        <v>242.66666666666663</v>
      </c>
      <c r="F696" s="14">
        <f>1.7*(2/3*10)</f>
        <v>11.333333333333332</v>
      </c>
      <c r="G696" s="14">
        <f>113.8*(2/3*10)</f>
        <v>758.66666666666663</v>
      </c>
      <c r="H696" s="14">
        <f>26.9*(2/3*10)</f>
        <v>179.33333333333331</v>
      </c>
      <c r="I696" s="14">
        <f>122.7*(2/3*10)</f>
        <v>818</v>
      </c>
      <c r="K696" s="15">
        <v>693</v>
      </c>
      <c r="L696">
        <f t="shared" si="10"/>
        <v>5</v>
      </c>
    </row>
    <row r="697" spans="1:12" ht="16.5" x14ac:dyDescent="0.2">
      <c r="A697" s="4" t="s">
        <v>266</v>
      </c>
      <c r="B697">
        <v>2014</v>
      </c>
      <c r="C697" s="14">
        <f>234.5*(2/3*10)</f>
        <v>1563.3333333333333</v>
      </c>
      <c r="D697" s="14">
        <f>26.5*(2/3*10)</f>
        <v>176.66666666666666</v>
      </c>
      <c r="E697" s="14">
        <f>36.3*(2/3*10)</f>
        <v>241.99999999999997</v>
      </c>
      <c r="F697" s="14">
        <f>1.7*(2/3*10)</f>
        <v>11.333333333333332</v>
      </c>
      <c r="G697" s="14">
        <f>115.4*(2/3*10)</f>
        <v>769.33333333333326</v>
      </c>
      <c r="H697" s="14">
        <f>27.4*(2/3*10)</f>
        <v>182.66666666666663</v>
      </c>
      <c r="I697" s="14">
        <f>121.8*(2/3*10)</f>
        <v>811.99999999999989</v>
      </c>
      <c r="K697">
        <v>694</v>
      </c>
      <c r="L697">
        <f t="shared" si="10"/>
        <v>6</v>
      </c>
    </row>
    <row r="698" spans="1:12" ht="16.5" x14ac:dyDescent="0.2">
      <c r="A698" s="4" t="s">
        <v>266</v>
      </c>
      <c r="B698">
        <v>2015</v>
      </c>
      <c r="C698" s="14">
        <f>234*(2/3*10)</f>
        <v>1559.9999999999998</v>
      </c>
      <c r="D698" s="14">
        <f>26.2*(2/3*10)</f>
        <v>174.66666666666666</v>
      </c>
      <c r="E698" s="14">
        <f>36.2*(2/3*10)</f>
        <v>241.33333333333334</v>
      </c>
      <c r="F698" s="14">
        <f>1.7*(2/3*10)</f>
        <v>11.333333333333332</v>
      </c>
      <c r="G698" s="14">
        <f>116.9*(2/3*10)</f>
        <v>779.33333333333326</v>
      </c>
      <c r="H698" s="14">
        <f>27.7*(2/3*10)</f>
        <v>184.66666666666666</v>
      </c>
      <c r="I698" s="14">
        <f>120.9*(2/3*10)</f>
        <v>806</v>
      </c>
      <c r="K698" s="15">
        <v>695</v>
      </c>
      <c r="L698">
        <f t="shared" si="10"/>
        <v>7</v>
      </c>
    </row>
    <row r="699" spans="1:12" ht="16.5" x14ac:dyDescent="0.2">
      <c r="A699" s="4" t="s">
        <v>266</v>
      </c>
      <c r="B699">
        <v>2016</v>
      </c>
      <c r="C699" s="14">
        <f>232.4*(2/3*10)</f>
        <v>1549.3333333333333</v>
      </c>
      <c r="D699" s="14">
        <f>25.9*(2/3*10)</f>
        <v>172.66666666666663</v>
      </c>
      <c r="E699" s="14">
        <f>36.1*(2/3*10)</f>
        <v>240.66666666666666</v>
      </c>
      <c r="F699" s="14">
        <f>1.6*(2/3*10)</f>
        <v>10.666666666666666</v>
      </c>
      <c r="G699" s="14">
        <f>119.1*(2/3*10)</f>
        <v>794</v>
      </c>
      <c r="H699" s="14">
        <f>28.2*(2/3*10)</f>
        <v>187.99999999999997</v>
      </c>
      <c r="I699" s="14">
        <f>120.3*(2/3*10)</f>
        <v>801.99999999999989</v>
      </c>
      <c r="K699">
        <v>696</v>
      </c>
      <c r="L699">
        <f t="shared" si="10"/>
        <v>0</v>
      </c>
    </row>
    <row r="700" spans="1:12" ht="16.5" x14ac:dyDescent="0.2">
      <c r="A700" s="4" t="s">
        <v>265</v>
      </c>
      <c r="B700">
        <v>2009</v>
      </c>
      <c r="C700" s="14">
        <f>452.3*(2/3*10)</f>
        <v>3015.333333333333</v>
      </c>
      <c r="D700" s="14">
        <f>7.2*(2/3*10)</f>
        <v>48</v>
      </c>
      <c r="E700" s="14">
        <f>3.8*(2/3*10)</f>
        <v>25.333333333333329</v>
      </c>
      <c r="F700" s="14">
        <f>1.3*(2/3*10)</f>
        <v>8.6666666666666661</v>
      </c>
      <c r="G700" s="14">
        <f>133.1*(2/3*10)</f>
        <v>887.33333333333326</v>
      </c>
      <c r="H700" s="14">
        <f>31.5*(2/3*10)</f>
        <v>209.99999999999997</v>
      </c>
      <c r="I700" s="14">
        <f>225.6*(2/3*10)</f>
        <v>1503.9999999999998</v>
      </c>
      <c r="K700" s="15">
        <v>697</v>
      </c>
      <c r="L700">
        <f t="shared" si="10"/>
        <v>1</v>
      </c>
    </row>
    <row r="701" spans="1:12" ht="16.5" x14ac:dyDescent="0.2">
      <c r="A701" s="4" t="s">
        <v>265</v>
      </c>
      <c r="B701">
        <v>2010</v>
      </c>
      <c r="C701" s="14">
        <f>447.8*(2/3*10)</f>
        <v>2985.333333333333</v>
      </c>
      <c r="D701" s="14">
        <f>7.2*(2/3*10)</f>
        <v>48</v>
      </c>
      <c r="E701" s="14">
        <f>3.7*(2/3*10)</f>
        <v>24.666666666666664</v>
      </c>
      <c r="F701" s="14">
        <f>1.3*(2/3*10)</f>
        <v>8.6666666666666661</v>
      </c>
      <c r="G701" s="14">
        <f>137.3*(2/3*10)</f>
        <v>915.33333333333314</v>
      </c>
      <c r="H701" s="14">
        <f>32.6*(2/3*10)</f>
        <v>217.33333333333331</v>
      </c>
      <c r="I701" s="14">
        <f>224.6*(2/3*10)</f>
        <v>1497.3333333333333</v>
      </c>
      <c r="K701">
        <v>698</v>
      </c>
      <c r="L701">
        <f t="shared" si="10"/>
        <v>2</v>
      </c>
    </row>
    <row r="702" spans="1:12" ht="16.5" x14ac:dyDescent="0.2">
      <c r="A702" s="4" t="s">
        <v>265</v>
      </c>
      <c r="B702">
        <v>2011</v>
      </c>
      <c r="C702" s="14">
        <f>447.3*(2/3*10)</f>
        <v>2982</v>
      </c>
      <c r="D702" s="14">
        <f>6.8*(2/3*10)</f>
        <v>45.333333333333329</v>
      </c>
      <c r="E702" s="14">
        <f>3.6*(2/3*10)</f>
        <v>24</v>
      </c>
      <c r="F702" s="14">
        <f>1.2*(2/3*10)</f>
        <v>7.9999999999999991</v>
      </c>
      <c r="G702" s="14">
        <f>139.2*(2/3*10)</f>
        <v>928</v>
      </c>
      <c r="H702" s="14">
        <f>33.2*(2/3*10)</f>
        <v>221.33333333333334</v>
      </c>
      <c r="I702" s="14">
        <f>223.2*(2/3*10)</f>
        <v>1487.9999999999998</v>
      </c>
      <c r="K702" s="15">
        <v>699</v>
      </c>
      <c r="L702">
        <f t="shared" si="10"/>
        <v>3</v>
      </c>
    </row>
    <row r="703" spans="1:12" ht="16.5" x14ac:dyDescent="0.2">
      <c r="A703" s="4" t="s">
        <v>265</v>
      </c>
      <c r="B703">
        <v>2012</v>
      </c>
      <c r="C703" s="14">
        <f>446.3*(2/3*10)</f>
        <v>2975.333333333333</v>
      </c>
      <c r="D703" s="14">
        <f>6.7*(2/3*10)</f>
        <v>44.666666666666664</v>
      </c>
      <c r="E703" s="14">
        <f>3.6*(2/3*10)</f>
        <v>24</v>
      </c>
      <c r="F703" s="14">
        <f>1.2*(2/3*10)</f>
        <v>7.9999999999999991</v>
      </c>
      <c r="G703" s="14">
        <f>141.2*(2/3*10)</f>
        <v>941.33333333333314</v>
      </c>
      <c r="H703" s="14">
        <f>33.6*(2/3*10)</f>
        <v>224</v>
      </c>
      <c r="I703" s="14">
        <f>222.2*(2/3*10)</f>
        <v>1481.333333333333</v>
      </c>
      <c r="K703">
        <v>700</v>
      </c>
      <c r="L703">
        <f t="shared" si="10"/>
        <v>4</v>
      </c>
    </row>
    <row r="704" spans="1:12" ht="16.5" x14ac:dyDescent="0.2">
      <c r="A704" s="4" t="s">
        <v>265</v>
      </c>
      <c r="B704">
        <v>2013</v>
      </c>
      <c r="C704" s="14">
        <f>445.1*(2/3*10)</f>
        <v>2967.333333333333</v>
      </c>
      <c r="D704" s="14">
        <f>6.7*(2/3*10)</f>
        <v>44.666666666666664</v>
      </c>
      <c r="E704" s="14">
        <f>3.6*(2/3*10)</f>
        <v>24</v>
      </c>
      <c r="F704" s="14">
        <f>1*(2/3*10)</f>
        <v>6.6666666666666661</v>
      </c>
      <c r="G704" s="14">
        <f>143.3*(2/3*10)</f>
        <v>955.33333333333337</v>
      </c>
      <c r="H704" s="14">
        <f>34.6*(2/3*10)</f>
        <v>230.66666666666666</v>
      </c>
      <c r="I704" s="14">
        <f>220.3*(2/3*10)</f>
        <v>1468.6666666666665</v>
      </c>
      <c r="K704" s="15">
        <v>701</v>
      </c>
      <c r="L704">
        <f t="shared" si="10"/>
        <v>5</v>
      </c>
    </row>
    <row r="705" spans="1:12" ht="16.5" x14ac:dyDescent="0.2">
      <c r="A705" s="4" t="s">
        <v>265</v>
      </c>
      <c r="B705">
        <v>2014</v>
      </c>
      <c r="C705" s="14">
        <f>443.6*(2/3*10)</f>
        <v>2957.333333333333</v>
      </c>
      <c r="D705" s="14">
        <f>6.6*(2/3*10)</f>
        <v>43.999999999999993</v>
      </c>
      <c r="E705" s="14">
        <f>3.5*(2/3*10)</f>
        <v>23.333333333333332</v>
      </c>
      <c r="F705" s="14">
        <f>1*(2/3*10)</f>
        <v>6.6666666666666661</v>
      </c>
      <c r="G705" s="14">
        <f>145.1*(2/3*10)</f>
        <v>967.33333333333326</v>
      </c>
      <c r="H705" s="14">
        <f>35.8*(2/3*10)</f>
        <v>238.66666666666663</v>
      </c>
      <c r="I705" s="14">
        <f>218.7*(2/3*10)</f>
        <v>1457.9999999999998</v>
      </c>
      <c r="K705">
        <v>702</v>
      </c>
      <c r="L705">
        <f t="shared" si="10"/>
        <v>6</v>
      </c>
    </row>
    <row r="706" spans="1:12" ht="16.5" x14ac:dyDescent="0.2">
      <c r="A706" s="4" t="s">
        <v>265</v>
      </c>
      <c r="B706">
        <v>2015</v>
      </c>
      <c r="C706" s="14">
        <f>442.7*(2/3*10)</f>
        <v>2951.333333333333</v>
      </c>
      <c r="D706" s="14">
        <f>6.5*(2/3*10)</f>
        <v>43.333333333333329</v>
      </c>
      <c r="E706" s="14">
        <f>3.5*(2/3*10)</f>
        <v>23.333333333333332</v>
      </c>
      <c r="F706" s="14">
        <f>1*(2/3*10)</f>
        <v>6.6666666666666661</v>
      </c>
      <c r="G706" s="14">
        <f>146.9*(2/3*10)</f>
        <v>979.33333333333314</v>
      </c>
      <c r="H706" s="14">
        <f>36.6*(2/3*10)</f>
        <v>244</v>
      </c>
      <c r="I706" s="14">
        <f>217.3*(2/3*10)</f>
        <v>1448.6666666666665</v>
      </c>
      <c r="K706" s="15">
        <v>703</v>
      </c>
      <c r="L706">
        <f t="shared" si="10"/>
        <v>7</v>
      </c>
    </row>
    <row r="707" spans="1:12" ht="16.5" x14ac:dyDescent="0.2">
      <c r="A707" s="4" t="s">
        <v>265</v>
      </c>
      <c r="B707">
        <v>2016</v>
      </c>
      <c r="C707" s="14">
        <f>442.1*(2/3*10)</f>
        <v>2947.333333333333</v>
      </c>
      <c r="D707" s="14">
        <f>6.4*(2/3*10)</f>
        <v>42.666666666666664</v>
      </c>
      <c r="E707" s="14">
        <f>3.5*(2/3*10)</f>
        <v>23.333333333333332</v>
      </c>
      <c r="F707" s="14">
        <f>0.9*(2/3*10)</f>
        <v>6</v>
      </c>
      <c r="G707" s="14">
        <f>148.4*(2/3*10)</f>
        <v>989.33333333333326</v>
      </c>
      <c r="H707" s="14">
        <f>37.1*(2/3*10)</f>
        <v>247.33333333333331</v>
      </c>
      <c r="I707" s="14">
        <f>216*(2/3*10)</f>
        <v>1439.9999999999998</v>
      </c>
      <c r="K707">
        <v>704</v>
      </c>
      <c r="L707">
        <f t="shared" si="10"/>
        <v>0</v>
      </c>
    </row>
    <row r="708" spans="1:12" ht="16.5" x14ac:dyDescent="0.2">
      <c r="A708" s="4" t="s">
        <v>264</v>
      </c>
      <c r="B708">
        <v>2009</v>
      </c>
      <c r="C708" s="14">
        <f>649.3*(2/3*10)</f>
        <v>4328.6666666666661</v>
      </c>
      <c r="D708" s="14">
        <f>42.6*(2/3*10)</f>
        <v>284</v>
      </c>
      <c r="E708" s="14">
        <f>30.1*(2/3*10)</f>
        <v>200.66666666666666</v>
      </c>
      <c r="F708" s="14">
        <f>0.1*(2/3*10)</f>
        <v>0.66666666666666663</v>
      </c>
      <c r="G708" s="14">
        <f>158.5*(2/3*10)</f>
        <v>1056.6666666666665</v>
      </c>
      <c r="H708" s="14">
        <f>48.1*(2/3*10)</f>
        <v>320.66666666666663</v>
      </c>
      <c r="I708" s="14">
        <f>342.1*(2/3*10)</f>
        <v>2280.6666666666665</v>
      </c>
      <c r="K708" s="15">
        <v>705</v>
      </c>
      <c r="L708">
        <f t="shared" si="10"/>
        <v>1</v>
      </c>
    </row>
    <row r="709" spans="1:12" ht="16.5" x14ac:dyDescent="0.2">
      <c r="A709" s="4" t="s">
        <v>264</v>
      </c>
      <c r="B709">
        <v>2010</v>
      </c>
      <c r="C709" s="14">
        <f>647.7*(2/3*10)</f>
        <v>4318</v>
      </c>
      <c r="D709" s="14">
        <f>42*(2/3*10)</f>
        <v>280</v>
      </c>
      <c r="E709" s="14">
        <f>29.6*(2/3*10)</f>
        <v>197.33333333333331</v>
      </c>
      <c r="F709" s="14">
        <f>0.1*(2/3*10)</f>
        <v>0.66666666666666663</v>
      </c>
      <c r="G709" s="14">
        <f>161.1*(2/3*10)</f>
        <v>1073.9999999999998</v>
      </c>
      <c r="H709" s="14">
        <f>48.4*(2/3*10)</f>
        <v>322.66666666666663</v>
      </c>
      <c r="I709" s="14">
        <f>341.6*(2/3*10)</f>
        <v>2277.3333333333335</v>
      </c>
      <c r="K709">
        <v>706</v>
      </c>
      <c r="L709">
        <f t="shared" ref="L709:L772" si="11">MOD(K709,8)</f>
        <v>2</v>
      </c>
    </row>
    <row r="710" spans="1:12" ht="16.5" x14ac:dyDescent="0.2">
      <c r="A710" s="4" t="s">
        <v>264</v>
      </c>
      <c r="B710">
        <v>2011</v>
      </c>
      <c r="C710" s="14">
        <f>646.3*(2/3*10)</f>
        <v>4308.6666666666661</v>
      </c>
      <c r="D710" s="14">
        <f>41.5*(2/3*10)</f>
        <v>276.66666666666663</v>
      </c>
      <c r="E710" s="14">
        <f>29.1*(2/3*10)</f>
        <v>194</v>
      </c>
      <c r="F710" s="14">
        <f>0.2*(2/3*10)</f>
        <v>1.3333333333333333</v>
      </c>
      <c r="G710" s="14">
        <f>162.2*(2/3*10)</f>
        <v>1081.3333333333333</v>
      </c>
      <c r="H710" s="14">
        <f>49.4*(2/3*10)</f>
        <v>329.33333333333331</v>
      </c>
      <c r="I710" s="14">
        <f>341.1*(2/3*10)</f>
        <v>2274</v>
      </c>
      <c r="K710" s="15">
        <v>707</v>
      </c>
      <c r="L710">
        <f t="shared" si="11"/>
        <v>3</v>
      </c>
    </row>
    <row r="711" spans="1:12" ht="16.5" x14ac:dyDescent="0.2">
      <c r="A711" s="4" t="s">
        <v>264</v>
      </c>
      <c r="B711">
        <v>2012</v>
      </c>
      <c r="C711" s="14">
        <f>644.4*(2/3*10)</f>
        <v>4295.9999999999991</v>
      </c>
      <c r="D711" s="14">
        <f>40.8*(2/3*10)</f>
        <v>271.99999999999994</v>
      </c>
      <c r="E711" s="14">
        <f>28.7*(2/3*10)</f>
        <v>191.33333333333331</v>
      </c>
      <c r="F711" s="14">
        <f>0.2*(2/3*10)</f>
        <v>1.3333333333333333</v>
      </c>
      <c r="G711" s="14">
        <f>164.7*(2/3*10)</f>
        <v>1098</v>
      </c>
      <c r="H711" s="14">
        <f>50.2*(2/3*10)</f>
        <v>334.66666666666663</v>
      </c>
      <c r="I711" s="14">
        <f>340.2*(2/3*10)</f>
        <v>2267.9999999999995</v>
      </c>
      <c r="K711">
        <v>708</v>
      </c>
      <c r="L711">
        <f t="shared" si="11"/>
        <v>4</v>
      </c>
    </row>
    <row r="712" spans="1:12" ht="16.5" x14ac:dyDescent="0.2">
      <c r="A712" s="4" t="s">
        <v>264</v>
      </c>
      <c r="B712">
        <v>2013</v>
      </c>
      <c r="C712" s="14">
        <f>644.7*(2/3*10)</f>
        <v>4298</v>
      </c>
      <c r="D712" s="14">
        <f>40.4*(2/3*10)</f>
        <v>269.33333333333331</v>
      </c>
      <c r="E712" s="14">
        <f>28.3*(2/3*10)</f>
        <v>188.66666666666666</v>
      </c>
      <c r="F712" s="14">
        <f>0.2*(2/3*10)</f>
        <v>1.3333333333333333</v>
      </c>
      <c r="G712" s="14">
        <f>165.5*(2/3*10)</f>
        <v>1103.3333333333333</v>
      </c>
      <c r="H712" s="14">
        <f>50.5*(2/3*10)</f>
        <v>336.66666666666663</v>
      </c>
      <c r="I712" s="14">
        <f>338.5*(2/3*10)</f>
        <v>2256.6666666666665</v>
      </c>
      <c r="K712" s="15">
        <v>709</v>
      </c>
      <c r="L712">
        <f t="shared" si="11"/>
        <v>5</v>
      </c>
    </row>
    <row r="713" spans="1:12" ht="16.5" x14ac:dyDescent="0.2">
      <c r="A713" s="4" t="s">
        <v>264</v>
      </c>
      <c r="B713">
        <v>2014</v>
      </c>
      <c r="C713" s="14">
        <f>645.4*(2/3*10)</f>
        <v>4302.6666666666661</v>
      </c>
      <c r="D713" s="14">
        <f>39.9*(2/3*10)</f>
        <v>265.99999999999994</v>
      </c>
      <c r="E713" s="14">
        <f>28.1*(2/3*10)</f>
        <v>187.33333333333331</v>
      </c>
      <c r="F713" s="14">
        <f>0.2*(2/3*10)</f>
        <v>1.3333333333333333</v>
      </c>
      <c r="G713" s="14">
        <f>166.3*(2/3*10)</f>
        <v>1108.6666666666667</v>
      </c>
      <c r="H713" s="14">
        <f>51.3*(2/3*10)</f>
        <v>341.99999999999994</v>
      </c>
      <c r="I713" s="14">
        <f>336.8*(2/3*10)</f>
        <v>2245.333333333333</v>
      </c>
      <c r="K713">
        <v>710</v>
      </c>
      <c r="L713">
        <f t="shared" si="11"/>
        <v>6</v>
      </c>
    </row>
    <row r="714" spans="1:12" ht="16.5" x14ac:dyDescent="0.2">
      <c r="A714" s="4" t="s">
        <v>264</v>
      </c>
      <c r="B714">
        <v>2015</v>
      </c>
      <c r="C714" s="14">
        <f>646.3*(2/3*10)</f>
        <v>4308.6666666666661</v>
      </c>
      <c r="D714" s="14">
        <f>39.6*(2/3*10)</f>
        <v>264</v>
      </c>
      <c r="E714" s="14">
        <f>28*(2/3*10)</f>
        <v>186.66666666666666</v>
      </c>
      <c r="F714" s="14">
        <f>0.2*(2/3*10)</f>
        <v>1.3333333333333333</v>
      </c>
      <c r="G714" s="14">
        <f>168*(2/3*10)</f>
        <v>1120</v>
      </c>
      <c r="H714" s="14">
        <f>51.8*(2/3*10)</f>
        <v>345.33333333333326</v>
      </c>
      <c r="I714" s="14">
        <f>334.4*(2/3*10)</f>
        <v>2229.333333333333</v>
      </c>
      <c r="K714" s="15">
        <v>711</v>
      </c>
      <c r="L714">
        <f t="shared" si="11"/>
        <v>7</v>
      </c>
    </row>
    <row r="715" spans="1:12" ht="16.5" x14ac:dyDescent="0.2">
      <c r="A715" s="4" t="s">
        <v>264</v>
      </c>
      <c r="B715">
        <v>2016</v>
      </c>
      <c r="C715" s="14">
        <f>646.9*(2/3*10)</f>
        <v>4312.6666666666661</v>
      </c>
      <c r="D715" s="14">
        <f>39.4*(2/3*10)</f>
        <v>262.66666666666663</v>
      </c>
      <c r="E715" s="14">
        <f>27.9*(2/3*10)</f>
        <v>185.99999999999997</v>
      </c>
      <c r="F715" s="14">
        <f>0.2*(2/3*10)</f>
        <v>1.3333333333333333</v>
      </c>
      <c r="G715" s="14">
        <f>168.7*(2/3*10)</f>
        <v>1124.6666666666665</v>
      </c>
      <c r="H715" s="14">
        <f>52*(2/3*10)</f>
        <v>346.66666666666663</v>
      </c>
      <c r="I715" s="14">
        <f>332.9*(2/3*10)</f>
        <v>2219.333333333333</v>
      </c>
      <c r="K715">
        <v>712</v>
      </c>
      <c r="L715">
        <f t="shared" si="11"/>
        <v>0</v>
      </c>
    </row>
    <row r="716" spans="1:12" ht="16.5" x14ac:dyDescent="0.2">
      <c r="A716" s="4" t="s">
        <v>263</v>
      </c>
      <c r="B716">
        <v>2009</v>
      </c>
      <c r="C716" s="14">
        <f>325.3*(2/3*10)</f>
        <v>2168.6666666666665</v>
      </c>
      <c r="D716" s="14">
        <f>161.6*(2/3*10)</f>
        <v>1077.3333333333333</v>
      </c>
      <c r="E716" s="14">
        <f>1538.2*(2/3*10)</f>
        <v>10254.666666666666</v>
      </c>
      <c r="F716" s="14">
        <f>26.5*(2/3*10)</f>
        <v>176.66666666666666</v>
      </c>
      <c r="G716" s="14">
        <f>194.1*(2/3*10)</f>
        <v>1293.9999999999998</v>
      </c>
      <c r="H716" s="14">
        <f>49*(2/3*10)</f>
        <v>326.66666666666663</v>
      </c>
      <c r="I716" s="14">
        <f>201.4*(2/3*10)</f>
        <v>1342.6666666666665</v>
      </c>
      <c r="K716" s="15">
        <v>713</v>
      </c>
      <c r="L716">
        <f t="shared" si="11"/>
        <v>1</v>
      </c>
    </row>
    <row r="717" spans="1:12" ht="16.5" x14ac:dyDescent="0.2">
      <c r="A717" s="4" t="s">
        <v>263</v>
      </c>
      <c r="B717">
        <v>2010</v>
      </c>
      <c r="C717" s="14">
        <f>324.2*(2/3*10)</f>
        <v>2161.333333333333</v>
      </c>
      <c r="D717" s="14">
        <f>159.7*(2/3*10)</f>
        <v>1064.6666666666665</v>
      </c>
      <c r="E717" s="14">
        <f>1536*(2/3*10)</f>
        <v>10240</v>
      </c>
      <c r="F717" s="14">
        <f>26*(2/3*10)</f>
        <v>173.33333333333331</v>
      </c>
      <c r="G717" s="14">
        <f>199.5*(2/3*10)</f>
        <v>1329.9999999999998</v>
      </c>
      <c r="H717" s="14">
        <f>50.2*(2/3*10)</f>
        <v>334.66666666666663</v>
      </c>
      <c r="I717" s="14">
        <f>200.2*(2/3*10)</f>
        <v>1334.6666666666665</v>
      </c>
      <c r="K717">
        <v>714</v>
      </c>
      <c r="L717">
        <f t="shared" si="11"/>
        <v>2</v>
      </c>
    </row>
    <row r="718" spans="1:12" ht="16.5" x14ac:dyDescent="0.2">
      <c r="A718" s="4" t="s">
        <v>263</v>
      </c>
      <c r="B718">
        <v>2011</v>
      </c>
      <c r="C718" s="14">
        <f>322.8*(2/3*10)</f>
        <v>2152</v>
      </c>
      <c r="D718" s="14">
        <f>158*(2/3*10)</f>
        <v>1053.3333333333333</v>
      </c>
      <c r="E718" s="14">
        <f>1534.3*(2/3*10)</f>
        <v>10228.666666666666</v>
      </c>
      <c r="F718" s="14">
        <f>25.5*(2/3*10)</f>
        <v>169.99999999999997</v>
      </c>
      <c r="G718" s="14">
        <f>204.4*(2/3*10)</f>
        <v>1362.6666666666663</v>
      </c>
      <c r="H718" s="14">
        <f>51.4*(2/3*10)</f>
        <v>342.66666666666663</v>
      </c>
      <c r="I718" s="14">
        <f>199.5*(2/3*10)</f>
        <v>1329.9999999999998</v>
      </c>
      <c r="K718" s="15">
        <v>715</v>
      </c>
      <c r="L718">
        <f t="shared" si="11"/>
        <v>3</v>
      </c>
    </row>
    <row r="719" spans="1:12" ht="16.5" x14ac:dyDescent="0.2">
      <c r="A719" s="4" t="s">
        <v>263</v>
      </c>
      <c r="B719">
        <v>2012</v>
      </c>
      <c r="C719" s="14">
        <f>320.3*(2/3*10)</f>
        <v>2135.333333333333</v>
      </c>
      <c r="D719" s="14">
        <f>157.2*(2/3*10)</f>
        <v>1047.9999999999998</v>
      </c>
      <c r="E719" s="14">
        <f>1533.3*(2/3*10)</f>
        <v>10221.999999999998</v>
      </c>
      <c r="F719" s="14">
        <f>25.3*(2/3*10)</f>
        <v>168.66666666666666</v>
      </c>
      <c r="G719" s="14">
        <f>208.9*(2/3*10)</f>
        <v>1392.6666666666665</v>
      </c>
      <c r="H719" s="14">
        <f>52*(2/3*10)</f>
        <v>346.66666666666663</v>
      </c>
      <c r="I719" s="14">
        <f>198.7*(2/3*10)</f>
        <v>1324.6666666666665</v>
      </c>
      <c r="K719">
        <v>716</v>
      </c>
      <c r="L719">
        <f t="shared" si="11"/>
        <v>4</v>
      </c>
    </row>
    <row r="720" spans="1:12" ht="16.5" x14ac:dyDescent="0.2">
      <c r="A720" s="4" t="s">
        <v>263</v>
      </c>
      <c r="B720">
        <v>2013</v>
      </c>
      <c r="C720" s="14">
        <f>318.8*(2/3*10)</f>
        <v>2125.333333333333</v>
      </c>
      <c r="D720" s="14">
        <f>155.6*(2/3*10)</f>
        <v>1037.3333333333333</v>
      </c>
      <c r="E720" s="14">
        <f>1531.5*(2/3*10)</f>
        <v>10210</v>
      </c>
      <c r="F720" s="14">
        <f>25.1*(2/3*10)</f>
        <v>167.33333333333331</v>
      </c>
      <c r="G720" s="14">
        <f>214.4*(2/3*10)</f>
        <v>1429.3333333333333</v>
      </c>
      <c r="H720" s="14">
        <f>53.1*(2/3*10)</f>
        <v>354</v>
      </c>
      <c r="I720" s="14">
        <f>196.9*(2/3*10)</f>
        <v>1312.6666666666665</v>
      </c>
      <c r="K720" s="15">
        <v>717</v>
      </c>
      <c r="L720">
        <f t="shared" si="11"/>
        <v>5</v>
      </c>
    </row>
    <row r="721" spans="1:12" ht="16.5" x14ac:dyDescent="0.2">
      <c r="A721" s="4" t="s">
        <v>263</v>
      </c>
      <c r="B721">
        <v>2014</v>
      </c>
      <c r="C721" s="14">
        <f>317.3*(2/3*10)</f>
        <v>2115.333333333333</v>
      </c>
      <c r="D721" s="14">
        <f>154.4*(2/3*10)</f>
        <v>1029.3333333333333</v>
      </c>
      <c r="E721" s="14">
        <f>1529.8*(2/3*10)</f>
        <v>10198.666666666666</v>
      </c>
      <c r="F721" s="14">
        <f>25*(2/3*10)</f>
        <v>166.66666666666666</v>
      </c>
      <c r="G721" s="14">
        <f>218.9*(2/3*10)</f>
        <v>1459.333333333333</v>
      </c>
      <c r="H721" s="14">
        <f>53.9*(2/3*10)</f>
        <v>359.33333333333331</v>
      </c>
      <c r="I721" s="14">
        <f>195.9*(2/3*10)</f>
        <v>1306</v>
      </c>
      <c r="K721">
        <v>718</v>
      </c>
      <c r="L721">
        <f t="shared" si="11"/>
        <v>6</v>
      </c>
    </row>
    <row r="722" spans="1:12" ht="16.5" x14ac:dyDescent="0.2">
      <c r="A722" s="4" t="s">
        <v>263</v>
      </c>
      <c r="B722">
        <v>2015</v>
      </c>
      <c r="C722" s="14">
        <f>317.7*(2/3*10)</f>
        <v>2117.9999999999995</v>
      </c>
      <c r="D722" s="14">
        <f>154*(2/3*10)</f>
        <v>1026.6666666666665</v>
      </c>
      <c r="E722" s="14">
        <f>1528.9*(2/3*10)</f>
        <v>10192.666666666666</v>
      </c>
      <c r="F722" s="14">
        <f>24.9*(2/3*10)</f>
        <v>165.99999999999997</v>
      </c>
      <c r="G722" s="14">
        <f>219.9*(2/3*10)</f>
        <v>1466</v>
      </c>
      <c r="H722" s="14">
        <f>54.1*(2/3*10)</f>
        <v>360.66666666666663</v>
      </c>
      <c r="I722" s="14">
        <f>195.6*(2/3*10)</f>
        <v>1303.9999999999998</v>
      </c>
      <c r="K722" s="15">
        <v>719</v>
      </c>
      <c r="L722">
        <f t="shared" si="11"/>
        <v>7</v>
      </c>
    </row>
    <row r="723" spans="1:12" ht="16.5" x14ac:dyDescent="0.2">
      <c r="A723" s="4" t="s">
        <v>263</v>
      </c>
      <c r="B723">
        <v>2016</v>
      </c>
      <c r="C723" s="14">
        <f>315.3*(2/3*10)</f>
        <v>2102</v>
      </c>
      <c r="D723" s="14">
        <f>153.2*(2/3*10)</f>
        <v>1021.3333333333331</v>
      </c>
      <c r="E723" s="14">
        <f>1527.8*(2/3*10)</f>
        <v>10185.333333333332</v>
      </c>
      <c r="F723" s="14">
        <f>24.8*(2/3*10)</f>
        <v>165.33333333333331</v>
      </c>
      <c r="G723" s="14">
        <f>224.2*(2/3*10)</f>
        <v>1494.6666666666667</v>
      </c>
      <c r="H723" s="14">
        <f>54.7*(2/3*10)</f>
        <v>364.66666666666663</v>
      </c>
      <c r="I723" s="14">
        <f>194.9*(2/3*10)</f>
        <v>1299.3333333333333</v>
      </c>
      <c r="K723">
        <v>720</v>
      </c>
      <c r="L723">
        <f t="shared" si="11"/>
        <v>0</v>
      </c>
    </row>
    <row r="724" spans="1:12" ht="16.5" x14ac:dyDescent="0.2">
      <c r="A724" s="4" t="s">
        <v>262</v>
      </c>
      <c r="B724">
        <v>2009</v>
      </c>
      <c r="C724" s="14">
        <f>334.2*(2/3*10)</f>
        <v>2227.9999999999995</v>
      </c>
      <c r="D724" s="14">
        <f>69.6*(2/3*10)</f>
        <v>463.99999999999994</v>
      </c>
      <c r="E724" s="14">
        <f>557.9*(2/3*10)</f>
        <v>3719.333333333333</v>
      </c>
      <c r="F724" s="14">
        <f>12.6*(2/3*10)</f>
        <v>83.999999999999986</v>
      </c>
      <c r="G724" s="14">
        <f>199.1*(2/3*10)</f>
        <v>1327.3333333333333</v>
      </c>
      <c r="H724" s="14">
        <f>41.4*(2/3*10)</f>
        <v>275.99999999999994</v>
      </c>
      <c r="I724" s="14">
        <f>221.1*(2/3*10)</f>
        <v>1473.9999999999998</v>
      </c>
      <c r="K724" s="15">
        <v>721</v>
      </c>
      <c r="L724">
        <f t="shared" si="11"/>
        <v>1</v>
      </c>
    </row>
    <row r="725" spans="1:12" ht="16.5" x14ac:dyDescent="0.2">
      <c r="A725" s="4" t="s">
        <v>262</v>
      </c>
      <c r="B725">
        <v>2010</v>
      </c>
      <c r="C725" s="14">
        <f>330.7*(2/3*10)</f>
        <v>2204.6666666666665</v>
      </c>
      <c r="D725" s="14">
        <f>70.5*(2/3*10)</f>
        <v>469.99999999999994</v>
      </c>
      <c r="E725" s="14">
        <f>558.2*(2/3*10)</f>
        <v>3721.3333333333335</v>
      </c>
      <c r="F725" s="14">
        <f>12.3*(2/3*10)</f>
        <v>82</v>
      </c>
      <c r="G725" s="14">
        <f>204*(2/3*10)</f>
        <v>1359.9999999999998</v>
      </c>
      <c r="H725" s="14">
        <f>43.2*(2/3*10)</f>
        <v>288</v>
      </c>
      <c r="I725" s="14">
        <f>217.2*(2/3*10)</f>
        <v>1447.9999999999998</v>
      </c>
      <c r="K725">
        <v>722</v>
      </c>
      <c r="L725">
        <f t="shared" si="11"/>
        <v>2</v>
      </c>
    </row>
    <row r="726" spans="1:12" ht="16.5" x14ac:dyDescent="0.2">
      <c r="A726" s="4" t="s">
        <v>262</v>
      </c>
      <c r="B726">
        <v>2011</v>
      </c>
      <c r="C726" s="14">
        <f>330.2*(2/3*10)</f>
        <v>2201.333333333333</v>
      </c>
      <c r="D726" s="14">
        <f>69.7*(2/3*10)</f>
        <v>464.66666666666663</v>
      </c>
      <c r="E726" s="14">
        <f>557.5*(2/3*10)</f>
        <v>3716.6666666666665</v>
      </c>
      <c r="F726" s="14">
        <f>11.9*(2/3*10)</f>
        <v>79.333333333333329</v>
      </c>
      <c r="G726" s="14">
        <f>209.6*(2/3*10)</f>
        <v>1397.3333333333333</v>
      </c>
      <c r="H726" s="14">
        <f>44.6*(2/3*10)</f>
        <v>297.33333333333331</v>
      </c>
      <c r="I726" s="14">
        <f>215.3*(2/3*10)</f>
        <v>1435.3333333333333</v>
      </c>
      <c r="K726" s="15">
        <v>723</v>
      </c>
      <c r="L726">
        <f t="shared" si="11"/>
        <v>3</v>
      </c>
    </row>
    <row r="727" spans="1:12" ht="16.5" x14ac:dyDescent="0.2">
      <c r="A727" s="4" t="s">
        <v>262</v>
      </c>
      <c r="B727">
        <v>2012</v>
      </c>
      <c r="C727" s="14">
        <f>329.3*(2/3*10)</f>
        <v>2195.333333333333</v>
      </c>
      <c r="D727" s="14">
        <f>68.9*(2/3*10)</f>
        <v>459.33333333333331</v>
      </c>
      <c r="E727" s="14">
        <f>557*(2/3*10)</f>
        <v>3713.333333333333</v>
      </c>
      <c r="F727" s="14">
        <f>11.8*(2/3*10)</f>
        <v>78.666666666666671</v>
      </c>
      <c r="G727" s="14">
        <f>214.2*(2/3*10)</f>
        <v>1427.9999999999998</v>
      </c>
      <c r="H727" s="14">
        <f>45.3*(2/3*10)</f>
        <v>301.99999999999994</v>
      </c>
      <c r="I727" s="14">
        <f>212.3*(2/3*10)</f>
        <v>1415.3333333333333</v>
      </c>
      <c r="K727">
        <v>724</v>
      </c>
      <c r="L727">
        <f t="shared" si="11"/>
        <v>4</v>
      </c>
    </row>
    <row r="728" spans="1:12" ht="16.5" x14ac:dyDescent="0.2">
      <c r="A728" s="4" t="s">
        <v>262</v>
      </c>
      <c r="B728">
        <v>2013</v>
      </c>
      <c r="C728" s="14">
        <f>328*(2/3*10)</f>
        <v>2186.6666666666665</v>
      </c>
      <c r="D728" s="14">
        <f>68.1*(2/3*10)</f>
        <v>453.99999999999994</v>
      </c>
      <c r="E728" s="14">
        <f>556.5*(2/3*10)</f>
        <v>3709.9999999999995</v>
      </c>
      <c r="F728" s="14">
        <f>11.7*(2/3*10)</f>
        <v>77.999999999999986</v>
      </c>
      <c r="G728" s="14">
        <f>218.9*(2/3*10)</f>
        <v>1459.3333333333333</v>
      </c>
      <c r="H728" s="14">
        <f>46.2*(2/3*10)</f>
        <v>308</v>
      </c>
      <c r="I728" s="14">
        <f>209*(2/3*10)</f>
        <v>1393.3333333333333</v>
      </c>
      <c r="K728" s="15">
        <v>725</v>
      </c>
      <c r="L728">
        <f t="shared" si="11"/>
        <v>5</v>
      </c>
    </row>
    <row r="729" spans="1:12" ht="16.5" x14ac:dyDescent="0.2">
      <c r="A729" s="4" t="s">
        <v>262</v>
      </c>
      <c r="B729">
        <v>2014</v>
      </c>
      <c r="C729" s="14">
        <f>327.5*(2/3*10)</f>
        <v>2183.333333333333</v>
      </c>
      <c r="D729" s="14">
        <f>67.4*(2/3*10)</f>
        <v>449.33333333333331</v>
      </c>
      <c r="E729" s="14">
        <f>555.9*(2/3*10)</f>
        <v>3705.9999999999995</v>
      </c>
      <c r="F729" s="14">
        <f>11.6*(2/3*10)</f>
        <v>77.333333333333329</v>
      </c>
      <c r="G729" s="14">
        <f>223.5*(2/3*10)</f>
        <v>1489.9999999999998</v>
      </c>
      <c r="H729" s="14">
        <f>47.1*(2/3*10)</f>
        <v>314</v>
      </c>
      <c r="I729" s="14">
        <f>205.3*(2/3*10)</f>
        <v>1368.6666666666665</v>
      </c>
      <c r="K729">
        <v>726</v>
      </c>
      <c r="L729">
        <f t="shared" si="11"/>
        <v>6</v>
      </c>
    </row>
    <row r="730" spans="1:12" ht="16.5" x14ac:dyDescent="0.2">
      <c r="A730" s="4" t="s">
        <v>262</v>
      </c>
      <c r="B730">
        <v>2015</v>
      </c>
      <c r="C730" s="14">
        <f>327.1*(2/3*10)</f>
        <v>2180.6666666666665</v>
      </c>
      <c r="D730" s="14">
        <f>66.9*(2/3*10)</f>
        <v>446</v>
      </c>
      <c r="E730" s="14">
        <f>555.6*(2/3*10)</f>
        <v>3704</v>
      </c>
      <c r="F730" s="14">
        <f>11.5*(2/3*10)</f>
        <v>76.666666666666657</v>
      </c>
      <c r="G730" s="14">
        <f>226.5*(2/3*10)</f>
        <v>1509.9999999999998</v>
      </c>
      <c r="H730" s="14">
        <f>48.1*(2/3*10)</f>
        <v>320.66666666666663</v>
      </c>
      <c r="I730" s="14">
        <f>202.6*(2/3*10)</f>
        <v>1350.6666666666665</v>
      </c>
      <c r="K730" s="15">
        <v>727</v>
      </c>
      <c r="L730">
        <f t="shared" si="11"/>
        <v>7</v>
      </c>
    </row>
    <row r="731" spans="1:12" ht="16.5" x14ac:dyDescent="0.2">
      <c r="A731" s="4" t="s">
        <v>262</v>
      </c>
      <c r="B731">
        <v>2016</v>
      </c>
      <c r="C731" s="14">
        <f>326.1*(2/3*10)</f>
        <v>2174</v>
      </c>
      <c r="D731" s="14">
        <f>66.6*(2/3*10)</f>
        <v>443.99999999999994</v>
      </c>
      <c r="E731" s="14">
        <f>555.3*(2/3*10)</f>
        <v>3701.9999999999995</v>
      </c>
      <c r="F731" s="14">
        <f>11.5*(2/3*10)</f>
        <v>76.666666666666657</v>
      </c>
      <c r="G731" s="14">
        <f>229*(2/3*10)</f>
        <v>1526.6666666666665</v>
      </c>
      <c r="H731" s="14">
        <f>48.7*(2/3*10)</f>
        <v>324.66666666666663</v>
      </c>
      <c r="I731" s="14">
        <f>201*(2/3*10)</f>
        <v>1339.9999999999998</v>
      </c>
      <c r="K731">
        <v>728</v>
      </c>
      <c r="L731">
        <f t="shared" si="11"/>
        <v>0</v>
      </c>
    </row>
    <row r="732" spans="1:12" ht="16.5" x14ac:dyDescent="0.2">
      <c r="A732" s="4" t="s">
        <v>261</v>
      </c>
      <c r="B732">
        <v>2009</v>
      </c>
      <c r="C732" s="14">
        <f>365*(2/3*10)</f>
        <v>2433.333333333333</v>
      </c>
      <c r="D732" s="14">
        <f>48.3*(2/3*10)</f>
        <v>321.99999999999994</v>
      </c>
      <c r="E732" s="14">
        <f>987.6*(2/3*10)</f>
        <v>6584</v>
      </c>
      <c r="F732" s="14">
        <f>25.1*(2/3*10)</f>
        <v>167.33333333333331</v>
      </c>
      <c r="G732" s="14">
        <f>121.5*(2/3*10)</f>
        <v>809.99999999999989</v>
      </c>
      <c r="H732" s="14">
        <f>27.5*(2/3*10)</f>
        <v>183.33333333333331</v>
      </c>
      <c r="I732" s="14">
        <f>174*(2/3*10)</f>
        <v>1160</v>
      </c>
      <c r="K732" s="15">
        <v>729</v>
      </c>
      <c r="L732">
        <f t="shared" si="11"/>
        <v>1</v>
      </c>
    </row>
    <row r="733" spans="1:12" ht="16.5" x14ac:dyDescent="0.2">
      <c r="A733" s="4" t="s">
        <v>261</v>
      </c>
      <c r="B733">
        <v>2010</v>
      </c>
      <c r="C733" s="14">
        <f>363.8*(2/3*10)</f>
        <v>2425.333333333333</v>
      </c>
      <c r="D733" s="14">
        <f>48.1*(2/3*10)</f>
        <v>320.66666666666663</v>
      </c>
      <c r="E733" s="14">
        <f>986.8*(2/3*10)</f>
        <v>6578.6666666666661</v>
      </c>
      <c r="F733" s="14">
        <f>24.7*(2/3*10)</f>
        <v>164.66666666666666</v>
      </c>
      <c r="G733" s="14">
        <f>124.7*(2/3*10)</f>
        <v>831.33333333333326</v>
      </c>
      <c r="H733" s="14">
        <f>28*(2/3*10)</f>
        <v>186.66666666666666</v>
      </c>
      <c r="I733" s="14">
        <f>172.7*(2/3*10)</f>
        <v>1151.3333333333333</v>
      </c>
      <c r="K733">
        <v>730</v>
      </c>
      <c r="L733">
        <f t="shared" si="11"/>
        <v>2</v>
      </c>
    </row>
    <row r="734" spans="1:12" ht="16.5" x14ac:dyDescent="0.2">
      <c r="A734" s="4" t="s">
        <v>261</v>
      </c>
      <c r="B734">
        <v>2011</v>
      </c>
      <c r="C734" s="14">
        <f>362.7*(2/3*10)</f>
        <v>2417.9999999999995</v>
      </c>
      <c r="D734" s="14">
        <f>47.8*(2/3*10)</f>
        <v>318.66666666666663</v>
      </c>
      <c r="E734" s="14">
        <f>986.2*(2/3*10)</f>
        <v>6574.6666666666661</v>
      </c>
      <c r="F734" s="14">
        <f>24.6*(2/3*10)</f>
        <v>164</v>
      </c>
      <c r="G734" s="14">
        <f>127.1*(2/3*10)</f>
        <v>847.33333333333326</v>
      </c>
      <c r="H734" s="14">
        <f>28.6*(2/3*10)</f>
        <v>190.66666666666666</v>
      </c>
      <c r="I734" s="14">
        <f>171.8*(2/3*10)</f>
        <v>1145.3333333333333</v>
      </c>
      <c r="K734" s="15">
        <v>731</v>
      </c>
      <c r="L734">
        <f t="shared" si="11"/>
        <v>3</v>
      </c>
    </row>
    <row r="735" spans="1:12" ht="16.5" x14ac:dyDescent="0.2">
      <c r="A735" s="4" t="s">
        <v>261</v>
      </c>
      <c r="B735">
        <v>2012</v>
      </c>
      <c r="C735" s="14">
        <f>361.4*(2/3*10)</f>
        <v>2409.333333333333</v>
      </c>
      <c r="D735" s="14">
        <f>47.6*(2/3*10)</f>
        <v>317.33333333333331</v>
      </c>
      <c r="E735" s="14">
        <f>985.5*(2/3*10)</f>
        <v>6569.9999999999991</v>
      </c>
      <c r="F735" s="14">
        <f>24.3*(2/3*10)</f>
        <v>162</v>
      </c>
      <c r="G735" s="14">
        <f>129.5*(2/3*10)</f>
        <v>863.33333333333326</v>
      </c>
      <c r="H735" s="14">
        <f>29.2*(2/3*10)</f>
        <v>194.66666666666666</v>
      </c>
      <c r="I735" s="14">
        <f>171.1*(2/3*10)</f>
        <v>1140.6666666666665</v>
      </c>
      <c r="K735">
        <v>732</v>
      </c>
      <c r="L735">
        <f t="shared" si="11"/>
        <v>4</v>
      </c>
    </row>
    <row r="736" spans="1:12" ht="16.5" x14ac:dyDescent="0.2">
      <c r="A736" s="4" t="s">
        <v>261</v>
      </c>
      <c r="B736">
        <v>2013</v>
      </c>
      <c r="C736" s="14">
        <f>362.9*(2/3*10)</f>
        <v>2419.333333333333</v>
      </c>
      <c r="D736" s="14">
        <f>47.2*(2/3*10)</f>
        <v>314.66666666666669</v>
      </c>
      <c r="E736" s="14">
        <f>983.7*(2/3*10)</f>
        <v>6558</v>
      </c>
      <c r="F736" s="14">
        <f>24.1*(2/3*10)</f>
        <v>160.66666666666666</v>
      </c>
      <c r="G736" s="14">
        <f>131.7*(2/3*10)</f>
        <v>878</v>
      </c>
      <c r="H736" s="14">
        <f>30*(2/3*10)</f>
        <v>199.99999999999997</v>
      </c>
      <c r="I736" s="14">
        <f>168.8*(2/3*10)</f>
        <v>1125.3333333333333</v>
      </c>
      <c r="K736" s="15">
        <v>733</v>
      </c>
      <c r="L736">
        <f t="shared" si="11"/>
        <v>5</v>
      </c>
    </row>
    <row r="737" spans="1:12" ht="16.5" x14ac:dyDescent="0.2">
      <c r="A737" s="4" t="s">
        <v>261</v>
      </c>
      <c r="B737">
        <v>2014</v>
      </c>
      <c r="C737" s="14">
        <f>363.7*(2/3*10)</f>
        <v>2424.6666666666665</v>
      </c>
      <c r="D737" s="14">
        <f>46.8*(2/3*10)</f>
        <v>311.99999999999994</v>
      </c>
      <c r="E737" s="14">
        <f>981*(2/3*10)</f>
        <v>6539.9999999999991</v>
      </c>
      <c r="F737" s="14">
        <f>23.9*(2/3*10)</f>
        <v>159.33333333333331</v>
      </c>
      <c r="G737" s="14">
        <f>134.1*(2/3*10)</f>
        <v>893.99999999999989</v>
      </c>
      <c r="H737" s="14">
        <f>31.1*(2/3*10)</f>
        <v>207.33333333333331</v>
      </c>
      <c r="I737" s="14">
        <f>167.5*(2/3*10)</f>
        <v>1116.6666666666665</v>
      </c>
      <c r="K737">
        <v>734</v>
      </c>
      <c r="L737">
        <f t="shared" si="11"/>
        <v>6</v>
      </c>
    </row>
    <row r="738" spans="1:12" ht="16.5" x14ac:dyDescent="0.2">
      <c r="A738" s="4" t="s">
        <v>261</v>
      </c>
      <c r="B738">
        <v>2015</v>
      </c>
      <c r="C738" s="14">
        <f>363.6*(2/3*10)</f>
        <v>2424</v>
      </c>
      <c r="D738" s="14">
        <f>46.6*(2/3*10)</f>
        <v>310.66666666666663</v>
      </c>
      <c r="E738" s="14">
        <f>979.1*(2/3*10)</f>
        <v>6527.333333333333</v>
      </c>
      <c r="F738" s="14">
        <f>23.8*(2/3*10)</f>
        <v>158.66666666666666</v>
      </c>
      <c r="G738" s="14">
        <f>136.3*(2/3*10)</f>
        <v>908.66666666666652</v>
      </c>
      <c r="H738" s="14">
        <f>32.5*(2/3*10)</f>
        <v>216.66666666666666</v>
      </c>
      <c r="I738" s="14">
        <f>169*(2/3*10)</f>
        <v>1126.6666666666665</v>
      </c>
      <c r="K738" s="15">
        <v>735</v>
      </c>
      <c r="L738">
        <f t="shared" si="11"/>
        <v>7</v>
      </c>
    </row>
    <row r="739" spans="1:12" ht="16.5" x14ac:dyDescent="0.2">
      <c r="A739" s="4" t="s">
        <v>261</v>
      </c>
      <c r="B739">
        <v>2016</v>
      </c>
      <c r="C739" s="14">
        <f>363.3*(2/3*10)</f>
        <v>2422</v>
      </c>
      <c r="D739" s="14">
        <f>46.4*(2/3*10)</f>
        <v>309.33333333333331</v>
      </c>
      <c r="E739" s="14">
        <f>977.8*(2/3*10)</f>
        <v>6518.6666666666661</v>
      </c>
      <c r="F739" s="14">
        <f>23.7*(2/3*10)</f>
        <v>157.99999999999997</v>
      </c>
      <c r="G739" s="14">
        <f>138.1*(2/3*10)</f>
        <v>920.66666666666652</v>
      </c>
      <c r="H739" s="14">
        <f>34*(2/3*10)</f>
        <v>226.66666666666666</v>
      </c>
      <c r="I739" s="14">
        <f>167.3*(2/3*10)</f>
        <v>1115.3333333333333</v>
      </c>
      <c r="K739">
        <v>736</v>
      </c>
      <c r="L739">
        <f t="shared" si="11"/>
        <v>0</v>
      </c>
    </row>
    <row r="740" spans="1:12" ht="16.5" x14ac:dyDescent="0.2">
      <c r="A740" s="4" t="s">
        <v>260</v>
      </c>
      <c r="B740">
        <v>2009</v>
      </c>
      <c r="C740" s="14">
        <f>311.8*(2/3*10)</f>
        <v>2078.6666666666665</v>
      </c>
      <c r="D740" s="14">
        <f>40.9*(2/3*10)</f>
        <v>272.66666666666663</v>
      </c>
      <c r="E740" s="14">
        <f>4.1*(2/3*10)</f>
        <v>27.333333333333329</v>
      </c>
      <c r="F740" s="14">
        <f>7.5*(2/3*10)</f>
        <v>49.999999999999993</v>
      </c>
      <c r="G740" s="14">
        <f>137.4*(2/3*10)</f>
        <v>916</v>
      </c>
      <c r="H740" s="14">
        <f>33.3*(2/3*10)</f>
        <v>221.99999999999997</v>
      </c>
      <c r="I740" s="14">
        <f>95.2*(2/3*10)</f>
        <v>634.66666666666663</v>
      </c>
      <c r="K740" s="15">
        <v>737</v>
      </c>
      <c r="L740">
        <f t="shared" si="11"/>
        <v>1</v>
      </c>
    </row>
    <row r="741" spans="1:12" ht="16.5" x14ac:dyDescent="0.2">
      <c r="A741" s="4" t="s">
        <v>260</v>
      </c>
      <c r="B741">
        <v>2010</v>
      </c>
      <c r="C741" s="14">
        <f>311.2*(2/3*10)</f>
        <v>2074.6666666666665</v>
      </c>
      <c r="D741" s="14">
        <f>38.9*(2/3*10)</f>
        <v>259.33333333333331</v>
      </c>
      <c r="E741" s="14">
        <f>4.1*(2/3*10)</f>
        <v>27.333333333333329</v>
      </c>
      <c r="F741" s="14">
        <f>6.6*(2/3*10)</f>
        <v>43.999999999999993</v>
      </c>
      <c r="G741" s="14">
        <f>140.8*(2/3*10)</f>
        <v>938.66666666666663</v>
      </c>
      <c r="H741" s="14">
        <f>33.8*(2/3*10)</f>
        <v>225.33333333333329</v>
      </c>
      <c r="I741" s="14">
        <f>94.6*(2/3*10)</f>
        <v>630.66666666666663</v>
      </c>
      <c r="K741">
        <v>738</v>
      </c>
      <c r="L741">
        <f t="shared" si="11"/>
        <v>2</v>
      </c>
    </row>
    <row r="742" spans="1:12" ht="16.5" x14ac:dyDescent="0.2">
      <c r="A742" s="4" t="s">
        <v>260</v>
      </c>
      <c r="B742">
        <v>2011</v>
      </c>
      <c r="C742" s="14">
        <f>311.4*(2/3*10)</f>
        <v>2075.9999999999995</v>
      </c>
      <c r="D742" s="14">
        <f>36.9*(2/3*10)</f>
        <v>245.99999999999997</v>
      </c>
      <c r="E742" s="14">
        <f>4*(2/3*10)</f>
        <v>26.666666666666664</v>
      </c>
      <c r="F742" s="14">
        <f>6.2*(2/3*10)</f>
        <v>41.333333333333329</v>
      </c>
      <c r="G742" s="14">
        <f>142.9*(2/3*10)</f>
        <v>952.6666666666664</v>
      </c>
      <c r="H742" s="14">
        <f>34.3*(2/3*10)</f>
        <v>228.66666666666663</v>
      </c>
      <c r="I742" s="14">
        <f>94.1*(2/3*10)</f>
        <v>627.33333333333326</v>
      </c>
      <c r="K742" s="15">
        <v>739</v>
      </c>
      <c r="L742">
        <f t="shared" si="11"/>
        <v>3</v>
      </c>
    </row>
    <row r="743" spans="1:12" ht="16.5" x14ac:dyDescent="0.2">
      <c r="A743" s="4" t="s">
        <v>260</v>
      </c>
      <c r="B743">
        <v>2012</v>
      </c>
      <c r="C743" s="14">
        <f>311.8*(2/3*10)</f>
        <v>2078.6666666666665</v>
      </c>
      <c r="D743" s="14">
        <f>35.1*(2/3*10)</f>
        <v>234</v>
      </c>
      <c r="E743" s="14">
        <f>4*(2/3*10)</f>
        <v>26.666666666666664</v>
      </c>
      <c r="F743" s="14">
        <f>6.1*(2/3*10)</f>
        <v>40.666666666666657</v>
      </c>
      <c r="G743" s="14">
        <f>144.3*(2/3*10)</f>
        <v>962</v>
      </c>
      <c r="H743" s="14">
        <f>34.5*(2/3*10)</f>
        <v>229.99999999999997</v>
      </c>
      <c r="I743" s="14">
        <f>93.8*(2/3*10)</f>
        <v>625.33333333333326</v>
      </c>
      <c r="K743">
        <v>740</v>
      </c>
      <c r="L743">
        <f t="shared" si="11"/>
        <v>4</v>
      </c>
    </row>
    <row r="744" spans="1:12" ht="16.5" x14ac:dyDescent="0.2">
      <c r="A744" s="4" t="s">
        <v>260</v>
      </c>
      <c r="B744">
        <v>2013</v>
      </c>
      <c r="C744" s="14">
        <f>311.6*(2/3*10)</f>
        <v>2077.3333333333335</v>
      </c>
      <c r="D744" s="14">
        <f>34*(2/3*10)</f>
        <v>226.66666666666666</v>
      </c>
      <c r="E744" s="14">
        <f>4*(2/3*10)</f>
        <v>26.666666666666664</v>
      </c>
      <c r="F744" s="14">
        <f>5.7*(2/3*10)</f>
        <v>38</v>
      </c>
      <c r="G744" s="14">
        <f>145.9*(2/3*10)</f>
        <v>972.66666666666663</v>
      </c>
      <c r="H744" s="14">
        <f>34.9*(2/3*10)</f>
        <v>232.66666666666663</v>
      </c>
      <c r="I744" s="14">
        <f>93.6*(2/3*10)</f>
        <v>623.99999999999989</v>
      </c>
      <c r="K744" s="15">
        <v>741</v>
      </c>
      <c r="L744">
        <f t="shared" si="11"/>
        <v>5</v>
      </c>
    </row>
    <row r="745" spans="1:12" ht="16.5" x14ac:dyDescent="0.2">
      <c r="A745" s="4" t="s">
        <v>260</v>
      </c>
      <c r="B745">
        <v>2014</v>
      </c>
      <c r="C745" s="14">
        <f>310.8*(2/3*10)</f>
        <v>2072</v>
      </c>
      <c r="D745" s="14">
        <f>32.9*(2/3*10)</f>
        <v>219.33333333333331</v>
      </c>
      <c r="E745" s="14">
        <f>4*(2/3*10)</f>
        <v>26.666666666666664</v>
      </c>
      <c r="F745" s="14">
        <f>5.6*(2/3*10)</f>
        <v>37.333333333333329</v>
      </c>
      <c r="G745" s="14">
        <f>147.7*(2/3*10)</f>
        <v>984.66666666666652</v>
      </c>
      <c r="H745" s="14">
        <f>35.4*(2/3*10)</f>
        <v>235.99999999999997</v>
      </c>
      <c r="I745" s="14">
        <f>93.3*(2/3*10)</f>
        <v>621.99999999999989</v>
      </c>
      <c r="K745">
        <v>742</v>
      </c>
      <c r="L745">
        <f t="shared" si="11"/>
        <v>6</v>
      </c>
    </row>
    <row r="746" spans="1:12" ht="16.5" x14ac:dyDescent="0.2">
      <c r="A746" s="4" t="s">
        <v>260</v>
      </c>
      <c r="B746">
        <v>2015</v>
      </c>
      <c r="C746" s="14">
        <f>310.3*(2/3*10)</f>
        <v>2068.6666666666665</v>
      </c>
      <c r="D746" s="14">
        <f>31.8*(2/3*10)</f>
        <v>212</v>
      </c>
      <c r="E746" s="14">
        <f>4*(2/3*10)</f>
        <v>26.666666666666664</v>
      </c>
      <c r="F746" s="14">
        <f>5.4*(2/3*10)</f>
        <v>36</v>
      </c>
      <c r="G746" s="14">
        <f>149.4*(2/3*10)</f>
        <v>996</v>
      </c>
      <c r="H746" s="14">
        <f>35.7*(2/3*10)</f>
        <v>238</v>
      </c>
      <c r="I746" s="14">
        <f>93.1*(2/3*10)</f>
        <v>620.66666666666663</v>
      </c>
      <c r="K746" s="15">
        <v>743</v>
      </c>
      <c r="L746">
        <f t="shared" si="11"/>
        <v>7</v>
      </c>
    </row>
    <row r="747" spans="1:12" ht="16.5" x14ac:dyDescent="0.2">
      <c r="A747" s="4" t="s">
        <v>260</v>
      </c>
      <c r="B747">
        <v>2016</v>
      </c>
      <c r="C747" s="14">
        <f>309.2*(2/3*10)</f>
        <v>2061.333333333333</v>
      </c>
      <c r="D747" s="14">
        <f>30.9*(2/3*10)</f>
        <v>205.99999999999997</v>
      </c>
      <c r="E747" s="14">
        <f>4*(2/3*10)</f>
        <v>26.666666666666664</v>
      </c>
      <c r="F747" s="14">
        <f>5.3*(2/3*10)</f>
        <v>35.333333333333329</v>
      </c>
      <c r="G747" s="14">
        <f>151.3*(2/3*10)</f>
        <v>1008.6666666666666</v>
      </c>
      <c r="H747" s="14">
        <f>36.1*(2/3*10)</f>
        <v>240.66666666666666</v>
      </c>
      <c r="I747" s="14">
        <f>92.9*(2/3*10)</f>
        <v>619.33333333333337</v>
      </c>
      <c r="K747">
        <v>744</v>
      </c>
      <c r="L747">
        <f t="shared" si="11"/>
        <v>0</v>
      </c>
    </row>
    <row r="748" spans="1:12" ht="16.5" x14ac:dyDescent="0.2">
      <c r="A748" s="4" t="s">
        <v>259</v>
      </c>
      <c r="B748">
        <v>2009</v>
      </c>
      <c r="C748" s="14">
        <f>227.5*(2/3*10)</f>
        <v>1516.6666666666665</v>
      </c>
      <c r="D748" s="14">
        <f>83.4*(2/3*10)</f>
        <v>556</v>
      </c>
      <c r="E748" s="14">
        <f>327.9*(2/3*10)</f>
        <v>2185.9999999999995</v>
      </c>
      <c r="F748" s="14">
        <f>2.6*(2/3*10)</f>
        <v>17.333333333333332</v>
      </c>
      <c r="G748" s="14">
        <f>102*(2/3*10)</f>
        <v>679.99999999999989</v>
      </c>
      <c r="H748" s="14">
        <f>26.4*(2/3*10)</f>
        <v>175.99999999999997</v>
      </c>
      <c r="I748" s="14">
        <f>95*(2/3*10)</f>
        <v>633.33333333333326</v>
      </c>
      <c r="K748" s="15">
        <v>745</v>
      </c>
      <c r="L748">
        <f t="shared" si="11"/>
        <v>1</v>
      </c>
    </row>
    <row r="749" spans="1:12" ht="16.5" x14ac:dyDescent="0.2">
      <c r="A749" s="4" t="s">
        <v>259</v>
      </c>
      <c r="B749">
        <v>2010</v>
      </c>
      <c r="C749" s="14">
        <f>228.1*(2/3*10)</f>
        <v>1520.6666666666665</v>
      </c>
      <c r="D749" s="14">
        <f>82*(2/3*10)</f>
        <v>546.66666666666663</v>
      </c>
      <c r="E749" s="14">
        <f>327.4*(2/3*10)</f>
        <v>2182.6666666666665</v>
      </c>
      <c r="F749" s="14">
        <f>2.4*(2/3*10)</f>
        <v>15.999999999999998</v>
      </c>
      <c r="G749" s="14">
        <f>103.7*(2/3*10)</f>
        <v>691.33333333333326</v>
      </c>
      <c r="H749" s="14">
        <f>26.9*(2/3*10)</f>
        <v>179.33333333333331</v>
      </c>
      <c r="I749" s="14">
        <f>94.2*(2/3*10)</f>
        <v>628</v>
      </c>
      <c r="K749">
        <v>746</v>
      </c>
      <c r="L749">
        <f t="shared" si="11"/>
        <v>2</v>
      </c>
    </row>
    <row r="750" spans="1:12" ht="16.5" x14ac:dyDescent="0.2">
      <c r="A750" s="4" t="s">
        <v>259</v>
      </c>
      <c r="B750">
        <v>2011</v>
      </c>
      <c r="C750" s="14">
        <f>227.8*(2/3*10)</f>
        <v>1518.6666666666665</v>
      </c>
      <c r="D750" s="14">
        <f>80.6*(2/3*10)</f>
        <v>537.33333333333326</v>
      </c>
      <c r="E750" s="14">
        <f>326.6*(2/3*10)</f>
        <v>2177.3333333333335</v>
      </c>
      <c r="F750" s="14">
        <f>2.3*(2/3*10)</f>
        <v>15.33333333333333</v>
      </c>
      <c r="G750" s="14">
        <f>105.9*(2/3*10)</f>
        <v>705.99999999999989</v>
      </c>
      <c r="H750" s="14">
        <f>27.4*(2/3*10)</f>
        <v>182.66666666666663</v>
      </c>
      <c r="I750" s="14">
        <f>93.9*(2/3*10)</f>
        <v>626</v>
      </c>
      <c r="K750" s="15">
        <v>747</v>
      </c>
      <c r="L750">
        <f t="shared" si="11"/>
        <v>3</v>
      </c>
    </row>
    <row r="751" spans="1:12" ht="16.5" x14ac:dyDescent="0.2">
      <c r="A751" s="4" t="s">
        <v>259</v>
      </c>
      <c r="B751">
        <v>2012</v>
      </c>
      <c r="C751" s="14">
        <f>227.3*(2/3*10)</f>
        <v>1515.3333333333333</v>
      </c>
      <c r="D751" s="14">
        <f>79.9*(2/3*10)</f>
        <v>532.66666666666663</v>
      </c>
      <c r="E751" s="14">
        <f>326.3*(2/3*10)</f>
        <v>2175.333333333333</v>
      </c>
      <c r="F751" s="14">
        <f>2.2*(2/3*10)</f>
        <v>14.666666666666666</v>
      </c>
      <c r="G751" s="14">
        <f>107.7*(2/3*10)</f>
        <v>718</v>
      </c>
      <c r="H751" s="14">
        <f>27.6*(2/3*10)</f>
        <v>184</v>
      </c>
      <c r="I751" s="14">
        <f>93.5*(2/3*10)</f>
        <v>623.33333333333326</v>
      </c>
      <c r="K751">
        <v>748</v>
      </c>
      <c r="L751">
        <f t="shared" si="11"/>
        <v>4</v>
      </c>
    </row>
    <row r="752" spans="1:12" ht="16.5" x14ac:dyDescent="0.2">
      <c r="A752" s="4" t="s">
        <v>259</v>
      </c>
      <c r="B752">
        <v>2013</v>
      </c>
      <c r="C752" s="14">
        <f>227.5*(2/3*10)</f>
        <v>1516.6666666666665</v>
      </c>
      <c r="D752" s="14">
        <f>78.5*(2/3*10)</f>
        <v>523.33333333333326</v>
      </c>
      <c r="E752" s="14">
        <f>325.6*(2/3*10)</f>
        <v>2170.6666666666665</v>
      </c>
      <c r="F752" s="14">
        <f>2.1*(2/3*10)</f>
        <v>14</v>
      </c>
      <c r="G752" s="14">
        <f>109.9*(2/3*10)</f>
        <v>732.66666666666663</v>
      </c>
      <c r="H752" s="14">
        <f>28.2*(2/3*10)</f>
        <v>187.99999999999997</v>
      </c>
      <c r="I752" s="14">
        <f>92.7*(2/3*10)</f>
        <v>618</v>
      </c>
      <c r="K752" s="15">
        <v>749</v>
      </c>
      <c r="L752">
        <f t="shared" si="11"/>
        <v>5</v>
      </c>
    </row>
    <row r="753" spans="1:12" ht="16.5" x14ac:dyDescent="0.2">
      <c r="A753" s="4" t="s">
        <v>259</v>
      </c>
      <c r="B753">
        <v>2014</v>
      </c>
      <c r="C753" s="14">
        <f>227.2*(2/3*10)</f>
        <v>1514.6666666666665</v>
      </c>
      <c r="D753" s="14">
        <f>77.4*(2/3*10)</f>
        <v>516</v>
      </c>
      <c r="E753" s="14">
        <f>324.8*(2/3*10)</f>
        <v>2165.333333333333</v>
      </c>
      <c r="F753" s="14">
        <f>2*(2/3*10)</f>
        <v>13.333333333333332</v>
      </c>
      <c r="G753" s="14">
        <f>112.1*(2/3*10)</f>
        <v>747.33333333333337</v>
      </c>
      <c r="H753" s="14">
        <f>28.9*(2/3*10)</f>
        <v>192.66666666666663</v>
      </c>
      <c r="I753" s="14">
        <f>92*(2/3*10)</f>
        <v>613.33333333333326</v>
      </c>
      <c r="K753">
        <v>750</v>
      </c>
      <c r="L753">
        <f t="shared" si="11"/>
        <v>6</v>
      </c>
    </row>
    <row r="754" spans="1:12" ht="16.5" x14ac:dyDescent="0.2">
      <c r="A754" s="4" t="s">
        <v>259</v>
      </c>
      <c r="B754">
        <v>2015</v>
      </c>
      <c r="C754" s="14">
        <f>226.8*(2/3*10)</f>
        <v>1512</v>
      </c>
      <c r="D754" s="14">
        <f>76.6*(2/3*10)</f>
        <v>510.66666666666657</v>
      </c>
      <c r="E754" s="14">
        <f>324.4*(2/3*10)</f>
        <v>2162.6666666666665</v>
      </c>
      <c r="F754" s="14">
        <f>2*(2/3*10)</f>
        <v>13.333333333333332</v>
      </c>
      <c r="G754" s="14">
        <f>113.4*(2/3*10)</f>
        <v>756</v>
      </c>
      <c r="H754" s="14">
        <f>29.1*(2/3*10)</f>
        <v>194</v>
      </c>
      <c r="I754" s="14">
        <f>92*(2/3*10)</f>
        <v>613.33333333333326</v>
      </c>
      <c r="K754" s="15">
        <v>751</v>
      </c>
      <c r="L754">
        <f t="shared" si="11"/>
        <v>7</v>
      </c>
    </row>
    <row r="755" spans="1:12" ht="16.5" x14ac:dyDescent="0.2">
      <c r="A755" s="4" t="s">
        <v>259</v>
      </c>
      <c r="B755">
        <v>2016</v>
      </c>
      <c r="C755" s="14">
        <f>226.3*(2/3*10)</f>
        <v>1508.6666666666665</v>
      </c>
      <c r="D755" s="14">
        <f>75.9*(2/3*10)</f>
        <v>506</v>
      </c>
      <c r="E755" s="14">
        <f>324*(2/3*10)</f>
        <v>2160</v>
      </c>
      <c r="F755" s="14">
        <f>2*(2/3*10)</f>
        <v>13.333333333333332</v>
      </c>
      <c r="G755" s="14">
        <f>114.9*(2/3*10)</f>
        <v>766</v>
      </c>
      <c r="H755" s="14">
        <f>29.7*(2/3*10)</f>
        <v>197.99999999999997</v>
      </c>
      <c r="I755" s="14">
        <f>91.5*(2/3*10)</f>
        <v>610</v>
      </c>
      <c r="K755">
        <v>752</v>
      </c>
      <c r="L755">
        <f t="shared" si="11"/>
        <v>0</v>
      </c>
    </row>
    <row r="756" spans="1:12" ht="16.5" x14ac:dyDescent="0.2">
      <c r="A756" s="4" t="s">
        <v>258</v>
      </c>
      <c r="B756">
        <v>2009</v>
      </c>
      <c r="C756" s="14">
        <f>302.2*(2/3*10)</f>
        <v>2014.6666666666665</v>
      </c>
      <c r="D756" s="14">
        <f>102.5*(2/3*10)</f>
        <v>683.33333333333326</v>
      </c>
      <c r="E756" s="14">
        <f>533.2*(2/3*10)</f>
        <v>3554.6666666666665</v>
      </c>
      <c r="F756" s="14">
        <f>9.6*(2/3*10)</f>
        <v>63.999999999999993</v>
      </c>
      <c r="G756" s="14">
        <f>126.8*(2/3*10)</f>
        <v>845.33333333333326</v>
      </c>
      <c r="H756" s="14">
        <f>29.2*(2/3*10)</f>
        <v>194.66666666666666</v>
      </c>
      <c r="I756" s="14">
        <f>109.9*(2/3*10)</f>
        <v>732.66666666666663</v>
      </c>
      <c r="K756" s="15">
        <v>753</v>
      </c>
      <c r="L756">
        <f t="shared" si="11"/>
        <v>1</v>
      </c>
    </row>
    <row r="757" spans="1:12" ht="16.5" x14ac:dyDescent="0.2">
      <c r="A757" s="4" t="s">
        <v>258</v>
      </c>
      <c r="B757">
        <v>2010</v>
      </c>
      <c r="C757" s="14">
        <f>301.7*(2/3*10)</f>
        <v>2011.333333333333</v>
      </c>
      <c r="D757" s="14">
        <f>100.6*(2/3*10)</f>
        <v>670.66666666666652</v>
      </c>
      <c r="E757" s="14">
        <f>532.7*(2/3*10)</f>
        <v>3551.3333333333335</v>
      </c>
      <c r="F757" s="14">
        <f>9.3*(2/3*10)</f>
        <v>62</v>
      </c>
      <c r="G757" s="14">
        <f>130*(2/3*10)</f>
        <v>866.66666666666663</v>
      </c>
      <c r="H757" s="14">
        <f>30.3*(2/3*10)</f>
        <v>202</v>
      </c>
      <c r="I757" s="14">
        <f>108.9*(2/3*10)</f>
        <v>726</v>
      </c>
      <c r="K757">
        <v>754</v>
      </c>
      <c r="L757">
        <f t="shared" si="11"/>
        <v>2</v>
      </c>
    </row>
    <row r="758" spans="1:12" ht="16.5" x14ac:dyDescent="0.2">
      <c r="A758" s="4" t="s">
        <v>258</v>
      </c>
      <c r="B758">
        <v>2011</v>
      </c>
      <c r="C758" s="14">
        <f>301.1*(2/3*10)</f>
        <v>2007.3333333333333</v>
      </c>
      <c r="D758" s="14">
        <f>99*(2/3*10)</f>
        <v>659.99999999999989</v>
      </c>
      <c r="E758" s="14">
        <f>532.3*(2/3*10)</f>
        <v>3548.6666666666661</v>
      </c>
      <c r="F758" s="14">
        <f>9*(2/3*10)</f>
        <v>59.999999999999993</v>
      </c>
      <c r="G758" s="14">
        <f>133.5*(2/3*10)</f>
        <v>889.99999999999989</v>
      </c>
      <c r="H758" s="14">
        <f>30.9*(2/3*10)</f>
        <v>205.99999999999997</v>
      </c>
      <c r="I758" s="14">
        <f>107.9*(2/3*10)</f>
        <v>719.33333333333326</v>
      </c>
      <c r="K758" s="15">
        <v>755</v>
      </c>
      <c r="L758">
        <f t="shared" si="11"/>
        <v>3</v>
      </c>
    </row>
    <row r="759" spans="1:12" ht="16.5" x14ac:dyDescent="0.2">
      <c r="A759" s="4" t="s">
        <v>258</v>
      </c>
      <c r="B759">
        <v>2012</v>
      </c>
      <c r="C759" s="14">
        <f>300*(2/3*10)</f>
        <v>1999.9999999999998</v>
      </c>
      <c r="D759" s="14">
        <f>97.8*(2/3*10)</f>
        <v>651.99999999999989</v>
      </c>
      <c r="E759" s="14">
        <f>532.1*(2/3*10)</f>
        <v>3547.333333333333</v>
      </c>
      <c r="F759" s="14">
        <f>8.9*(2/3*10)</f>
        <v>59.333333333333329</v>
      </c>
      <c r="G759" s="14">
        <f>136.1*(2/3*10)</f>
        <v>907.33333333333337</v>
      </c>
      <c r="H759" s="14">
        <f>31.5*(2/3*10)</f>
        <v>209.99999999999997</v>
      </c>
      <c r="I759" s="14">
        <f>107.2*(2/3*10)</f>
        <v>714.66666666666663</v>
      </c>
      <c r="K759">
        <v>756</v>
      </c>
      <c r="L759">
        <f t="shared" si="11"/>
        <v>4</v>
      </c>
    </row>
    <row r="760" spans="1:12" ht="16.5" x14ac:dyDescent="0.2">
      <c r="A760" s="4" t="s">
        <v>258</v>
      </c>
      <c r="B760">
        <v>2013</v>
      </c>
      <c r="C760" s="14">
        <f>299*(2/3*10)</f>
        <v>1993.3333333333333</v>
      </c>
      <c r="D760" s="14">
        <f>96.9*(2/3*10)</f>
        <v>646</v>
      </c>
      <c r="E760" s="14">
        <f>531.9*(2/3*10)</f>
        <v>3545.9999999999995</v>
      </c>
      <c r="F760" s="14">
        <f>8.8*(2/3*10)</f>
        <v>58.666666666666664</v>
      </c>
      <c r="G760" s="14">
        <f>138.3*(2/3*10)</f>
        <v>922</v>
      </c>
      <c r="H760" s="14">
        <f>32*(2/3*10)</f>
        <v>213.33333333333331</v>
      </c>
      <c r="I760" s="14">
        <f>106.7*(2/3*10)</f>
        <v>711.33333333333326</v>
      </c>
      <c r="K760" s="15">
        <v>757</v>
      </c>
      <c r="L760">
        <f t="shared" si="11"/>
        <v>5</v>
      </c>
    </row>
    <row r="761" spans="1:12" ht="16.5" x14ac:dyDescent="0.2">
      <c r="A761" s="4" t="s">
        <v>258</v>
      </c>
      <c r="B761">
        <v>2014</v>
      </c>
      <c r="C761" s="14">
        <f>298.1*(2/3*10)</f>
        <v>1987.3333333333333</v>
      </c>
      <c r="D761" s="14">
        <f>95.6*(2/3*10)</f>
        <v>637.33333333333326</v>
      </c>
      <c r="E761" s="14">
        <f>531.6*(2/3*10)</f>
        <v>3544</v>
      </c>
      <c r="F761" s="14">
        <f>8.7*(2/3*10)</f>
        <v>57.999999999999993</v>
      </c>
      <c r="G761" s="14">
        <f>140.7*(2/3*10)</f>
        <v>937.99999999999989</v>
      </c>
      <c r="H761" s="14">
        <f>32.8*(2/3*10)</f>
        <v>218.66666666666663</v>
      </c>
      <c r="I761" s="14">
        <f>105.9*(2/3*10)</f>
        <v>706</v>
      </c>
      <c r="K761">
        <v>758</v>
      </c>
      <c r="L761">
        <f t="shared" si="11"/>
        <v>6</v>
      </c>
    </row>
    <row r="762" spans="1:12" ht="16.5" x14ac:dyDescent="0.2">
      <c r="A762" s="4" t="s">
        <v>258</v>
      </c>
      <c r="B762">
        <v>2015</v>
      </c>
      <c r="C762" s="14">
        <f>298*(2/3*10)</f>
        <v>1986.6666666666665</v>
      </c>
      <c r="D762" s="14">
        <f>94.4*(2/3*10)</f>
        <v>629.33333333333337</v>
      </c>
      <c r="E762" s="14">
        <f>531.3*(2/3*10)</f>
        <v>3541.9999999999995</v>
      </c>
      <c r="F762" s="14">
        <f>8.6*(2/3*10)</f>
        <v>57.333333333333329</v>
      </c>
      <c r="G762" s="14">
        <f>142.6*(2/3*10)</f>
        <v>950.66666666666674</v>
      </c>
      <c r="H762" s="14">
        <f>33.2*(2/3*10)</f>
        <v>221.33333333333334</v>
      </c>
      <c r="I762" s="14">
        <f>105.3*(2/3*10)</f>
        <v>701.99999999999989</v>
      </c>
      <c r="K762" s="15">
        <v>759</v>
      </c>
      <c r="L762">
        <f t="shared" si="11"/>
        <v>7</v>
      </c>
    </row>
    <row r="763" spans="1:12" ht="16.5" x14ac:dyDescent="0.2">
      <c r="A763" s="4" t="s">
        <v>258</v>
      </c>
      <c r="B763">
        <v>2016</v>
      </c>
      <c r="C763" s="14">
        <f>297.7*(2/3*10)</f>
        <v>1984.6666666666665</v>
      </c>
      <c r="D763" s="14">
        <f>93.6*(2/3*10)</f>
        <v>623.99999999999989</v>
      </c>
      <c r="E763" s="14">
        <f>531.1*(2/3*10)</f>
        <v>3540.6666666666665</v>
      </c>
      <c r="F763" s="14">
        <f>8.6*(2/3*10)</f>
        <v>57.333333333333329</v>
      </c>
      <c r="G763" s="14">
        <f>143.7*(2/3*10)</f>
        <v>958</v>
      </c>
      <c r="H763" s="14">
        <f>34*(2/3*10)</f>
        <v>226.66666666666666</v>
      </c>
      <c r="I763" s="14">
        <f>104.8*(2/3*10)</f>
        <v>698.66666666666663</v>
      </c>
      <c r="K763">
        <v>760</v>
      </c>
      <c r="L763">
        <f t="shared" si="11"/>
        <v>0</v>
      </c>
    </row>
    <row r="764" spans="1:12" ht="16.5" x14ac:dyDescent="0.2">
      <c r="A764" s="4" t="s">
        <v>257</v>
      </c>
      <c r="B764">
        <v>2009</v>
      </c>
      <c r="C764" s="14">
        <f>338.4*(2/3*10)</f>
        <v>2255.9999999999995</v>
      </c>
      <c r="D764" s="14">
        <f>118.4*(2/3*10)</f>
        <v>789.33333333333326</v>
      </c>
      <c r="E764" s="14">
        <f>888.5*(2/3*10)</f>
        <v>5923.333333333333</v>
      </c>
      <c r="F764" s="14">
        <f>13.4*(2/3*10)</f>
        <v>89.333333333333329</v>
      </c>
      <c r="G764" s="14">
        <f>134.4*(2/3*10)</f>
        <v>896</v>
      </c>
      <c r="H764" s="14">
        <f>36.6*(2/3*10)</f>
        <v>244</v>
      </c>
      <c r="I764" s="14">
        <f>74.5*(2/3*10)</f>
        <v>496.66666666666663</v>
      </c>
      <c r="K764" s="15">
        <v>761</v>
      </c>
      <c r="L764">
        <f t="shared" si="11"/>
        <v>1</v>
      </c>
    </row>
    <row r="765" spans="1:12" ht="16.5" x14ac:dyDescent="0.2">
      <c r="A765" s="4" t="s">
        <v>257</v>
      </c>
      <c r="B765">
        <v>2010</v>
      </c>
      <c r="C765" s="14">
        <f>337.7*(2/3*10)</f>
        <v>2251.333333333333</v>
      </c>
      <c r="D765" s="14">
        <f>117.2*(2/3*10)</f>
        <v>781.33333333333326</v>
      </c>
      <c r="E765" s="14">
        <f>887.8*(2/3*10)</f>
        <v>5918.6666666666661</v>
      </c>
      <c r="F765" s="14">
        <f>12.8*(2/3*10)</f>
        <v>85.333333333333329</v>
      </c>
      <c r="G765" s="14">
        <f>137.9*(2/3*10)</f>
        <v>919.33333333333348</v>
      </c>
      <c r="H765" s="14">
        <f>37*(2/3*10)</f>
        <v>246.66666666666666</v>
      </c>
      <c r="I765" s="14">
        <f>74.4*(2/3*10)</f>
        <v>496</v>
      </c>
      <c r="K765">
        <v>762</v>
      </c>
      <c r="L765">
        <f t="shared" si="11"/>
        <v>2</v>
      </c>
    </row>
    <row r="766" spans="1:12" ht="16.5" x14ac:dyDescent="0.2">
      <c r="A766" s="4" t="s">
        <v>257</v>
      </c>
      <c r="B766">
        <v>2011</v>
      </c>
      <c r="C766" s="14">
        <f>336.2*(2/3*10)</f>
        <v>2241.333333333333</v>
      </c>
      <c r="D766" s="14">
        <f>116*(2/3*10)</f>
        <v>773.33333333333326</v>
      </c>
      <c r="E766" s="14">
        <f>886.9*(2/3*10)</f>
        <v>5912.6666666666661</v>
      </c>
      <c r="F766" s="14">
        <f>12.3*(2/3*10)</f>
        <v>82</v>
      </c>
      <c r="G766" s="14">
        <f>140.8*(2/3*10)</f>
        <v>938.66666666666663</v>
      </c>
      <c r="H766" s="14">
        <f>38*(2/3*10)</f>
        <v>253.33333333333331</v>
      </c>
      <c r="I766" s="14">
        <f>74.6*(2/3*10)</f>
        <v>497.33333333333326</v>
      </c>
      <c r="K766" s="15">
        <v>763</v>
      </c>
      <c r="L766">
        <f t="shared" si="11"/>
        <v>3</v>
      </c>
    </row>
    <row r="767" spans="1:12" ht="16.5" x14ac:dyDescent="0.2">
      <c r="A767" s="4" t="s">
        <v>257</v>
      </c>
      <c r="B767">
        <v>2012</v>
      </c>
      <c r="C767" s="14">
        <f>335.6*(2/3*10)</f>
        <v>2237.3333333333335</v>
      </c>
      <c r="D767" s="14">
        <f>114.4*(2/3*10)</f>
        <v>762.66666666666663</v>
      </c>
      <c r="E767" s="14">
        <f>886.3*(2/3*10)</f>
        <v>5908.6666666666661</v>
      </c>
      <c r="F767" s="14">
        <f>12*(2/3*10)</f>
        <v>80</v>
      </c>
      <c r="G767" s="14">
        <f>143.3*(2/3*10)</f>
        <v>955.33333333333337</v>
      </c>
      <c r="H767" s="14">
        <f>38.4*(2/3*10)</f>
        <v>255.99999999999997</v>
      </c>
      <c r="I767" s="14">
        <f>74.5*(2/3*10)</f>
        <v>496.66666666666663</v>
      </c>
      <c r="K767">
        <v>764</v>
      </c>
      <c r="L767">
        <f t="shared" si="11"/>
        <v>4</v>
      </c>
    </row>
    <row r="768" spans="1:12" ht="16.5" x14ac:dyDescent="0.2">
      <c r="A768" s="4" t="s">
        <v>257</v>
      </c>
      <c r="B768">
        <v>2013</v>
      </c>
      <c r="C768" s="14">
        <f>334.8*(2/3*10)</f>
        <v>2232</v>
      </c>
      <c r="D768" s="14">
        <f>113*(2/3*10)</f>
        <v>753.33333333333326</v>
      </c>
      <c r="E768" s="14">
        <f>885.6*(2/3*10)</f>
        <v>5904</v>
      </c>
      <c r="F768" s="14">
        <f>11.8*(2/3*10)</f>
        <v>78.666666666666671</v>
      </c>
      <c r="G768" s="14">
        <f>145.7*(2/3*10)</f>
        <v>971.33333333333337</v>
      </c>
      <c r="H768" s="14">
        <f>39.3*(2/3*10)</f>
        <v>261.99999999999994</v>
      </c>
      <c r="I768" s="14">
        <f>74.3*(2/3*10)</f>
        <v>495.33333333333326</v>
      </c>
      <c r="K768" s="15">
        <v>765</v>
      </c>
      <c r="L768">
        <f t="shared" si="11"/>
        <v>5</v>
      </c>
    </row>
    <row r="769" spans="1:12" ht="16.5" x14ac:dyDescent="0.2">
      <c r="A769" s="4" t="s">
        <v>257</v>
      </c>
      <c r="B769">
        <v>2014</v>
      </c>
      <c r="C769" s="14">
        <f>332.8*(2/3*10)</f>
        <v>2218.6666666666665</v>
      </c>
      <c r="D769" s="14">
        <f>111.5*(2/3*10)</f>
        <v>743.33333333333326</v>
      </c>
      <c r="E769" s="14">
        <f>884.8*(2/3*10)</f>
        <v>5898.6666666666661</v>
      </c>
      <c r="F769" s="14">
        <f>11.5*(2/3*10)</f>
        <v>76.666666666666657</v>
      </c>
      <c r="G769" s="14">
        <f>149.1*(2/3*10)</f>
        <v>993.99999999999989</v>
      </c>
      <c r="H769" s="14">
        <f>40.5*(2/3*10)</f>
        <v>270</v>
      </c>
      <c r="I769" s="14">
        <f>74.1*(2/3*10)</f>
        <v>493.99999999999994</v>
      </c>
      <c r="K769">
        <v>766</v>
      </c>
      <c r="L769">
        <f t="shared" si="11"/>
        <v>6</v>
      </c>
    </row>
    <row r="770" spans="1:12" ht="16.5" x14ac:dyDescent="0.2">
      <c r="A770" s="4" t="s">
        <v>257</v>
      </c>
      <c r="B770">
        <v>2015</v>
      </c>
      <c r="C770" s="14">
        <f>332.6*(2/3*10)</f>
        <v>2217.3333333333335</v>
      </c>
      <c r="D770" s="14">
        <f>110.1*(2/3*10)</f>
        <v>733.99999999999989</v>
      </c>
      <c r="E770" s="14">
        <f>884.1*(2/3*10)</f>
        <v>5894</v>
      </c>
      <c r="F770" s="14">
        <f>11.3*(2/3*10)</f>
        <v>75.333333333333329</v>
      </c>
      <c r="G770" s="14">
        <f>151.3*(2/3*10)</f>
        <v>1008.6666666666665</v>
      </c>
      <c r="H770" s="14">
        <f>41.1*(2/3*10)</f>
        <v>274</v>
      </c>
      <c r="I770" s="14">
        <f>73.9*(2/3*10)</f>
        <v>492.66666666666669</v>
      </c>
      <c r="K770" s="15">
        <v>767</v>
      </c>
      <c r="L770">
        <f t="shared" si="11"/>
        <v>7</v>
      </c>
    </row>
    <row r="771" spans="1:12" ht="16.5" x14ac:dyDescent="0.2">
      <c r="A771" s="4" t="s">
        <v>257</v>
      </c>
      <c r="B771">
        <v>2016</v>
      </c>
      <c r="C771" s="14">
        <f>332*(2/3*10)</f>
        <v>2213.333333333333</v>
      </c>
      <c r="D771" s="14">
        <f>109.4*(2/3*10)</f>
        <v>729.33333333333326</v>
      </c>
      <c r="E771" s="14">
        <f>883.7*(2/3*10)</f>
        <v>5891.333333333333</v>
      </c>
      <c r="F771" s="14">
        <f>11.2*(2/3*10)</f>
        <v>74.666666666666657</v>
      </c>
      <c r="G771" s="14">
        <f>152.5*(2/3*10)</f>
        <v>1016.6666666666667</v>
      </c>
      <c r="H771" s="14">
        <f>41.7*(2/3*10)</f>
        <v>278</v>
      </c>
      <c r="I771" s="14">
        <f>73.8*(2/3*10)</f>
        <v>491.99999999999994</v>
      </c>
      <c r="K771">
        <v>768</v>
      </c>
      <c r="L771">
        <f t="shared" si="11"/>
        <v>0</v>
      </c>
    </row>
    <row r="772" spans="1:12" ht="16.5" x14ac:dyDescent="0.2">
      <c r="A772" s="4" t="s">
        <v>256</v>
      </c>
      <c r="B772">
        <v>2009</v>
      </c>
      <c r="C772" s="14">
        <f>204.2*(2/3*10)</f>
        <v>1361.333333333333</v>
      </c>
      <c r="D772" s="14">
        <f>135.4*(2/3*10)</f>
        <v>902.66666666666663</v>
      </c>
      <c r="E772" s="14">
        <f>807.6*(2/3*10)</f>
        <v>5384</v>
      </c>
      <c r="F772" s="14">
        <f>10.7*(2/3*10)</f>
        <v>71.333333333333329</v>
      </c>
      <c r="G772" s="14">
        <f>70.6*(2/3*10)</f>
        <v>470.66666666666669</v>
      </c>
      <c r="H772" s="14">
        <f>20.7*(2/3*10)</f>
        <v>137.99999999999997</v>
      </c>
      <c r="I772" s="14">
        <f>54.6*(2/3*10)</f>
        <v>364</v>
      </c>
      <c r="K772" s="15">
        <v>769</v>
      </c>
      <c r="L772">
        <f t="shared" si="11"/>
        <v>1</v>
      </c>
    </row>
    <row r="773" spans="1:12" ht="16.5" x14ac:dyDescent="0.2">
      <c r="A773" s="4" t="s">
        <v>256</v>
      </c>
      <c r="B773">
        <v>2010</v>
      </c>
      <c r="C773" s="14">
        <f>205.4*(2/3*10)</f>
        <v>1369.3333333333333</v>
      </c>
      <c r="D773" s="14">
        <f>133*(2/3*10)</f>
        <v>886.66666666666663</v>
      </c>
      <c r="E773" s="14">
        <f>806.7*(2/3*10)</f>
        <v>5378</v>
      </c>
      <c r="F773" s="14">
        <f>10.5*(2/3*10)</f>
        <v>70</v>
      </c>
      <c r="G773" s="14">
        <f>72.3*(2/3*10)</f>
        <v>481.99999999999994</v>
      </c>
      <c r="H773" s="14">
        <f>21.3*(2/3*10)</f>
        <v>142</v>
      </c>
      <c r="I773" s="14">
        <f>54.4*(2/3*10)</f>
        <v>362.66666666666663</v>
      </c>
      <c r="K773">
        <v>770</v>
      </c>
      <c r="L773">
        <f t="shared" ref="L773:L836" si="12">MOD(K773,8)</f>
        <v>2</v>
      </c>
    </row>
    <row r="774" spans="1:12" ht="16.5" x14ac:dyDescent="0.2">
      <c r="A774" s="4" t="s">
        <v>256</v>
      </c>
      <c r="B774">
        <v>2011</v>
      </c>
      <c r="C774" s="14">
        <f>206.3*(2/3*10)</f>
        <v>1375.3333333333333</v>
      </c>
      <c r="D774" s="14">
        <f>131.6*(2/3*10)</f>
        <v>877.33333333333326</v>
      </c>
      <c r="E774" s="14">
        <f>806.2*(2/3*10)</f>
        <v>5374.6666666666661</v>
      </c>
      <c r="F774" s="14">
        <f>10.4*(2/3*10)</f>
        <v>69.333333333333329</v>
      </c>
      <c r="G774" s="14">
        <f>73*(2/3*10)</f>
        <v>486.66666666666674</v>
      </c>
      <c r="H774" s="14">
        <f>21.4*(2/3*10)</f>
        <v>142.66666666666666</v>
      </c>
      <c r="I774" s="14">
        <f>54.4*(2/3*10)</f>
        <v>362.66666666666663</v>
      </c>
      <c r="K774" s="15">
        <v>771</v>
      </c>
      <c r="L774">
        <f t="shared" si="12"/>
        <v>3</v>
      </c>
    </row>
    <row r="775" spans="1:12" ht="16.5" x14ac:dyDescent="0.2">
      <c r="A775" s="4" t="s">
        <v>256</v>
      </c>
      <c r="B775">
        <v>2012</v>
      </c>
      <c r="C775" s="14">
        <f>206.9*(2/3*10)</f>
        <v>1379.3333333333333</v>
      </c>
      <c r="D775" s="14">
        <f>130.1*(2/3*10)</f>
        <v>867.33333333333326</v>
      </c>
      <c r="E775" s="14">
        <f>805.3*(2/3*10)</f>
        <v>5368.6666666666661</v>
      </c>
      <c r="F775" s="14">
        <f>10.3*(2/3*10)</f>
        <v>68.666666666666671</v>
      </c>
      <c r="G775" s="14">
        <f>74.4*(2/3*10)</f>
        <v>496</v>
      </c>
      <c r="H775" s="14">
        <f>21.9*(2/3*10)</f>
        <v>145.99999999999997</v>
      </c>
      <c r="I775" s="14">
        <f>54.3*(2/3*10)</f>
        <v>361.99999999999994</v>
      </c>
      <c r="K775">
        <v>772</v>
      </c>
      <c r="L775">
        <f t="shared" si="12"/>
        <v>4</v>
      </c>
    </row>
    <row r="776" spans="1:12" ht="16.5" x14ac:dyDescent="0.2">
      <c r="A776" s="4" t="s">
        <v>256</v>
      </c>
      <c r="B776">
        <v>2013</v>
      </c>
      <c r="C776" s="14">
        <f>207.4*(2/3*10)</f>
        <v>1382.6666666666665</v>
      </c>
      <c r="D776" s="14">
        <f>128.2*(2/3*10)</f>
        <v>854.66666666666652</v>
      </c>
      <c r="E776" s="14">
        <f>804.3*(2/3*10)</f>
        <v>5361.9999999999991</v>
      </c>
      <c r="F776" s="14">
        <f>10.2*(2/3*10)</f>
        <v>67.999999999999986</v>
      </c>
      <c r="G776" s="14">
        <f>76.4*(2/3*10)</f>
        <v>509.33333333333326</v>
      </c>
      <c r="H776" s="14">
        <f>22.3*(2/3*10)</f>
        <v>148.66666666666666</v>
      </c>
      <c r="I776" s="14">
        <f>54.2*(2/3*10)</f>
        <v>361.33333333333331</v>
      </c>
      <c r="K776" s="15">
        <v>773</v>
      </c>
      <c r="L776">
        <f t="shared" si="12"/>
        <v>5</v>
      </c>
    </row>
    <row r="777" spans="1:12" ht="16.5" x14ac:dyDescent="0.2">
      <c r="A777" s="4" t="s">
        <v>256</v>
      </c>
      <c r="B777">
        <v>2014</v>
      </c>
      <c r="C777" s="14">
        <f>208.1*(2/3*10)</f>
        <v>1387.3333333333333</v>
      </c>
      <c r="D777" s="14">
        <f>126.4*(2/3*10)</f>
        <v>842.66666666666663</v>
      </c>
      <c r="E777" s="14">
        <f>803.1*(2/3*10)</f>
        <v>5354</v>
      </c>
      <c r="F777" s="14">
        <f>9.9*(2/3*10)</f>
        <v>66</v>
      </c>
      <c r="G777" s="14">
        <f>78.7*(2/3*10)</f>
        <v>524.66666666666652</v>
      </c>
      <c r="H777" s="14">
        <f>22.7*(2/3*10)</f>
        <v>151.33333333333331</v>
      </c>
      <c r="I777" s="14">
        <f>54.1*(2/3*10)</f>
        <v>360.66666666666663</v>
      </c>
      <c r="K777">
        <v>774</v>
      </c>
      <c r="L777">
        <f t="shared" si="12"/>
        <v>6</v>
      </c>
    </row>
    <row r="778" spans="1:12" ht="16.5" x14ac:dyDescent="0.2">
      <c r="A778" s="4" t="s">
        <v>256</v>
      </c>
      <c r="B778">
        <v>2015</v>
      </c>
      <c r="C778" s="14">
        <f>209.3*(2/3*10)</f>
        <v>1395.3333333333333</v>
      </c>
      <c r="D778" s="14">
        <f>125.1*(2/3*10)</f>
        <v>833.99999999999989</v>
      </c>
      <c r="E778" s="14">
        <f>802.1*(2/3*10)</f>
        <v>5347.333333333333</v>
      </c>
      <c r="F778" s="14">
        <f>9.8*(2/3*10)</f>
        <v>65.333333333333329</v>
      </c>
      <c r="G778" s="14">
        <f>79.8*(2/3*10)</f>
        <v>531.99999999999989</v>
      </c>
      <c r="H778" s="14">
        <f>22.8*(2/3*10)</f>
        <v>152</v>
      </c>
      <c r="I778" s="14">
        <f>54.1*(2/3*10)</f>
        <v>360.66666666666663</v>
      </c>
      <c r="K778" s="15">
        <v>775</v>
      </c>
      <c r="L778">
        <f t="shared" si="12"/>
        <v>7</v>
      </c>
    </row>
    <row r="779" spans="1:12" ht="16.5" x14ac:dyDescent="0.2">
      <c r="A779" s="4" t="s">
        <v>256</v>
      </c>
      <c r="B779">
        <v>2016</v>
      </c>
      <c r="C779" s="14">
        <f>209.8*(2/3*10)</f>
        <v>1398.6666666666665</v>
      </c>
      <c r="D779" s="14">
        <f>124.1*(2/3*10)</f>
        <v>827.33333333333326</v>
      </c>
      <c r="E779" s="14">
        <f>801.5*(2/3*10)</f>
        <v>5343.333333333333</v>
      </c>
      <c r="F779" s="14">
        <f>9.7*(2/3*10)</f>
        <v>64.666666666666657</v>
      </c>
      <c r="G779" s="14">
        <f>80.5*(2/3*10)</f>
        <v>536.66666666666663</v>
      </c>
      <c r="H779" s="14">
        <f>23.2*(2/3*10)</f>
        <v>154.66666666666666</v>
      </c>
      <c r="I779" s="14">
        <f>54*(2/3*10)</f>
        <v>359.99999999999994</v>
      </c>
      <c r="K779">
        <v>776</v>
      </c>
      <c r="L779">
        <f t="shared" si="12"/>
        <v>0</v>
      </c>
    </row>
    <row r="780" spans="1:12" ht="16.5" x14ac:dyDescent="0.2">
      <c r="A780" s="4" t="s">
        <v>255</v>
      </c>
      <c r="B780">
        <v>2009</v>
      </c>
      <c r="C780" s="14">
        <f>36.3*(2/3*10)</f>
        <v>241.99999999999997</v>
      </c>
      <c r="D780" s="14">
        <f>3.5*(2/3*10)</f>
        <v>23.333333333333332</v>
      </c>
      <c r="E780" s="14">
        <f>78*(2/3*10)</f>
        <v>520</v>
      </c>
      <c r="F780" s="14">
        <f>10.5*(2/3*10)</f>
        <v>70</v>
      </c>
      <c r="G780" s="14">
        <f>34.1*(2/3*10)</f>
        <v>227.33333333333331</v>
      </c>
      <c r="H780" s="14">
        <f>7.4*(2/3*10)</f>
        <v>49.333333333333329</v>
      </c>
      <c r="I780" s="14">
        <f>36.5*(2/3*10)</f>
        <v>243.33333333333331</v>
      </c>
      <c r="K780" s="15">
        <v>777</v>
      </c>
      <c r="L780">
        <f t="shared" si="12"/>
        <v>1</v>
      </c>
    </row>
    <row r="781" spans="1:12" ht="16.5" x14ac:dyDescent="0.2">
      <c r="A781" s="4" t="s">
        <v>255</v>
      </c>
      <c r="B781">
        <v>2010</v>
      </c>
      <c r="C781" s="14">
        <f>36.4*(2/3*10)</f>
        <v>242.66666666666663</v>
      </c>
      <c r="D781" s="14">
        <f>3.4*(2/3*10)</f>
        <v>22.666666666666664</v>
      </c>
      <c r="E781" s="14">
        <f>77.7*(2/3*10)</f>
        <v>518</v>
      </c>
      <c r="F781" s="14">
        <f>10.4*(2/3*10)</f>
        <v>69.333333333333329</v>
      </c>
      <c r="G781" s="14">
        <f>34.7*(2/3*10)</f>
        <v>231.33333333333334</v>
      </c>
      <c r="H781" s="14">
        <f>7.6*(2/3*10)</f>
        <v>50.666666666666657</v>
      </c>
      <c r="I781" s="14">
        <f>35.9*(2/3*10)</f>
        <v>239.33333333333331</v>
      </c>
      <c r="K781">
        <v>778</v>
      </c>
      <c r="L781">
        <f t="shared" si="12"/>
        <v>2</v>
      </c>
    </row>
    <row r="782" spans="1:12" ht="16.5" x14ac:dyDescent="0.2">
      <c r="A782" s="4" t="s">
        <v>255</v>
      </c>
      <c r="B782">
        <v>2011</v>
      </c>
      <c r="C782" s="14">
        <f>36.1*(2/3*10)</f>
        <v>240.66666666666666</v>
      </c>
      <c r="D782" s="14">
        <f>3.3*(2/3*10)</f>
        <v>21.999999999999996</v>
      </c>
      <c r="E782" s="14">
        <f>77.4*(2/3*10)</f>
        <v>516</v>
      </c>
      <c r="F782" s="14">
        <f>10.4*(2/3*10)</f>
        <v>69.333333333333329</v>
      </c>
      <c r="G782" s="14">
        <f>35.8*(2/3*10)</f>
        <v>238.66666666666669</v>
      </c>
      <c r="H782" s="14">
        <f>7.9*(2/3*10)</f>
        <v>52.666666666666664</v>
      </c>
      <c r="I782" s="14">
        <f>35.4*(2/3*10)</f>
        <v>235.99999999999997</v>
      </c>
      <c r="K782" s="15">
        <v>779</v>
      </c>
      <c r="L782">
        <f t="shared" si="12"/>
        <v>3</v>
      </c>
    </row>
    <row r="783" spans="1:12" ht="16.5" x14ac:dyDescent="0.2">
      <c r="A783" s="4" t="s">
        <v>255</v>
      </c>
      <c r="B783">
        <v>2012</v>
      </c>
      <c r="C783" s="14">
        <f>35.8*(2/3*10)</f>
        <v>238.66666666666663</v>
      </c>
      <c r="D783" s="14">
        <f>3.3*(2/3*10)</f>
        <v>21.999999999999996</v>
      </c>
      <c r="E783" s="14">
        <f>77.2*(2/3*10)</f>
        <v>514.66666666666663</v>
      </c>
      <c r="F783" s="14">
        <f>10.3*(2/3*10)</f>
        <v>68.666666666666671</v>
      </c>
      <c r="G783" s="14">
        <f>36.7*(2/3*10)</f>
        <v>244.66666666666663</v>
      </c>
      <c r="H783" s="14">
        <f>8*(2/3*10)</f>
        <v>53.333333333333329</v>
      </c>
      <c r="I783" s="14">
        <f>35.1*(2/3*10)</f>
        <v>234</v>
      </c>
      <c r="K783">
        <v>780</v>
      </c>
      <c r="L783">
        <f t="shared" si="12"/>
        <v>4</v>
      </c>
    </row>
    <row r="784" spans="1:12" ht="16.5" x14ac:dyDescent="0.2">
      <c r="A784" s="4" t="s">
        <v>255</v>
      </c>
      <c r="B784">
        <v>2013</v>
      </c>
      <c r="C784" s="14">
        <f>35.6*(2/3*10)</f>
        <v>237.33333333333331</v>
      </c>
      <c r="D784" s="14">
        <f>3.3*(2/3*10)</f>
        <v>21.999999999999996</v>
      </c>
      <c r="E784" s="14">
        <f>76.8*(2/3*10)</f>
        <v>511.99999999999994</v>
      </c>
      <c r="F784" s="14">
        <f>10.3*(2/3*10)</f>
        <v>68.666666666666671</v>
      </c>
      <c r="G784" s="14">
        <f>37.6*(2/3*10)</f>
        <v>250.66666666666666</v>
      </c>
      <c r="H784" s="14">
        <f>8.2*(2/3*10)</f>
        <v>54.666666666666657</v>
      </c>
      <c r="I784" s="14">
        <f>34.6*(2/3*10)</f>
        <v>230.66666666666666</v>
      </c>
      <c r="K784" s="15">
        <v>781</v>
      </c>
      <c r="L784">
        <f t="shared" si="12"/>
        <v>5</v>
      </c>
    </row>
    <row r="785" spans="1:12" ht="16.5" x14ac:dyDescent="0.2">
      <c r="A785" s="4" t="s">
        <v>255</v>
      </c>
      <c r="B785">
        <v>2014</v>
      </c>
      <c r="C785" s="14">
        <f>35.2*(2/3*10)</f>
        <v>234.66666666666666</v>
      </c>
      <c r="D785" s="14">
        <f>3.2*(2/3*10)</f>
        <v>21.333333333333332</v>
      </c>
      <c r="E785" s="14">
        <f>76.6*(2/3*10)</f>
        <v>510.66666666666657</v>
      </c>
      <c r="F785" s="14">
        <f>10.3*(2/3*10)</f>
        <v>68.666666666666671</v>
      </c>
      <c r="G785" s="14">
        <f>38.7*(2/3*10)</f>
        <v>258</v>
      </c>
      <c r="H785" s="14">
        <f>8.3*(2/3*10)</f>
        <v>55.333333333333336</v>
      </c>
      <c r="I785" s="14">
        <f>34.2*(2/3*10)</f>
        <v>228</v>
      </c>
      <c r="K785">
        <v>782</v>
      </c>
      <c r="L785">
        <f t="shared" si="12"/>
        <v>6</v>
      </c>
    </row>
    <row r="786" spans="1:12" ht="16.5" x14ac:dyDescent="0.2">
      <c r="A786" s="4" t="s">
        <v>255</v>
      </c>
      <c r="B786">
        <v>2015</v>
      </c>
      <c r="C786" s="14">
        <f>35.1*(2/3*10)</f>
        <v>234</v>
      </c>
      <c r="D786" s="14">
        <f>3.2*(2/3*10)</f>
        <v>21.333333333333332</v>
      </c>
      <c r="E786" s="14">
        <f>76.5*(2/3*10)</f>
        <v>509.99999999999994</v>
      </c>
      <c r="F786" s="14">
        <f>10.2*(2/3*10)</f>
        <v>67.999999999999986</v>
      </c>
      <c r="G786" s="14">
        <f>39.1*(2/3*10)</f>
        <v>260.66666666666663</v>
      </c>
      <c r="H786" s="14">
        <f>8.4*(2/3*10)</f>
        <v>56</v>
      </c>
      <c r="I786" s="14">
        <f>34.2*(2/3*10)</f>
        <v>228</v>
      </c>
      <c r="K786" s="15">
        <v>783</v>
      </c>
      <c r="L786">
        <f t="shared" si="12"/>
        <v>7</v>
      </c>
    </row>
    <row r="787" spans="1:12" ht="16.5" x14ac:dyDescent="0.2">
      <c r="A787" s="4" t="s">
        <v>255</v>
      </c>
      <c r="B787">
        <v>2016</v>
      </c>
      <c r="C787" s="14">
        <f>34.7*(2/3*10)</f>
        <v>231.33333333333334</v>
      </c>
      <c r="D787" s="14">
        <f>3.2*(2/3*10)</f>
        <v>21.333333333333332</v>
      </c>
      <c r="E787" s="14">
        <f>76.1*(2/3*10)</f>
        <v>507.33333333333326</v>
      </c>
      <c r="F787" s="14">
        <f>10.2*(2/3*10)</f>
        <v>67.999999999999986</v>
      </c>
      <c r="G787" s="14">
        <f>40.2*(2/3*10)</f>
        <v>267.99999999999994</v>
      </c>
      <c r="H787" s="14">
        <f>8.5*(2/3*10)</f>
        <v>56.666666666666664</v>
      </c>
      <c r="I787" s="14">
        <f>33.9*(2/3*10)</f>
        <v>225.99999999999997</v>
      </c>
      <c r="K787">
        <v>784</v>
      </c>
      <c r="L787">
        <f t="shared" si="12"/>
        <v>0</v>
      </c>
    </row>
    <row r="788" spans="1:12" ht="16.5" x14ac:dyDescent="0.2">
      <c r="A788" s="4" t="s">
        <v>254</v>
      </c>
      <c r="B788">
        <v>2009</v>
      </c>
      <c r="C788" s="14">
        <f>289*(2/3*10)</f>
        <v>1926.6666666666665</v>
      </c>
      <c r="D788" s="14">
        <f>93.7*(2/3*10)</f>
        <v>624.66666666666663</v>
      </c>
      <c r="E788" s="14">
        <f>760.3*(2/3*10)</f>
        <v>5068.6666666666661</v>
      </c>
      <c r="F788" s="14">
        <f>12.3*(2/3*10)</f>
        <v>82</v>
      </c>
      <c r="G788" s="14">
        <f>127.5*(2/3*10)</f>
        <v>849.99999999999989</v>
      </c>
      <c r="H788" s="14">
        <f>27.9*(2/3*10)</f>
        <v>185.99999999999997</v>
      </c>
      <c r="I788" s="14">
        <f>164*(2/3*10)</f>
        <v>1093.3333333333333</v>
      </c>
      <c r="K788" s="15">
        <v>785</v>
      </c>
      <c r="L788">
        <f t="shared" si="12"/>
        <v>1</v>
      </c>
    </row>
    <row r="789" spans="1:12" ht="16.5" x14ac:dyDescent="0.2">
      <c r="A789" s="4" t="s">
        <v>254</v>
      </c>
      <c r="B789">
        <v>2010</v>
      </c>
      <c r="C789" s="14">
        <f>288.3*(2/3*10)</f>
        <v>1922</v>
      </c>
      <c r="D789" s="14">
        <f>92.8*(2/3*10)</f>
        <v>618.66666666666663</v>
      </c>
      <c r="E789" s="14">
        <f>759.4*(2/3*10)</f>
        <v>5062.6666666666661</v>
      </c>
      <c r="F789" s="14">
        <f>12.2*(2/3*10)</f>
        <v>81.333333333333314</v>
      </c>
      <c r="G789" s="14">
        <f>129.8*(2/3*10)</f>
        <v>865.33333333333314</v>
      </c>
      <c r="H789" s="14">
        <f>29.1*(2/3*10)</f>
        <v>194</v>
      </c>
      <c r="I789" s="14">
        <f>163*(2/3*10)</f>
        <v>1086.6666666666665</v>
      </c>
      <c r="K789">
        <v>786</v>
      </c>
      <c r="L789">
        <f t="shared" si="12"/>
        <v>2</v>
      </c>
    </row>
    <row r="790" spans="1:12" ht="16.5" x14ac:dyDescent="0.2">
      <c r="A790" s="4" t="s">
        <v>254</v>
      </c>
      <c r="B790">
        <v>2011</v>
      </c>
      <c r="C790" s="14">
        <f>288.3*(2/3*10)</f>
        <v>1922</v>
      </c>
      <c r="D790" s="14">
        <f>91.8*(2/3*10)</f>
        <v>611.99999999999989</v>
      </c>
      <c r="E790" s="14">
        <f>758.8*(2/3*10)</f>
        <v>5058.6666666666661</v>
      </c>
      <c r="F790" s="14">
        <f>12.1*(2/3*10)</f>
        <v>80.666666666666657</v>
      </c>
      <c r="G790" s="14">
        <f>131.3*(2/3*10)</f>
        <v>875.33333333333314</v>
      </c>
      <c r="H790" s="14">
        <f>30*(2/3*10)</f>
        <v>199.99999999999997</v>
      </c>
      <c r="I790" s="14">
        <f>162.2*(2/3*10)</f>
        <v>1081.3333333333333</v>
      </c>
      <c r="K790" s="15">
        <v>787</v>
      </c>
      <c r="L790">
        <f t="shared" si="12"/>
        <v>3</v>
      </c>
    </row>
    <row r="791" spans="1:12" ht="16.5" x14ac:dyDescent="0.2">
      <c r="A791" s="4" t="s">
        <v>254</v>
      </c>
      <c r="B791">
        <v>2012</v>
      </c>
      <c r="C791" s="14">
        <f>288.5*(2/3*10)</f>
        <v>1923.3333333333333</v>
      </c>
      <c r="D791" s="14">
        <f>91.1*(2/3*10)</f>
        <v>607.33333333333326</v>
      </c>
      <c r="E791" s="14">
        <f>758.1*(2/3*10)</f>
        <v>5054</v>
      </c>
      <c r="F791" s="14">
        <f>12*(2/3*10)</f>
        <v>80</v>
      </c>
      <c r="G791" s="14">
        <f>133.7*(2/3*10)</f>
        <v>891.33333333333314</v>
      </c>
      <c r="H791" s="14">
        <f>30.5*(2/3*10)</f>
        <v>203.33333333333331</v>
      </c>
      <c r="I791" s="14">
        <f>160.3*(2/3*10)</f>
        <v>1068.6666666666667</v>
      </c>
      <c r="K791">
        <v>788</v>
      </c>
      <c r="L791">
        <f t="shared" si="12"/>
        <v>4</v>
      </c>
    </row>
    <row r="792" spans="1:12" ht="16.5" x14ac:dyDescent="0.2">
      <c r="A792" s="4" t="s">
        <v>254</v>
      </c>
      <c r="B792">
        <v>2013</v>
      </c>
      <c r="C792" s="14">
        <f>288.8*(2/3*10)</f>
        <v>1925.3333333333333</v>
      </c>
      <c r="D792" s="14">
        <f>90.1*(2/3*10)</f>
        <v>600.66666666666663</v>
      </c>
      <c r="E792" s="14">
        <f>757*(2/3*10)</f>
        <v>5046.6666666666661</v>
      </c>
      <c r="F792" s="14">
        <f>12*(2/3*10)</f>
        <v>80</v>
      </c>
      <c r="G792" s="14">
        <f>136*(2/3*10)</f>
        <v>906.66666666666663</v>
      </c>
      <c r="H792" s="14">
        <f>31*(2/3*10)</f>
        <v>206.66666666666666</v>
      </c>
      <c r="I792" s="14">
        <f>159.4*(2/3*10)</f>
        <v>1062.6666666666665</v>
      </c>
      <c r="K792" s="15">
        <v>789</v>
      </c>
      <c r="L792">
        <f t="shared" si="12"/>
        <v>5</v>
      </c>
    </row>
    <row r="793" spans="1:12" ht="16.5" x14ac:dyDescent="0.2">
      <c r="A793" s="4" t="s">
        <v>254</v>
      </c>
      <c r="B793">
        <v>2014</v>
      </c>
      <c r="C793" s="14">
        <f>288.5*(2/3*10)</f>
        <v>1923.3333333333333</v>
      </c>
      <c r="D793" s="14">
        <f>89.3*(2/3*10)</f>
        <v>595.33333333333326</v>
      </c>
      <c r="E793" s="14">
        <f>756.3*(2/3*10)</f>
        <v>5041.9999999999991</v>
      </c>
      <c r="F793" s="14">
        <f>11.9*(2/3*10)</f>
        <v>79.333333333333329</v>
      </c>
      <c r="G793" s="14">
        <f>138.7*(2/3*10)</f>
        <v>924.66666666666674</v>
      </c>
      <c r="H793" s="14">
        <f>32*(2/3*10)</f>
        <v>213.33333333333331</v>
      </c>
      <c r="I793" s="14">
        <f>157.4*(2/3*10)</f>
        <v>1049.3333333333333</v>
      </c>
      <c r="K793">
        <v>790</v>
      </c>
      <c r="L793">
        <f t="shared" si="12"/>
        <v>6</v>
      </c>
    </row>
    <row r="794" spans="1:12" ht="16.5" x14ac:dyDescent="0.2">
      <c r="A794" s="4" t="s">
        <v>254</v>
      </c>
      <c r="B794">
        <v>2015</v>
      </c>
      <c r="C794" s="14">
        <f>288.8*(2/3*10)</f>
        <v>1925.3333333333333</v>
      </c>
      <c r="D794" s="14">
        <f>88.4*(2/3*10)</f>
        <v>589.33333333333337</v>
      </c>
      <c r="E794" s="14">
        <f>755.3*(2/3*10)</f>
        <v>5035.333333333333</v>
      </c>
      <c r="F794" s="14">
        <f>11.9*(2/3*10)</f>
        <v>79.333333333333329</v>
      </c>
      <c r="G794" s="14">
        <f>140.6*(2/3*10)</f>
        <v>937.33333333333337</v>
      </c>
      <c r="H794" s="14">
        <f>32.8*(2/3*10)</f>
        <v>218.66666666666663</v>
      </c>
      <c r="I794" s="14">
        <f>157.1*(2/3*10)</f>
        <v>1047.3333333333333</v>
      </c>
      <c r="K794" s="15">
        <v>791</v>
      </c>
      <c r="L794">
        <f t="shared" si="12"/>
        <v>7</v>
      </c>
    </row>
    <row r="795" spans="1:12" ht="16.5" x14ac:dyDescent="0.2">
      <c r="A795" s="4" t="s">
        <v>254</v>
      </c>
      <c r="B795">
        <v>2016</v>
      </c>
      <c r="C795" s="14">
        <f>288.5*(2/3*10)</f>
        <v>1923.3333333333333</v>
      </c>
      <c r="D795" s="14">
        <f>87*(2/3*10)</f>
        <v>580</v>
      </c>
      <c r="E795" s="14">
        <f>754.7*(2/3*10)</f>
        <v>5031.333333333333</v>
      </c>
      <c r="F795" s="14">
        <f>11.8*(2/3*10)</f>
        <v>78.666666666666671</v>
      </c>
      <c r="G795" s="14">
        <f>142.9*(2/3*10)</f>
        <v>952.66666666666663</v>
      </c>
      <c r="H795" s="14">
        <f>34*(2/3*10)</f>
        <v>226.66666666666666</v>
      </c>
      <c r="I795" s="14">
        <f>155.9*(2/3*10)</f>
        <v>1039.3333333333333</v>
      </c>
      <c r="K795">
        <v>792</v>
      </c>
      <c r="L795">
        <f t="shared" si="12"/>
        <v>0</v>
      </c>
    </row>
    <row r="796" spans="1:12" ht="16.5" x14ac:dyDescent="0.2">
      <c r="A796" s="4" t="s">
        <v>253</v>
      </c>
      <c r="B796">
        <v>2009</v>
      </c>
      <c r="C796" s="14">
        <f>246.1*(2/3*10)</f>
        <v>1640.6666666666665</v>
      </c>
      <c r="D796" s="14">
        <f>86.4*(2/3*10)</f>
        <v>576</v>
      </c>
      <c r="E796" s="14">
        <f>2047.6*(2/3*10)</f>
        <v>13650.666666666664</v>
      </c>
      <c r="F796" s="14">
        <f>25*(2/3*10)</f>
        <v>166.66666666666666</v>
      </c>
      <c r="G796" s="14">
        <f>51.1*(2/3*10)</f>
        <v>340.66666666666663</v>
      </c>
      <c r="H796" s="14">
        <f>19.6*(2/3*10)</f>
        <v>130.66666666666666</v>
      </c>
      <c r="I796" s="14">
        <f>63.3*(2/3*10)</f>
        <v>421.99999999999994</v>
      </c>
      <c r="K796" s="15">
        <v>793</v>
      </c>
      <c r="L796">
        <f t="shared" si="12"/>
        <v>1</v>
      </c>
    </row>
    <row r="797" spans="1:12" ht="16.5" x14ac:dyDescent="0.2">
      <c r="A797" s="4" t="s">
        <v>253</v>
      </c>
      <c r="B797">
        <v>2010</v>
      </c>
      <c r="C797" s="14">
        <f>248*(2/3*10)</f>
        <v>1653.3333333333333</v>
      </c>
      <c r="D797" s="14">
        <f>85.1*(2/3*10)</f>
        <v>567.33333333333326</v>
      </c>
      <c r="E797" s="14">
        <f>2045.2*(2/3*10)</f>
        <v>13634.666666666666</v>
      </c>
      <c r="F797" s="14">
        <f>24.4*(2/3*10)</f>
        <v>162.66666666666663</v>
      </c>
      <c r="G797" s="14">
        <f>52.2*(2/3*10)</f>
        <v>347.99999999999994</v>
      </c>
      <c r="H797" s="14">
        <f>20.7*(2/3*10)</f>
        <v>137.99999999999997</v>
      </c>
      <c r="I797" s="14">
        <f>63.2*(2/3*10)</f>
        <v>421.33333333333331</v>
      </c>
      <c r="K797">
        <v>794</v>
      </c>
      <c r="L797">
        <f t="shared" si="12"/>
        <v>2</v>
      </c>
    </row>
    <row r="798" spans="1:12" ht="16.5" x14ac:dyDescent="0.2">
      <c r="A798" s="4" t="s">
        <v>253</v>
      </c>
      <c r="B798">
        <v>2011</v>
      </c>
      <c r="C798" s="14">
        <f>249.5*(2/3*10)</f>
        <v>1663.3333333333333</v>
      </c>
      <c r="D798" s="14">
        <f>84.3*(2/3*10)</f>
        <v>561.99999999999989</v>
      </c>
      <c r="E798" s="14">
        <f>2042.1*(2/3*10)</f>
        <v>13613.999999999998</v>
      </c>
      <c r="F798" s="14">
        <f>24.1*(2/3*10)</f>
        <v>160.66666666666666</v>
      </c>
      <c r="G798" s="14">
        <f>53.7*(2/3*10)</f>
        <v>358</v>
      </c>
      <c r="H798" s="14">
        <f>21.5*(2/3*10)</f>
        <v>143.33333333333331</v>
      </c>
      <c r="I798" s="14">
        <f>63.2*(2/3*10)</f>
        <v>421.33333333333331</v>
      </c>
      <c r="K798" s="15">
        <v>795</v>
      </c>
      <c r="L798">
        <f t="shared" si="12"/>
        <v>3</v>
      </c>
    </row>
    <row r="799" spans="1:12" ht="16.5" x14ac:dyDescent="0.2">
      <c r="A799" s="4" t="s">
        <v>253</v>
      </c>
      <c r="B799">
        <v>2012</v>
      </c>
      <c r="C799" s="14">
        <f>252.1*(2/3*10)</f>
        <v>1680.6666666666665</v>
      </c>
      <c r="D799" s="14">
        <f>83.3*(2/3*10)</f>
        <v>555.33333333333326</v>
      </c>
      <c r="E799" s="14">
        <f>2038.6*(2/3*10)</f>
        <v>13590.666666666664</v>
      </c>
      <c r="F799" s="14">
        <f>23.9*(2/3*10)</f>
        <v>159.33333333333331</v>
      </c>
      <c r="G799" s="14">
        <f>55.3*(2/3*10)</f>
        <v>368.66666666666669</v>
      </c>
      <c r="H799" s="14">
        <f>21.6*(2/3*10)</f>
        <v>144</v>
      </c>
      <c r="I799" s="14">
        <f>63.1*(2/3*10)</f>
        <v>420.66666666666663</v>
      </c>
      <c r="K799">
        <v>796</v>
      </c>
      <c r="L799">
        <f t="shared" si="12"/>
        <v>4</v>
      </c>
    </row>
    <row r="800" spans="1:12" ht="16.5" x14ac:dyDescent="0.2">
      <c r="A800" s="4" t="s">
        <v>253</v>
      </c>
      <c r="B800">
        <v>2013</v>
      </c>
      <c r="C800" s="14">
        <f>253.5*(2/3*10)</f>
        <v>1689.9999999999998</v>
      </c>
      <c r="D800" s="14">
        <f>82*(2/3*10)</f>
        <v>546.66666666666663</v>
      </c>
      <c r="E800" s="14">
        <f>2035.5*(2/3*10)</f>
        <v>13569.999999999998</v>
      </c>
      <c r="F800" s="14">
        <f>23.8*(2/3*10)</f>
        <v>158.66666666666666</v>
      </c>
      <c r="G800" s="14">
        <f>58*(2/3*10)</f>
        <v>386.66666666666669</v>
      </c>
      <c r="H800" s="14">
        <f>21.9*(2/3*10)</f>
        <v>145.99999999999997</v>
      </c>
      <c r="I800" s="14">
        <f>63*(2/3*10)</f>
        <v>419.99999999999994</v>
      </c>
      <c r="K800" s="15">
        <v>797</v>
      </c>
      <c r="L800">
        <f t="shared" si="12"/>
        <v>5</v>
      </c>
    </row>
    <row r="801" spans="1:12" ht="16.5" x14ac:dyDescent="0.2">
      <c r="A801" s="4" t="s">
        <v>253</v>
      </c>
      <c r="B801">
        <v>2014</v>
      </c>
      <c r="C801" s="14">
        <f>255.6*(2/3*10)</f>
        <v>1703.9999999999998</v>
      </c>
      <c r="D801" s="14">
        <f>81.2*(2/3*10)</f>
        <v>541.33333333333326</v>
      </c>
      <c r="E801" s="14">
        <f>2032*(2/3*10)</f>
        <v>13546.666666666666</v>
      </c>
      <c r="F801" s="14">
        <f>23.7*(2/3*10)</f>
        <v>157.99999999999997</v>
      </c>
      <c r="G801" s="14">
        <f>60*(2/3*10)</f>
        <v>399.99999999999994</v>
      </c>
      <c r="H801" s="14">
        <f>22.1*(2/3*10)</f>
        <v>147.33333333333334</v>
      </c>
      <c r="I801" s="14">
        <f>63*(2/3*10)</f>
        <v>419.99999999999994</v>
      </c>
      <c r="K801">
        <v>798</v>
      </c>
      <c r="L801">
        <f t="shared" si="12"/>
        <v>6</v>
      </c>
    </row>
    <row r="802" spans="1:12" ht="16.5" x14ac:dyDescent="0.2">
      <c r="A802" s="4" t="s">
        <v>253</v>
      </c>
      <c r="B802">
        <v>2015</v>
      </c>
      <c r="C802" s="14">
        <f>258.6*(2/3*10)</f>
        <v>1724</v>
      </c>
      <c r="D802" s="14">
        <f>80.6*(2/3*10)</f>
        <v>537.33333333333326</v>
      </c>
      <c r="E802" s="14">
        <f>2028.8*(2/3*10)</f>
        <v>13525.333333333332</v>
      </c>
      <c r="F802" s="14">
        <f>23.5*(2/3*10)</f>
        <v>156.66666666666666</v>
      </c>
      <c r="G802" s="14">
        <f>60.6*(2/3*10)</f>
        <v>404</v>
      </c>
      <c r="H802" s="14">
        <f>22.2*(2/3*10)</f>
        <v>147.99999999999997</v>
      </c>
      <c r="I802" s="14">
        <f>62.9*(2/3*10)</f>
        <v>419.33333333333331</v>
      </c>
      <c r="K802" s="15">
        <v>799</v>
      </c>
      <c r="L802">
        <f t="shared" si="12"/>
        <v>7</v>
      </c>
    </row>
    <row r="803" spans="1:12" ht="16.5" x14ac:dyDescent="0.2">
      <c r="A803" s="4" t="s">
        <v>253</v>
      </c>
      <c r="B803">
        <v>2016</v>
      </c>
      <c r="C803" s="14">
        <f>259*(2/3*10)</f>
        <v>1726.6666666666665</v>
      </c>
      <c r="D803" s="14">
        <f>80.2*(2/3*10)</f>
        <v>534.66666666666663</v>
      </c>
      <c r="E803" s="14">
        <f>2027.7*(2/3*10)</f>
        <v>13518</v>
      </c>
      <c r="F803" s="14">
        <f>23.4*(2/3*10)</f>
        <v>155.99999999999997</v>
      </c>
      <c r="G803" s="14">
        <f>61.7*(2/3*10)</f>
        <v>411.33333333333331</v>
      </c>
      <c r="H803" s="14">
        <f>22.4*(2/3*10)</f>
        <v>149.33333333333331</v>
      </c>
      <c r="I803" s="14">
        <f>62.8*(2/3*10)</f>
        <v>418.66666666666663</v>
      </c>
      <c r="K803">
        <v>800</v>
      </c>
      <c r="L803">
        <f t="shared" si="12"/>
        <v>0</v>
      </c>
    </row>
    <row r="804" spans="1:12" ht="16.5" x14ac:dyDescent="0.2">
      <c r="A804" s="4" t="s">
        <v>252</v>
      </c>
      <c r="B804">
        <v>2009</v>
      </c>
      <c r="C804" s="14">
        <f>558.1*(2/3*10)</f>
        <v>3720.6666666666665</v>
      </c>
      <c r="D804" s="14">
        <f>3.8*(2/3*10)</f>
        <v>25.333333333333329</v>
      </c>
      <c r="E804" s="14">
        <f>74.1*(2/3*10)</f>
        <v>493.99999999999994</v>
      </c>
      <c r="F804" s="14">
        <f>1.3*(2/3*10)</f>
        <v>8.6666666666666661</v>
      </c>
      <c r="G804" s="14">
        <f>168.3*(2/3*10)</f>
        <v>1121.9999999999998</v>
      </c>
      <c r="H804" s="14">
        <f>29.8*(2/3*10)</f>
        <v>198.66666666666666</v>
      </c>
      <c r="I804" s="14">
        <f>198*(2/3*10)</f>
        <v>1319.9999999999998</v>
      </c>
      <c r="K804" s="15">
        <v>801</v>
      </c>
      <c r="L804">
        <f t="shared" si="12"/>
        <v>1</v>
      </c>
    </row>
    <row r="805" spans="1:12" ht="16.5" x14ac:dyDescent="0.2">
      <c r="A805" s="4" t="s">
        <v>252</v>
      </c>
      <c r="B805">
        <v>2010</v>
      </c>
      <c r="C805" s="14">
        <f>555.5*(2/3*10)</f>
        <v>3703.333333333333</v>
      </c>
      <c r="D805" s="14">
        <f>3.8*(2/3*10)</f>
        <v>25.333333333333329</v>
      </c>
      <c r="E805" s="14">
        <f>73.9*(2/3*10)</f>
        <v>492.66666666666669</v>
      </c>
      <c r="F805" s="14">
        <f>1.3*(2/3*10)</f>
        <v>8.6666666666666661</v>
      </c>
      <c r="G805" s="14">
        <f>170.6*(2/3*10)</f>
        <v>1137.3333333333333</v>
      </c>
      <c r="H805" s="14">
        <f>30.8*(2/3*10)</f>
        <v>205.33333333333331</v>
      </c>
      <c r="I805" s="14">
        <f>197.3*(2/3*10)</f>
        <v>1315.3333333333333</v>
      </c>
      <c r="K805">
        <v>802</v>
      </c>
      <c r="L805">
        <f t="shared" si="12"/>
        <v>2</v>
      </c>
    </row>
    <row r="806" spans="1:12" ht="16.5" x14ac:dyDescent="0.2">
      <c r="A806" s="4" t="s">
        <v>252</v>
      </c>
      <c r="B806">
        <v>2011</v>
      </c>
      <c r="C806" s="14">
        <f>554*(2/3*10)</f>
        <v>3693.333333333333</v>
      </c>
      <c r="D806" s="14">
        <f>3.7*(2/3*10)</f>
        <v>24.666666666666664</v>
      </c>
      <c r="E806" s="14">
        <f>73.7*(2/3*10)</f>
        <v>491.33333333333331</v>
      </c>
      <c r="F806" s="14">
        <f>1.1*(2/3*10)</f>
        <v>7.333333333333333</v>
      </c>
      <c r="G806" s="14">
        <f>172.6*(2/3*10)</f>
        <v>1150.6666666666665</v>
      </c>
      <c r="H806" s="14">
        <f>31.4*(2/3*10)</f>
        <v>209.33333333333331</v>
      </c>
      <c r="I806" s="14">
        <f>196.7*(2/3*10)</f>
        <v>1311.333333333333</v>
      </c>
      <c r="K806" s="15">
        <v>803</v>
      </c>
      <c r="L806">
        <f t="shared" si="12"/>
        <v>3</v>
      </c>
    </row>
    <row r="807" spans="1:12" ht="16.5" x14ac:dyDescent="0.2">
      <c r="A807" s="4" t="s">
        <v>252</v>
      </c>
      <c r="B807">
        <v>2012</v>
      </c>
      <c r="C807" s="14">
        <f>552.1*(2/3*10)</f>
        <v>3680.6666666666665</v>
      </c>
      <c r="D807" s="14">
        <f>3.7*(2/3*10)</f>
        <v>24.666666666666664</v>
      </c>
      <c r="E807" s="14">
        <f>73.4*(2/3*10)</f>
        <v>489.33333333333331</v>
      </c>
      <c r="F807" s="14">
        <f>1.1*(2/3*10)</f>
        <v>7.333333333333333</v>
      </c>
      <c r="G807" s="14">
        <f>175*(2/3*10)</f>
        <v>1166.6666666666665</v>
      </c>
      <c r="H807" s="14">
        <f>32.2*(2/3*10)</f>
        <v>214.66666666666666</v>
      </c>
      <c r="I807" s="14">
        <f>195.5*(2/3*10)</f>
        <v>1303.3333333333333</v>
      </c>
      <c r="K807">
        <v>804</v>
      </c>
      <c r="L807">
        <f t="shared" si="12"/>
        <v>4</v>
      </c>
    </row>
    <row r="808" spans="1:12" ht="16.5" x14ac:dyDescent="0.2">
      <c r="A808" s="4" t="s">
        <v>252</v>
      </c>
      <c r="B808">
        <v>2013</v>
      </c>
      <c r="C808" s="14">
        <f>552.7*(2/3*10)</f>
        <v>3684.6666666666665</v>
      </c>
      <c r="D808" s="14">
        <f>3.7*(2/3*10)</f>
        <v>24.666666666666664</v>
      </c>
      <c r="E808" s="14">
        <f>73.3*(2/3*10)</f>
        <v>488.66666666666663</v>
      </c>
      <c r="F808" s="14">
        <f>1*(2/3*10)</f>
        <v>6.6666666666666661</v>
      </c>
      <c r="G808" s="14">
        <f>175.5*(2/3*10)</f>
        <v>1170</v>
      </c>
      <c r="H808" s="14">
        <f>32.7*(2/3*10)</f>
        <v>218</v>
      </c>
      <c r="I808" s="14">
        <f>194*(2/3*10)</f>
        <v>1293.3333333333333</v>
      </c>
      <c r="K808" s="15">
        <v>805</v>
      </c>
      <c r="L808">
        <f t="shared" si="12"/>
        <v>5</v>
      </c>
    </row>
    <row r="809" spans="1:12" ht="16.5" x14ac:dyDescent="0.2">
      <c r="A809" s="4" t="s">
        <v>252</v>
      </c>
      <c r="B809">
        <v>2014</v>
      </c>
      <c r="C809" s="14">
        <f>839.9*(2/3*10)</f>
        <v>5599.333333333333</v>
      </c>
      <c r="D809" s="14">
        <f>8.4*(2/3*10)</f>
        <v>56</v>
      </c>
      <c r="E809" s="14">
        <f>161.9*(2/3*10)</f>
        <v>1079.3333333333333</v>
      </c>
      <c r="F809" s="14">
        <f>9.8*(2/3*10)</f>
        <v>65.333333333333329</v>
      </c>
      <c r="G809" s="14">
        <f>255.9*(2/3*10)</f>
        <v>1705.9999999999998</v>
      </c>
      <c r="H809" s="14">
        <f>47.6*(2/3*10)</f>
        <v>317.33333333333331</v>
      </c>
      <c r="I809" s="14">
        <f>352.8*(2/3*10)</f>
        <v>2352</v>
      </c>
      <c r="K809">
        <v>806</v>
      </c>
      <c r="L809">
        <f t="shared" si="12"/>
        <v>6</v>
      </c>
    </row>
    <row r="810" spans="1:12" ht="16.5" x14ac:dyDescent="0.2">
      <c r="A810" s="4" t="s">
        <v>252</v>
      </c>
      <c r="B810">
        <v>2015</v>
      </c>
      <c r="C810" s="14">
        <f>839.6*(2/3*10)</f>
        <v>5597.333333333333</v>
      </c>
      <c r="D810" s="14">
        <f>8.3*(2/3*10)</f>
        <v>55.333333333333336</v>
      </c>
      <c r="E810" s="14">
        <f>161.4*(2/3*10)</f>
        <v>1076</v>
      </c>
      <c r="F810" s="14">
        <f>9.7*(2/3*10)</f>
        <v>64.666666666666657</v>
      </c>
      <c r="G810" s="14">
        <f>257.5*(2/3*10)</f>
        <v>1716.6666666666665</v>
      </c>
      <c r="H810" s="14">
        <f>48.3*(2/3*10)</f>
        <v>321.99999999999994</v>
      </c>
      <c r="I810" s="14">
        <f>351.5*(2/3*10)</f>
        <v>2343.333333333333</v>
      </c>
      <c r="K810" s="15">
        <v>807</v>
      </c>
      <c r="L810">
        <f t="shared" si="12"/>
        <v>7</v>
      </c>
    </row>
    <row r="811" spans="1:12" ht="16.5" x14ac:dyDescent="0.2">
      <c r="A811" s="4" t="s">
        <v>252</v>
      </c>
      <c r="B811">
        <v>2016</v>
      </c>
      <c r="C811" s="14">
        <f>837*(2/3*10)</f>
        <v>5579.9999999999991</v>
      </c>
      <c r="D811" s="14">
        <f>8.3*(2/3*10)</f>
        <v>55.333333333333336</v>
      </c>
      <c r="E811" s="14">
        <f>160.8*(2/3*10)</f>
        <v>1072</v>
      </c>
      <c r="F811" s="14">
        <f>9.6*(2/3*10)</f>
        <v>63.999999999999993</v>
      </c>
      <c r="G811" s="14">
        <f>260.1*(2/3*10)</f>
        <v>1733.9999999999995</v>
      </c>
      <c r="H811" s="14">
        <f>50.3*(2/3*10)</f>
        <v>335.33333333333326</v>
      </c>
      <c r="I811" s="14">
        <f>350.3*(2/3*10)</f>
        <v>2335.333333333333</v>
      </c>
      <c r="K811">
        <v>808</v>
      </c>
      <c r="L811">
        <f t="shared" si="12"/>
        <v>0</v>
      </c>
    </row>
    <row r="812" spans="1:12" ht="16.5" x14ac:dyDescent="0.2">
      <c r="A812" s="4" t="s">
        <v>251</v>
      </c>
      <c r="B812">
        <v>2009</v>
      </c>
      <c r="C812" s="14">
        <f>191.9*(2/3*10)</f>
        <v>1279.3333333333333</v>
      </c>
      <c r="D812" s="14">
        <f>4.5*(2/3*10)</f>
        <v>29.999999999999996</v>
      </c>
      <c r="E812" s="14">
        <f>108.6*(2/3*10)</f>
        <v>723.99999999999989</v>
      </c>
      <c r="F812" s="14">
        <f>3.9*(2/3*10)</f>
        <v>25.999999999999996</v>
      </c>
      <c r="G812" s="14">
        <f>82.3*(2/3*10)</f>
        <v>548.66666666666674</v>
      </c>
      <c r="H812" s="14">
        <f>11.9*(2/3*10)</f>
        <v>79.333333333333329</v>
      </c>
      <c r="I812" s="14">
        <f>91.8*(2/3*10)</f>
        <v>611.99999999999989</v>
      </c>
      <c r="K812" s="15">
        <v>809</v>
      </c>
      <c r="L812">
        <f t="shared" si="12"/>
        <v>1</v>
      </c>
    </row>
    <row r="813" spans="1:12" ht="16.5" x14ac:dyDescent="0.2">
      <c r="A813" s="4" t="s">
        <v>251</v>
      </c>
      <c r="B813">
        <v>2010</v>
      </c>
      <c r="C813" s="14">
        <f>190.3*(2/3*10)</f>
        <v>1268.6666666666667</v>
      </c>
      <c r="D813" s="14">
        <f>4.4*(2/3*10)</f>
        <v>29.333333333333332</v>
      </c>
      <c r="E813" s="14">
        <f>108.4*(2/3*10)</f>
        <v>722.66666666666663</v>
      </c>
      <c r="F813" s="14">
        <f>3.8*(2/3*10)</f>
        <v>25.333333333333329</v>
      </c>
      <c r="G813" s="14">
        <f>84.2*(2/3*10)</f>
        <v>561.33333333333326</v>
      </c>
      <c r="H813" s="14">
        <f>12.7*(2/3*10)</f>
        <v>84.666666666666657</v>
      </c>
      <c r="I813" s="14">
        <f>91.1*(2/3*10)</f>
        <v>607.33333333333326</v>
      </c>
      <c r="K813">
        <v>810</v>
      </c>
      <c r="L813">
        <f t="shared" si="12"/>
        <v>2</v>
      </c>
    </row>
    <row r="814" spans="1:12" ht="16.5" x14ac:dyDescent="0.2">
      <c r="A814" s="4" t="s">
        <v>251</v>
      </c>
      <c r="B814">
        <v>2011</v>
      </c>
      <c r="C814" s="14">
        <f>210.2*(2/3*10)</f>
        <v>1401.333333333333</v>
      </c>
      <c r="D814" s="14">
        <f>4.4*(2/3*10)</f>
        <v>29.333333333333332</v>
      </c>
      <c r="E814" s="14">
        <f>108.2*(2/3*10)</f>
        <v>721.33333333333326</v>
      </c>
      <c r="F814" s="14">
        <f>4*(2/3*10)</f>
        <v>26.666666666666664</v>
      </c>
      <c r="G814" s="14">
        <f>89.9*(2/3*10)</f>
        <v>599.33333333333326</v>
      </c>
      <c r="H814" s="14">
        <f>14.5*(2/3*10)</f>
        <v>96.666666666666657</v>
      </c>
      <c r="I814" s="14">
        <f>97.3*(2/3*10)</f>
        <v>648.66666666666663</v>
      </c>
      <c r="K814" s="15">
        <v>811</v>
      </c>
      <c r="L814">
        <f t="shared" si="12"/>
        <v>3</v>
      </c>
    </row>
    <row r="815" spans="1:12" ht="16.5" x14ac:dyDescent="0.2">
      <c r="A815" s="4" t="s">
        <v>251</v>
      </c>
      <c r="B815">
        <v>2012</v>
      </c>
      <c r="C815" s="14">
        <f>209.4*(2/3*10)</f>
        <v>1396</v>
      </c>
      <c r="D815" s="14">
        <f>4.4*(2/3*10)</f>
        <v>29.333333333333332</v>
      </c>
      <c r="E815" s="14">
        <f>107.8*(2/3*10)</f>
        <v>718.66666666666663</v>
      </c>
      <c r="F815" s="14">
        <f>3.9*(2/3*10)</f>
        <v>25.999999999999996</v>
      </c>
      <c r="G815" s="14">
        <f>91.7*(2/3*10)</f>
        <v>611.33333333333326</v>
      </c>
      <c r="H815" s="14">
        <f>15*(2/3*10)</f>
        <v>99.999999999999986</v>
      </c>
      <c r="I815" s="14">
        <f>96.6*(2/3*10)</f>
        <v>643.99999999999989</v>
      </c>
      <c r="K815">
        <v>812</v>
      </c>
      <c r="L815">
        <f t="shared" si="12"/>
        <v>4</v>
      </c>
    </row>
    <row r="816" spans="1:12" ht="16.5" x14ac:dyDescent="0.2">
      <c r="A816" s="4" t="s">
        <v>251</v>
      </c>
      <c r="B816">
        <v>2013</v>
      </c>
      <c r="C816" s="14">
        <f>225.9*(2/3*10)</f>
        <v>1506</v>
      </c>
      <c r="D816" s="14">
        <f>4.4*(2/3*10)</f>
        <v>29.333333333333332</v>
      </c>
      <c r="E816" s="14">
        <f>107.9*(2/3*10)</f>
        <v>719.33333333333326</v>
      </c>
      <c r="F816" s="14">
        <f>3.8*(2/3*10)</f>
        <v>25.333333333333329</v>
      </c>
      <c r="G816" s="14">
        <f>97.1*(2/3*10)</f>
        <v>647.33333333333326</v>
      </c>
      <c r="H816" s="14">
        <f>16.5*(2/3*10)</f>
        <v>109.99999999999999</v>
      </c>
      <c r="I816" s="14">
        <f>107.2*(2/3*10)</f>
        <v>714.66666666666663</v>
      </c>
      <c r="K816" s="15">
        <v>813</v>
      </c>
      <c r="L816">
        <f t="shared" si="12"/>
        <v>5</v>
      </c>
    </row>
    <row r="817" spans="1:12" ht="16.5" x14ac:dyDescent="0.2">
      <c r="A817" s="4" t="s">
        <v>251</v>
      </c>
      <c r="B817">
        <v>2014</v>
      </c>
      <c r="C817" s="14">
        <f>401.6*(2/3*10)</f>
        <v>2677.333333333333</v>
      </c>
      <c r="D817" s="14">
        <f>5.5*(2/3*10)</f>
        <v>36.666666666666664</v>
      </c>
      <c r="E817" s="14">
        <f>142.6*(2/3*10)</f>
        <v>950.66666666666652</v>
      </c>
      <c r="F817" s="14">
        <f>11.3*(2/3*10)</f>
        <v>75.333333333333329</v>
      </c>
      <c r="G817" s="14">
        <f>134.1*(2/3*10)</f>
        <v>893.99999999999989</v>
      </c>
      <c r="H817" s="14">
        <f>22.5*(2/3*10)</f>
        <v>150</v>
      </c>
      <c r="I817" s="14">
        <f>173.3*(2/3*10)</f>
        <v>1155.3333333333333</v>
      </c>
      <c r="K817">
        <v>814</v>
      </c>
      <c r="L817">
        <f t="shared" si="12"/>
        <v>6</v>
      </c>
    </row>
    <row r="818" spans="1:12" ht="16.5" x14ac:dyDescent="0.2">
      <c r="A818" s="4" t="s">
        <v>251</v>
      </c>
      <c r="B818">
        <v>2015</v>
      </c>
      <c r="C818" s="14">
        <f>401.7*(2/3*10)</f>
        <v>2677.9999999999995</v>
      </c>
      <c r="D818" s="14">
        <f>5.5*(2/3*10)</f>
        <v>36.666666666666664</v>
      </c>
      <c r="E818" s="14">
        <f>142.3*(2/3*10)</f>
        <v>948.66666666666663</v>
      </c>
      <c r="F818" s="14">
        <f>11.1*(2/3*10)</f>
        <v>73.999999999999986</v>
      </c>
      <c r="G818" s="14">
        <f>135*(2/3*10)</f>
        <v>899.99999999999989</v>
      </c>
      <c r="H818" s="14">
        <f>23.2*(2/3*10)</f>
        <v>154.66666666666666</v>
      </c>
      <c r="I818" s="14">
        <f>172.2*(2/3*10)</f>
        <v>1147.9999999999998</v>
      </c>
      <c r="K818" s="15">
        <v>815</v>
      </c>
      <c r="L818">
        <f t="shared" si="12"/>
        <v>7</v>
      </c>
    </row>
    <row r="819" spans="1:12" ht="16.5" x14ac:dyDescent="0.2">
      <c r="A819" s="4" t="s">
        <v>251</v>
      </c>
      <c r="B819">
        <v>2016</v>
      </c>
      <c r="C819" s="14">
        <f>401.5*(2/3*10)</f>
        <v>2676.6666666666665</v>
      </c>
      <c r="D819" s="14">
        <f>5.4*(2/3*10)</f>
        <v>36</v>
      </c>
      <c r="E819" s="14">
        <f>141.8*(2/3*10)</f>
        <v>945.33333333333337</v>
      </c>
      <c r="F819" s="14">
        <f>10.9*(2/3*10)</f>
        <v>72.666666666666657</v>
      </c>
      <c r="G819" s="14">
        <f>136.7*(2/3*10)</f>
        <v>911.33333333333314</v>
      </c>
      <c r="H819" s="14">
        <f>23.4*(2/3*10)</f>
        <v>155.99999999999997</v>
      </c>
      <c r="I819" s="14">
        <f>171.1*(2/3*10)</f>
        <v>1140.6666666666665</v>
      </c>
      <c r="K819">
        <v>816</v>
      </c>
      <c r="L819">
        <f t="shared" si="12"/>
        <v>0</v>
      </c>
    </row>
    <row r="820" spans="1:12" ht="16.5" x14ac:dyDescent="0.2">
      <c r="A820" s="4" t="s">
        <v>250</v>
      </c>
      <c r="B820">
        <v>2009</v>
      </c>
      <c r="C820" s="14">
        <f>568.8*(2/3*10)</f>
        <v>3791.9999999999995</v>
      </c>
      <c r="D820" s="14">
        <f>2*(2/3*10)</f>
        <v>13.333333333333332</v>
      </c>
      <c r="E820" s="14">
        <f>27.3*(2/3*10)</f>
        <v>182</v>
      </c>
      <c r="F820" s="14">
        <f>0.3*(2/3*10)</f>
        <v>1.9999999999999998</v>
      </c>
      <c r="G820" s="14">
        <f>112.2*(2/3*10)</f>
        <v>748</v>
      </c>
      <c r="H820" s="14">
        <f>28.1*(2/3*10)</f>
        <v>187.33333333333331</v>
      </c>
      <c r="I820" s="14">
        <f>147.2*(2/3*10)</f>
        <v>981.33333333333314</v>
      </c>
      <c r="K820" s="15">
        <v>817</v>
      </c>
      <c r="L820">
        <f t="shared" si="12"/>
        <v>1</v>
      </c>
    </row>
    <row r="821" spans="1:12" ht="16.5" x14ac:dyDescent="0.2">
      <c r="A821" s="4" t="s">
        <v>250</v>
      </c>
      <c r="B821">
        <v>2010</v>
      </c>
      <c r="C821" s="14">
        <f>567.6*(2/3*10)</f>
        <v>3784</v>
      </c>
      <c r="D821" s="14">
        <f>2*(2/3*10)</f>
        <v>13.333333333333332</v>
      </c>
      <c r="E821" s="14">
        <f>27.2*(2/3*10)</f>
        <v>181.33333333333331</v>
      </c>
      <c r="F821" s="14">
        <f>0.3*(2/3*10)</f>
        <v>1.9999999999999998</v>
      </c>
      <c r="G821" s="14">
        <f>113.3*(2/3*10)</f>
        <v>755.33333333333326</v>
      </c>
      <c r="H821" s="14">
        <f>28.2*(2/3*10)</f>
        <v>187.99999999999997</v>
      </c>
      <c r="I821" s="14">
        <f>147.2*(2/3*10)</f>
        <v>981.33333333333314</v>
      </c>
      <c r="K821">
        <v>818</v>
      </c>
      <c r="L821">
        <f t="shared" si="12"/>
        <v>2</v>
      </c>
    </row>
    <row r="822" spans="1:12" ht="16.5" x14ac:dyDescent="0.2">
      <c r="A822" s="4" t="s">
        <v>250</v>
      </c>
      <c r="B822">
        <v>2011</v>
      </c>
      <c r="C822" s="14">
        <f>566.6*(2/3*10)</f>
        <v>3777.333333333333</v>
      </c>
      <c r="D822" s="14">
        <f>1.9*(2/3*10)</f>
        <v>12.666666666666664</v>
      </c>
      <c r="E822" s="14">
        <f>27*(2/3*10)</f>
        <v>179.99999999999997</v>
      </c>
      <c r="F822" s="14">
        <f>0.3*(2/3*10)</f>
        <v>1.9999999999999998</v>
      </c>
      <c r="G822" s="14">
        <f>115.2*(2/3*10)</f>
        <v>768</v>
      </c>
      <c r="H822" s="14">
        <f>28.4*(2/3*10)</f>
        <v>189.33333333333331</v>
      </c>
      <c r="I822" s="14">
        <f>146.4*(2/3*10)</f>
        <v>976</v>
      </c>
      <c r="K822" s="15">
        <v>819</v>
      </c>
      <c r="L822">
        <f t="shared" si="12"/>
        <v>3</v>
      </c>
    </row>
    <row r="823" spans="1:12" ht="16.5" x14ac:dyDescent="0.2">
      <c r="A823" s="4" t="s">
        <v>250</v>
      </c>
      <c r="B823">
        <v>2012</v>
      </c>
      <c r="C823" s="14">
        <f>566.6*(2/3*10)</f>
        <v>3777.333333333333</v>
      </c>
      <c r="D823" s="14">
        <f>1.9*(2/3*10)</f>
        <v>12.666666666666664</v>
      </c>
      <c r="E823" s="14">
        <f>26.5*(2/3*10)</f>
        <v>176.66666666666666</v>
      </c>
      <c r="F823" s="14">
        <f>0.3*(2/3*10)</f>
        <v>1.9999999999999998</v>
      </c>
      <c r="G823" s="14">
        <f>116.1*(2/3*10)</f>
        <v>773.99999999999989</v>
      </c>
      <c r="H823" s="14">
        <f>28.9*(2/3*10)</f>
        <v>192.66666666666663</v>
      </c>
      <c r="I823" s="14">
        <f>145.5*(2/3*10)</f>
        <v>969.99999999999989</v>
      </c>
      <c r="K823">
        <v>820</v>
      </c>
      <c r="L823">
        <f t="shared" si="12"/>
        <v>4</v>
      </c>
    </row>
    <row r="824" spans="1:12" ht="16.5" x14ac:dyDescent="0.2">
      <c r="A824" s="4" t="s">
        <v>250</v>
      </c>
      <c r="B824">
        <v>2013</v>
      </c>
      <c r="C824" s="14">
        <f>567.2*(2/3*10)</f>
        <v>3781.3333333333335</v>
      </c>
      <c r="D824" s="14">
        <f>1.9*(2/3*10)</f>
        <v>12.666666666666664</v>
      </c>
      <c r="E824" s="14">
        <f>26*(2/3*10)</f>
        <v>173.33333333333331</v>
      </c>
      <c r="F824" s="14">
        <f>0.3*(2/3*10)</f>
        <v>1.9999999999999998</v>
      </c>
      <c r="G824" s="14">
        <f>116.4*(2/3*10)</f>
        <v>776</v>
      </c>
      <c r="H824" s="14">
        <f>29.1*(2/3*10)</f>
        <v>194</v>
      </c>
      <c r="I824" s="14">
        <f>144.9*(2/3*10)</f>
        <v>966</v>
      </c>
      <c r="K824" s="15">
        <v>821</v>
      </c>
      <c r="L824">
        <f t="shared" si="12"/>
        <v>5</v>
      </c>
    </row>
    <row r="825" spans="1:12" ht="16.5" x14ac:dyDescent="0.2">
      <c r="A825" s="4" t="s">
        <v>250</v>
      </c>
      <c r="B825">
        <v>2014</v>
      </c>
      <c r="C825" s="14">
        <f>565.8*(2/3*10)</f>
        <v>3771.9999999999995</v>
      </c>
      <c r="D825" s="14">
        <f>1.8*(2/3*10)</f>
        <v>12</v>
      </c>
      <c r="E825" s="14">
        <f>25.6*(2/3*10)</f>
        <v>170.66666666666666</v>
      </c>
      <c r="F825" s="14">
        <f>0.3*(2/3*10)</f>
        <v>1.9999999999999998</v>
      </c>
      <c r="G825" s="14">
        <f>118.2*(2/3*10)</f>
        <v>787.99999999999989</v>
      </c>
      <c r="H825" s="14">
        <f>29.5*(2/3*10)</f>
        <v>196.66666666666666</v>
      </c>
      <c r="I825" s="14">
        <f>144.4*(2/3*10)</f>
        <v>962.66666666666663</v>
      </c>
      <c r="K825">
        <v>822</v>
      </c>
      <c r="L825">
        <f t="shared" si="12"/>
        <v>6</v>
      </c>
    </row>
    <row r="826" spans="1:12" ht="16.5" x14ac:dyDescent="0.2">
      <c r="A826" s="4" t="s">
        <v>250</v>
      </c>
      <c r="B826">
        <v>2015</v>
      </c>
      <c r="C826" s="14">
        <f>565.4*(2/3*10)</f>
        <v>3769.333333333333</v>
      </c>
      <c r="D826" s="14">
        <f>1.8*(2/3*10)</f>
        <v>12</v>
      </c>
      <c r="E826" s="14">
        <f>25.3*(2/3*10)</f>
        <v>168.66666666666666</v>
      </c>
      <c r="F826" s="14">
        <f>0.3*(2/3*10)</f>
        <v>1.9999999999999998</v>
      </c>
      <c r="G826" s="14">
        <f>119.5*(2/3*10)</f>
        <v>796.66666666666663</v>
      </c>
      <c r="H826" s="14">
        <f>29.8*(2/3*10)</f>
        <v>198.66666666666666</v>
      </c>
      <c r="I826" s="14">
        <f>143.6*(2/3*10)</f>
        <v>957.33333333333326</v>
      </c>
      <c r="K826" s="15">
        <v>823</v>
      </c>
      <c r="L826">
        <f t="shared" si="12"/>
        <v>7</v>
      </c>
    </row>
    <row r="827" spans="1:12" ht="16.5" x14ac:dyDescent="0.2">
      <c r="A827" s="4" t="s">
        <v>250</v>
      </c>
      <c r="B827">
        <v>2016</v>
      </c>
      <c r="C827" s="14">
        <f>565.8*(2/3*10)</f>
        <v>3771.9999999999995</v>
      </c>
      <c r="D827" s="14">
        <f>1.8*(2/3*10)</f>
        <v>12</v>
      </c>
      <c r="E827" s="14">
        <f>24.9*(2/3*10)</f>
        <v>165.99999999999997</v>
      </c>
      <c r="F827" s="14">
        <f>0.3*(2/3*10)</f>
        <v>1.9999999999999998</v>
      </c>
      <c r="G827" s="14">
        <f>119.3*(2/3*10)</f>
        <v>795.33333333333326</v>
      </c>
      <c r="H827" s="14">
        <f>30.1*(2/3*10)</f>
        <v>200.66666666666666</v>
      </c>
      <c r="I827" s="14">
        <f>143.4*(2/3*10)</f>
        <v>956</v>
      </c>
      <c r="K827">
        <v>824</v>
      </c>
      <c r="L827">
        <f t="shared" si="12"/>
        <v>0</v>
      </c>
    </row>
    <row r="828" spans="1:12" ht="16.5" x14ac:dyDescent="0.2">
      <c r="A828" s="4" t="s">
        <v>249</v>
      </c>
      <c r="B828">
        <v>2009</v>
      </c>
      <c r="C828" s="14">
        <f>219.5*(2/3*10)</f>
        <v>1463.3333333333333</v>
      </c>
      <c r="D828" s="14">
        <f>2.8*(2/3*10)</f>
        <v>18.666666666666664</v>
      </c>
      <c r="E828" s="14">
        <f>9.1*(2/3*10)</f>
        <v>60.666666666666657</v>
      </c>
      <c r="F828" s="14">
        <f>0.9*(2/3*10)</f>
        <v>6</v>
      </c>
      <c r="G828" s="14">
        <f>56.6*(2/3*10)</f>
        <v>377.33333333333326</v>
      </c>
      <c r="H828" s="14">
        <f>13.5*(2/3*10)</f>
        <v>89.999999999999986</v>
      </c>
      <c r="I828" s="14">
        <f>80.9*(2/3*10)</f>
        <v>539.33333333333337</v>
      </c>
      <c r="K828" s="15">
        <v>825</v>
      </c>
      <c r="L828">
        <f t="shared" si="12"/>
        <v>1</v>
      </c>
    </row>
    <row r="829" spans="1:12" ht="16.5" x14ac:dyDescent="0.2">
      <c r="A829" s="4" t="s">
        <v>249</v>
      </c>
      <c r="B829">
        <v>2010</v>
      </c>
      <c r="C829" s="14">
        <f>217.4*(2/3*10)</f>
        <v>1449.3333333333333</v>
      </c>
      <c r="D829" s="14">
        <f>3*(2/3*10)</f>
        <v>20</v>
      </c>
      <c r="E829" s="14">
        <f>8.9*(2/3*10)</f>
        <v>59.333333333333329</v>
      </c>
      <c r="F829" s="14">
        <f>0.9*(2/3*10)</f>
        <v>6</v>
      </c>
      <c r="G829" s="14">
        <f>59.7*(2/3*10)</f>
        <v>397.99999999999994</v>
      </c>
      <c r="H829" s="14">
        <f>13.3*(2/3*10)</f>
        <v>88.666666666666657</v>
      </c>
      <c r="I829" s="14">
        <f>80.1*(2/3*10)</f>
        <v>533.99999999999989</v>
      </c>
      <c r="K829">
        <v>826</v>
      </c>
      <c r="L829">
        <f t="shared" si="12"/>
        <v>2</v>
      </c>
    </row>
    <row r="830" spans="1:12" ht="16.5" x14ac:dyDescent="0.2">
      <c r="A830" s="4" t="s">
        <v>249</v>
      </c>
      <c r="B830">
        <v>2011</v>
      </c>
      <c r="C830" s="14">
        <f>216.8*(2/3*10)</f>
        <v>1445.3333333333333</v>
      </c>
      <c r="D830" s="14">
        <f>3*(2/3*10)</f>
        <v>20</v>
      </c>
      <c r="E830" s="14">
        <f>8.8*(2/3*10)</f>
        <v>58.666666666666664</v>
      </c>
      <c r="F830" s="14">
        <f>0.9*(2/3*10)</f>
        <v>6</v>
      </c>
      <c r="G830" s="14">
        <f>61.2*(2/3*10)</f>
        <v>408</v>
      </c>
      <c r="H830" s="14">
        <f>13.4*(2/3*10)</f>
        <v>89.333333333333329</v>
      </c>
      <c r="I830" s="14">
        <f>79.2*(2/3*10)</f>
        <v>528</v>
      </c>
      <c r="K830" s="15">
        <v>827</v>
      </c>
      <c r="L830">
        <f t="shared" si="12"/>
        <v>3</v>
      </c>
    </row>
    <row r="831" spans="1:12" ht="16.5" x14ac:dyDescent="0.2">
      <c r="A831" s="4" t="s">
        <v>249</v>
      </c>
      <c r="B831">
        <v>2012</v>
      </c>
      <c r="C831" s="14">
        <f>216.7*(2/3*10)</f>
        <v>1444.6666666666665</v>
      </c>
      <c r="D831" s="14">
        <f>3*(2/3*10)</f>
        <v>20</v>
      </c>
      <c r="E831" s="14">
        <f>8.7*(2/3*10)</f>
        <v>57.999999999999993</v>
      </c>
      <c r="F831" s="14">
        <f>0.8*(2/3*10)</f>
        <v>5.333333333333333</v>
      </c>
      <c r="G831" s="14">
        <f>62.7*(2/3*10)</f>
        <v>417.99999999999994</v>
      </c>
      <c r="H831" s="14">
        <f>13.6*(2/3*10)</f>
        <v>90.666666666666657</v>
      </c>
      <c r="I831" s="14">
        <f>77.7*(2/3*10)</f>
        <v>518</v>
      </c>
      <c r="K831">
        <v>828</v>
      </c>
      <c r="L831">
        <f t="shared" si="12"/>
        <v>4</v>
      </c>
    </row>
    <row r="832" spans="1:12" ht="16.5" x14ac:dyDescent="0.2">
      <c r="A832" s="4" t="s">
        <v>249</v>
      </c>
      <c r="B832">
        <v>2013</v>
      </c>
      <c r="C832" s="14">
        <f>216.8*(2/3*10)</f>
        <v>1445.3333333333333</v>
      </c>
      <c r="D832" s="14">
        <f>2.9*(2/3*10)</f>
        <v>19.333333333333332</v>
      </c>
      <c r="E832" s="14">
        <f>8.6*(2/3*10)</f>
        <v>57.333333333333329</v>
      </c>
      <c r="F832" s="14">
        <f>0.8*(2/3*10)</f>
        <v>5.333333333333333</v>
      </c>
      <c r="G832" s="14">
        <f>63.4*(2/3*10)</f>
        <v>422.66666666666663</v>
      </c>
      <c r="H832" s="14">
        <f>13.7*(2/3*10)</f>
        <v>91.333333333333314</v>
      </c>
      <c r="I832" s="14">
        <f>77*(2/3*10)</f>
        <v>513.33333333333326</v>
      </c>
      <c r="K832" s="15">
        <v>829</v>
      </c>
      <c r="L832">
        <f t="shared" si="12"/>
        <v>5</v>
      </c>
    </row>
    <row r="833" spans="1:12" ht="16.5" x14ac:dyDescent="0.2">
      <c r="A833" s="4" t="s">
        <v>249</v>
      </c>
      <c r="B833">
        <v>2014</v>
      </c>
      <c r="C833" s="14">
        <f>216.5*(2/3*10)</f>
        <v>1443.3333333333333</v>
      </c>
      <c r="D833" s="14">
        <f>2.9*(2/3*10)</f>
        <v>19.333333333333332</v>
      </c>
      <c r="E833" s="14">
        <f>8.5*(2/3*10)</f>
        <v>56.666666666666664</v>
      </c>
      <c r="F833" s="14">
        <f>0.8*(2/3*10)</f>
        <v>5.333333333333333</v>
      </c>
      <c r="G833" s="14">
        <f>63.6*(2/3*10)</f>
        <v>424</v>
      </c>
      <c r="H833" s="14">
        <f>14.3*(2/3*10)</f>
        <v>95.333333333333329</v>
      </c>
      <c r="I833" s="14">
        <f>76.7*(2/3*10)</f>
        <v>511.33333333333331</v>
      </c>
      <c r="K833">
        <v>830</v>
      </c>
      <c r="L833">
        <f t="shared" si="12"/>
        <v>6</v>
      </c>
    </row>
    <row r="834" spans="1:12" ht="16.5" x14ac:dyDescent="0.2">
      <c r="A834" s="4" t="s">
        <v>249</v>
      </c>
      <c r="B834">
        <v>2015</v>
      </c>
      <c r="C834" s="14">
        <f>216.4*(2/3*10)</f>
        <v>1442.6666666666665</v>
      </c>
      <c r="D834" s="14">
        <f>2.9*(2/3*10)</f>
        <v>19.333333333333332</v>
      </c>
      <c r="E834" s="14">
        <f>8.5*(2/3*10)</f>
        <v>56.666666666666664</v>
      </c>
      <c r="F834" s="14">
        <f>0.8*(2/3*10)</f>
        <v>5.333333333333333</v>
      </c>
      <c r="G834" s="14">
        <f>63.9*(2/3*10)</f>
        <v>425.99999999999994</v>
      </c>
      <c r="H834" s="14">
        <f>14.3*(2/3*10)</f>
        <v>95.333333333333329</v>
      </c>
      <c r="I834" s="14">
        <f>76.4*(2/3*10)</f>
        <v>509.33333333333331</v>
      </c>
      <c r="K834" s="15">
        <v>831</v>
      </c>
      <c r="L834">
        <f t="shared" si="12"/>
        <v>7</v>
      </c>
    </row>
    <row r="835" spans="1:12" ht="16.5" x14ac:dyDescent="0.2">
      <c r="A835" s="4" t="s">
        <v>249</v>
      </c>
      <c r="B835">
        <v>2016</v>
      </c>
      <c r="C835" s="14">
        <f>510.5*(2/3*10)</f>
        <v>3403.333333333333</v>
      </c>
      <c r="D835" s="14">
        <f>3.3*(2/3*10)</f>
        <v>21.999999999999996</v>
      </c>
      <c r="E835" s="14">
        <f>10.6*(2/3*10)</f>
        <v>70.666666666666657</v>
      </c>
      <c r="F835" s="14">
        <f>0.8*(2/3*10)</f>
        <v>5.333333333333333</v>
      </c>
      <c r="G835" s="14">
        <f>108*(2/3*10)</f>
        <v>719.99999999999989</v>
      </c>
      <c r="H835" s="14">
        <f>24.9*(2/3*10)</f>
        <v>165.99999999999997</v>
      </c>
      <c r="I835" s="14">
        <f>166*(2/3*10)</f>
        <v>1106.6666666666665</v>
      </c>
      <c r="K835">
        <v>832</v>
      </c>
      <c r="L835">
        <f t="shared" si="12"/>
        <v>0</v>
      </c>
    </row>
    <row r="836" spans="1:12" ht="16.5" x14ac:dyDescent="0.2">
      <c r="A836" s="4" t="s">
        <v>248</v>
      </c>
      <c r="B836">
        <v>2009</v>
      </c>
      <c r="C836" s="14">
        <f>99.4*(2/3*10)</f>
        <v>662.66666666666663</v>
      </c>
      <c r="D836" s="14">
        <f>0.7*(2/3*10)</f>
        <v>4.6666666666666661</v>
      </c>
      <c r="E836" s="14">
        <f>21.9*(2/3*10)</f>
        <v>145.99999999999997</v>
      </c>
      <c r="F836" s="14">
        <f>0.8*(2/3*10)</f>
        <v>5.333333333333333</v>
      </c>
      <c r="G836" s="14">
        <f>42.2*(2/3*10)</f>
        <v>281.33333333333326</v>
      </c>
      <c r="H836" s="14">
        <f>4.3*(2/3*10)</f>
        <v>28.666666666666664</v>
      </c>
      <c r="I836" s="14">
        <f>84.3*(2/3*10)</f>
        <v>561.99999999999989</v>
      </c>
      <c r="K836" s="15">
        <v>833</v>
      </c>
      <c r="L836">
        <f t="shared" si="12"/>
        <v>1</v>
      </c>
    </row>
    <row r="837" spans="1:12" ht="16.5" x14ac:dyDescent="0.2">
      <c r="A837" s="4" t="s">
        <v>248</v>
      </c>
      <c r="B837">
        <v>2010</v>
      </c>
      <c r="C837" s="14">
        <f>99*(2/3*10)</f>
        <v>659.99999999999989</v>
      </c>
      <c r="D837" s="14">
        <f>0.7*(2/3*10)</f>
        <v>4.6666666666666661</v>
      </c>
      <c r="E837" s="14">
        <f>21.8*(2/3*10)</f>
        <v>145.33333333333331</v>
      </c>
      <c r="F837" s="14">
        <f>0.8*(2/3*10)</f>
        <v>5.333333333333333</v>
      </c>
      <c r="G837" s="14">
        <f>42.8*(2/3*10)</f>
        <v>285.33333333333331</v>
      </c>
      <c r="H837" s="14">
        <f>4.6*(2/3*10)</f>
        <v>30.666666666666661</v>
      </c>
      <c r="I837" s="14">
        <f>84*(2/3*10)</f>
        <v>560</v>
      </c>
      <c r="K837">
        <v>834</v>
      </c>
      <c r="L837">
        <f t="shared" ref="L837:L899" si="13">MOD(K837,8)</f>
        <v>2</v>
      </c>
    </row>
    <row r="838" spans="1:12" ht="16.5" x14ac:dyDescent="0.2">
      <c r="A838" s="4" t="s">
        <v>248</v>
      </c>
      <c r="B838">
        <v>2011</v>
      </c>
      <c r="C838" s="14">
        <f>98.3*(2/3*10)</f>
        <v>655.33333333333326</v>
      </c>
      <c r="D838" s="14">
        <f>0.7*(2/3*10)</f>
        <v>4.6666666666666661</v>
      </c>
      <c r="E838" s="14">
        <f>21.7*(2/3*10)</f>
        <v>144.66666666666666</v>
      </c>
      <c r="F838" s="14">
        <f>0.8*(2/3*10)</f>
        <v>5.333333333333333</v>
      </c>
      <c r="G838" s="14">
        <f>44.2*(2/3*10)</f>
        <v>294.66666666666669</v>
      </c>
      <c r="H838" s="14">
        <f>5*(2/3*10)</f>
        <v>33.333333333333329</v>
      </c>
      <c r="I838" s="14">
        <f>83.1*(2/3*10)</f>
        <v>553.99999999999989</v>
      </c>
      <c r="K838" s="15">
        <v>835</v>
      </c>
      <c r="L838">
        <f t="shared" si="13"/>
        <v>3</v>
      </c>
    </row>
    <row r="839" spans="1:12" ht="16.5" x14ac:dyDescent="0.2">
      <c r="A839" s="4" t="s">
        <v>248</v>
      </c>
      <c r="B839">
        <v>2012</v>
      </c>
      <c r="C839" s="14">
        <f>97.9*(2/3*10)</f>
        <v>652.66666666666663</v>
      </c>
      <c r="D839" s="14">
        <f>0.7*(2/3*10)</f>
        <v>4.6666666666666661</v>
      </c>
      <c r="E839" s="14">
        <f>21.6*(2/3*10)</f>
        <v>144</v>
      </c>
      <c r="F839" s="14">
        <f>0.7*(2/3*10)</f>
        <v>4.6666666666666661</v>
      </c>
      <c r="G839" s="14">
        <f>45.4*(2/3*10)</f>
        <v>302.66666666666663</v>
      </c>
      <c r="H839" s="14">
        <f>5.2*(2/3*10)</f>
        <v>34.666666666666664</v>
      </c>
      <c r="I839" s="14">
        <f>82.2*(2/3*10)</f>
        <v>548</v>
      </c>
      <c r="K839">
        <v>836</v>
      </c>
      <c r="L839">
        <f t="shared" si="13"/>
        <v>4</v>
      </c>
    </row>
    <row r="840" spans="1:12" ht="16.5" x14ac:dyDescent="0.2">
      <c r="A840" s="4" t="s">
        <v>248</v>
      </c>
      <c r="B840">
        <v>2013</v>
      </c>
      <c r="C840" s="14">
        <f>97.7*(2/3*10)</f>
        <v>651.33333333333326</v>
      </c>
      <c r="D840" s="14">
        <f>0.6*(2/3*10)</f>
        <v>3.9999999999999996</v>
      </c>
      <c r="E840" s="14">
        <f>21.6*(2/3*10)</f>
        <v>144</v>
      </c>
      <c r="F840" s="14">
        <f>0.7*(2/3*10)</f>
        <v>4.6666666666666661</v>
      </c>
      <c r="G840" s="14">
        <f>46*(2/3*10)</f>
        <v>306.66666666666663</v>
      </c>
      <c r="H840" s="14">
        <f>5.3*(2/3*10)</f>
        <v>35.333333333333329</v>
      </c>
      <c r="I840" s="14">
        <f>81.6*(2/3*10)</f>
        <v>543.99999999999989</v>
      </c>
      <c r="K840" s="15">
        <v>837</v>
      </c>
      <c r="L840">
        <f t="shared" si="13"/>
        <v>5</v>
      </c>
    </row>
    <row r="841" spans="1:12" ht="16.5" x14ac:dyDescent="0.2">
      <c r="A841" s="4" t="s">
        <v>248</v>
      </c>
      <c r="B841">
        <v>2014</v>
      </c>
      <c r="C841" s="14">
        <f>262.4*(2/3*10)</f>
        <v>1749.333333333333</v>
      </c>
      <c r="D841" s="14">
        <f>1.7*(2/3*10)</f>
        <v>11.333333333333332</v>
      </c>
      <c r="E841" s="14">
        <f>88.5*(2/3*10)</f>
        <v>590</v>
      </c>
      <c r="F841" s="14">
        <f>4.7*(2/3*10)</f>
        <v>31.333333333333332</v>
      </c>
      <c r="G841" s="14">
        <f>83*(2/3*10)</f>
        <v>553.33333333333326</v>
      </c>
      <c r="H841" s="14">
        <f>12.7*(2/3*10)</f>
        <v>84.666666666666657</v>
      </c>
      <c r="I841" s="14">
        <f>145.7*(2/3*10)</f>
        <v>971.33333333333314</v>
      </c>
      <c r="K841">
        <v>838</v>
      </c>
      <c r="L841">
        <f t="shared" si="13"/>
        <v>6</v>
      </c>
    </row>
    <row r="842" spans="1:12" ht="16.5" x14ac:dyDescent="0.2">
      <c r="A842" s="4" t="s">
        <v>248</v>
      </c>
      <c r="B842">
        <v>2015</v>
      </c>
      <c r="C842" s="14">
        <f>262.4*(2/3*10)</f>
        <v>1749.333333333333</v>
      </c>
      <c r="D842" s="14">
        <f>1.7*(2/3*10)</f>
        <v>11.333333333333332</v>
      </c>
      <c r="E842" s="14">
        <f>88.5*(2/3*10)</f>
        <v>590</v>
      </c>
      <c r="F842" s="14">
        <f>4.6*(2/3*10)</f>
        <v>30.666666666666661</v>
      </c>
      <c r="G842" s="14">
        <f>83.4*(2/3*10)</f>
        <v>556</v>
      </c>
      <c r="H842" s="14">
        <f>12.9*(2/3*10)</f>
        <v>86</v>
      </c>
      <c r="I842" s="14">
        <f>145*(2/3*10)</f>
        <v>966.66666666666663</v>
      </c>
      <c r="K842" s="15">
        <v>839</v>
      </c>
      <c r="L842">
        <f t="shared" si="13"/>
        <v>7</v>
      </c>
    </row>
    <row r="843" spans="1:12" ht="16.5" x14ac:dyDescent="0.2">
      <c r="A843" s="4" t="s">
        <v>248</v>
      </c>
      <c r="B843">
        <v>2016</v>
      </c>
      <c r="C843" s="14">
        <f>261.7*(2/3*10)</f>
        <v>1744.6666666666665</v>
      </c>
      <c r="D843" s="14">
        <f>1.7*(2/3*10)</f>
        <v>11.333333333333332</v>
      </c>
      <c r="E843" s="14">
        <f>88.3*(2/3*10)</f>
        <v>588.66666666666663</v>
      </c>
      <c r="F843" s="14">
        <f>4.5*(2/3*10)</f>
        <v>29.999999999999996</v>
      </c>
      <c r="G843" s="14">
        <f>84.9*(2/3*10)</f>
        <v>566</v>
      </c>
      <c r="H843" s="14">
        <f>13.2*(2/3*10)</f>
        <v>87.999999999999986</v>
      </c>
      <c r="I843" s="14">
        <f>144.3*(2/3*10)</f>
        <v>962</v>
      </c>
      <c r="K843">
        <v>840</v>
      </c>
      <c r="L843">
        <f t="shared" si="13"/>
        <v>0</v>
      </c>
    </row>
    <row r="844" spans="1:12" ht="16.5" x14ac:dyDescent="0.2">
      <c r="A844" s="4" t="s">
        <v>247</v>
      </c>
      <c r="B844">
        <v>2009</v>
      </c>
      <c r="C844" s="14">
        <f>255.5*(2/3*10)</f>
        <v>1703.3333333333333</v>
      </c>
      <c r="D844" s="14">
        <f>4.6*(2/3*10)</f>
        <v>30.666666666666661</v>
      </c>
      <c r="E844" s="14">
        <f>12.7*(2/3*10)</f>
        <v>84.666666666666657</v>
      </c>
      <c r="F844" s="14">
        <f>0.7*(2/3*10)</f>
        <v>4.6666666666666661</v>
      </c>
      <c r="G844" s="14">
        <f>71.4*(2/3*10)</f>
        <v>475.99999999999989</v>
      </c>
      <c r="H844" s="14">
        <f>15.7*(2/3*10)</f>
        <v>104.66666666666666</v>
      </c>
      <c r="I844" s="14">
        <f>41.1*(2/3*10)</f>
        <v>274</v>
      </c>
      <c r="K844" s="15">
        <v>841</v>
      </c>
      <c r="L844">
        <f t="shared" si="13"/>
        <v>1</v>
      </c>
    </row>
    <row r="845" spans="1:12" ht="16.5" x14ac:dyDescent="0.2">
      <c r="A845" s="4" t="s">
        <v>247</v>
      </c>
      <c r="B845">
        <v>2010</v>
      </c>
      <c r="C845" s="14">
        <f>254.1*(2/3*10)</f>
        <v>1693.9999999999998</v>
      </c>
      <c r="D845" s="14">
        <f>4.4*(2/3*10)</f>
        <v>29.333333333333332</v>
      </c>
      <c r="E845" s="14">
        <f>12.6*(2/3*10)</f>
        <v>83.999999999999986</v>
      </c>
      <c r="F845" s="14">
        <f>0.7*(2/3*10)</f>
        <v>4.6666666666666661</v>
      </c>
      <c r="G845" s="14">
        <f>72.9*(2/3*10)</f>
        <v>485.99999999999989</v>
      </c>
      <c r="H845" s="14">
        <f>16.1*(2/3*10)</f>
        <v>107.33333333333333</v>
      </c>
      <c r="I845" s="14">
        <f>41*(2/3*10)</f>
        <v>273.33333333333331</v>
      </c>
      <c r="K845">
        <v>842</v>
      </c>
      <c r="L845">
        <f t="shared" si="13"/>
        <v>2</v>
      </c>
    </row>
    <row r="846" spans="1:12" ht="16.5" x14ac:dyDescent="0.2">
      <c r="A846" s="4" t="s">
        <v>247</v>
      </c>
      <c r="B846">
        <v>2011</v>
      </c>
      <c r="C846" s="14">
        <f>253.4*(2/3*10)</f>
        <v>1689.3333333333333</v>
      </c>
      <c r="D846" s="14">
        <f>4.3*(2/3*10)</f>
        <v>28.666666666666664</v>
      </c>
      <c r="E846" s="14">
        <f>12.5*(2/3*10)</f>
        <v>83.333333333333329</v>
      </c>
      <c r="F846" s="14">
        <f>0.7*(2/3*10)</f>
        <v>4.6666666666666661</v>
      </c>
      <c r="G846" s="14">
        <f>73.5*(2/3*10)</f>
        <v>489.99999999999994</v>
      </c>
      <c r="H846" s="14">
        <f>16.5*(2/3*10)</f>
        <v>109.99999999999999</v>
      </c>
      <c r="I846" s="14">
        <f>40.8*(2/3*10)</f>
        <v>271.99999999999994</v>
      </c>
      <c r="K846" s="15">
        <v>843</v>
      </c>
      <c r="L846">
        <f t="shared" si="13"/>
        <v>3</v>
      </c>
    </row>
    <row r="847" spans="1:12" ht="16.5" x14ac:dyDescent="0.2">
      <c r="A847" s="4" t="s">
        <v>247</v>
      </c>
      <c r="B847">
        <v>2012</v>
      </c>
      <c r="C847" s="14">
        <f>252.9*(2/3*10)</f>
        <v>1686</v>
      </c>
      <c r="D847" s="14">
        <f>4.3*(2/3*10)</f>
        <v>28.666666666666664</v>
      </c>
      <c r="E847" s="14">
        <f>12.3*(2/3*10)</f>
        <v>82</v>
      </c>
      <c r="F847" s="14">
        <f>0.8*(2/3*10)</f>
        <v>5.333333333333333</v>
      </c>
      <c r="G847" s="14">
        <f>73.9*(2/3*10)</f>
        <v>492.66666666666657</v>
      </c>
      <c r="H847" s="14">
        <f>16.9*(2/3*10)</f>
        <v>112.66666666666664</v>
      </c>
      <c r="I847" s="14">
        <f>40.4*(2/3*10)</f>
        <v>269.33333333333331</v>
      </c>
      <c r="K847">
        <v>844</v>
      </c>
      <c r="L847">
        <f t="shared" si="13"/>
        <v>4</v>
      </c>
    </row>
    <row r="848" spans="1:12" ht="16.5" x14ac:dyDescent="0.2">
      <c r="A848" s="4" t="s">
        <v>247</v>
      </c>
      <c r="B848">
        <v>2013</v>
      </c>
      <c r="C848" s="14">
        <f>252.8*(2/3*10)</f>
        <v>1685.3333333333333</v>
      </c>
      <c r="D848" s="14">
        <f>4.2*(2/3*10)</f>
        <v>28</v>
      </c>
      <c r="E848" s="14">
        <f>12.3*(2/3*10)</f>
        <v>82</v>
      </c>
      <c r="F848" s="14">
        <f>0.9*(2/3*10)</f>
        <v>6</v>
      </c>
      <c r="G848" s="14">
        <f>74*(2/3*10)</f>
        <v>493.33333333333331</v>
      </c>
      <c r="H848" s="14">
        <f>16.9*(2/3*10)</f>
        <v>112.66666666666664</v>
      </c>
      <c r="I848" s="14">
        <f>40.3*(2/3*10)</f>
        <v>268.66666666666663</v>
      </c>
      <c r="K848" s="15">
        <v>845</v>
      </c>
      <c r="L848">
        <f t="shared" si="13"/>
        <v>5</v>
      </c>
    </row>
    <row r="849" spans="1:12" ht="16.5" x14ac:dyDescent="0.2">
      <c r="A849" s="4" t="s">
        <v>247</v>
      </c>
      <c r="B849">
        <v>2014</v>
      </c>
      <c r="C849" s="14">
        <f>252.1*(2/3*10)</f>
        <v>1680.6666666666665</v>
      </c>
      <c r="D849" s="14">
        <f>4.2*(2/3*10)</f>
        <v>28</v>
      </c>
      <c r="E849" s="14">
        <f>12.1*(2/3*10)</f>
        <v>80.666666666666657</v>
      </c>
      <c r="F849" s="14">
        <f>0.9*(2/3*10)</f>
        <v>6</v>
      </c>
      <c r="G849" s="14">
        <f>75.1*(2/3*10)</f>
        <v>500.66666666666657</v>
      </c>
      <c r="H849" s="14">
        <f>17*(2/3*10)</f>
        <v>113.33333333333333</v>
      </c>
      <c r="I849" s="14">
        <f>39.9*(2/3*10)</f>
        <v>265.99999999999994</v>
      </c>
      <c r="K849">
        <v>846</v>
      </c>
      <c r="L849">
        <f t="shared" si="13"/>
        <v>6</v>
      </c>
    </row>
    <row r="850" spans="1:12" ht="16.5" x14ac:dyDescent="0.2">
      <c r="A850" s="4" t="s">
        <v>247</v>
      </c>
      <c r="B850">
        <v>2015</v>
      </c>
      <c r="C850" s="14">
        <f>252*(2/3*10)</f>
        <v>1679.9999999999998</v>
      </c>
      <c r="D850" s="14">
        <f>4.2*(2/3*10)</f>
        <v>28</v>
      </c>
      <c r="E850" s="14">
        <f>12.1*(2/3*10)</f>
        <v>80.666666666666657</v>
      </c>
      <c r="F850" s="14">
        <f>0.9*(2/3*10)</f>
        <v>6</v>
      </c>
      <c r="G850" s="14">
        <f>75.2*(2/3*10)</f>
        <v>501.33333333333331</v>
      </c>
      <c r="H850" s="14">
        <f>17.3*(2/3*10)</f>
        <v>115.33333333333333</v>
      </c>
      <c r="I850" s="14">
        <f>39.6*(2/3*10)</f>
        <v>264</v>
      </c>
      <c r="K850" s="15">
        <v>847</v>
      </c>
      <c r="L850">
        <f t="shared" si="13"/>
        <v>7</v>
      </c>
    </row>
    <row r="851" spans="1:12" ht="16.5" x14ac:dyDescent="0.2">
      <c r="A851" s="4" t="s">
        <v>247</v>
      </c>
      <c r="B851">
        <v>2016</v>
      </c>
      <c r="C851" s="14">
        <f>251.4*(2/3*10)</f>
        <v>1676</v>
      </c>
      <c r="D851" s="14">
        <f>4.2*(2/3*10)</f>
        <v>28</v>
      </c>
      <c r="E851" s="14">
        <f>12*(2/3*10)</f>
        <v>80</v>
      </c>
      <c r="F851" s="14">
        <f>0.9*(2/3*10)</f>
        <v>6</v>
      </c>
      <c r="G851" s="14">
        <f>75.8*(2/3*10)</f>
        <v>505.33333333333337</v>
      </c>
      <c r="H851" s="14">
        <f>17.6*(2/3*10)</f>
        <v>117.33333333333333</v>
      </c>
      <c r="I851" s="14">
        <f>39.5*(2/3*10)</f>
        <v>263.33333333333331</v>
      </c>
      <c r="K851">
        <v>848</v>
      </c>
      <c r="L851">
        <f t="shared" si="13"/>
        <v>0</v>
      </c>
    </row>
    <row r="852" spans="1:12" ht="16.5" x14ac:dyDescent="0.2">
      <c r="A852" s="4" t="s">
        <v>246</v>
      </c>
      <c r="B852">
        <v>2009</v>
      </c>
      <c r="C852" s="14">
        <f>40.5*(2/3*10)</f>
        <v>270</v>
      </c>
      <c r="D852" s="14">
        <f>0.5*(2/3*10)</f>
        <v>3.333333333333333</v>
      </c>
      <c r="E852" s="14">
        <f>47.4*(2/3*10)</f>
        <v>315.99999999999994</v>
      </c>
      <c r="F852" s="14">
        <f>1.5*(2/3*10)</f>
        <v>10</v>
      </c>
      <c r="G852" s="14">
        <f>29.9*(2/3*10)</f>
        <v>199.33333333333334</v>
      </c>
      <c r="H852" s="14">
        <f>3.4*(2/3*10)</f>
        <v>22.666666666666664</v>
      </c>
      <c r="I852" s="14">
        <f>33.7*(2/3*10)</f>
        <v>224.66666666666666</v>
      </c>
      <c r="K852" s="15">
        <v>849</v>
      </c>
      <c r="L852">
        <f t="shared" si="13"/>
        <v>1</v>
      </c>
    </row>
    <row r="853" spans="1:12" ht="16.5" x14ac:dyDescent="0.2">
      <c r="A853" s="4" t="s">
        <v>246</v>
      </c>
      <c r="B853">
        <v>2010</v>
      </c>
      <c r="C853" s="14">
        <f>40*(2/3*10)</f>
        <v>266.66666666666663</v>
      </c>
      <c r="D853" s="14">
        <f>0.5*(2/3*10)</f>
        <v>3.333333333333333</v>
      </c>
      <c r="E853" s="14">
        <f>47.4*(2/3*10)</f>
        <v>315.99999999999994</v>
      </c>
      <c r="F853" s="14">
        <f>1.6*(2/3*10)</f>
        <v>10.666666666666666</v>
      </c>
      <c r="G853" s="14">
        <f>30.3*(2/3*10)</f>
        <v>202</v>
      </c>
      <c r="H853" s="14">
        <f>3.5*(2/3*10)</f>
        <v>23.333333333333332</v>
      </c>
      <c r="I853" s="14">
        <f>33.6*(2/3*10)</f>
        <v>224</v>
      </c>
      <c r="K853">
        <v>850</v>
      </c>
      <c r="L853">
        <f t="shared" si="13"/>
        <v>2</v>
      </c>
    </row>
    <row r="854" spans="1:12" ht="16.5" x14ac:dyDescent="0.2">
      <c r="A854" s="4" t="s">
        <v>246</v>
      </c>
      <c r="B854">
        <v>2011</v>
      </c>
      <c r="C854" s="14">
        <f>39.7*(2/3*10)</f>
        <v>264.66666666666669</v>
      </c>
      <c r="D854" s="14">
        <f>0.5*(2/3*10)</f>
        <v>3.333333333333333</v>
      </c>
      <c r="E854" s="14">
        <f>47.2*(2/3*10)</f>
        <v>314.66666666666669</v>
      </c>
      <c r="F854" s="14">
        <f>1.6*(2/3*10)</f>
        <v>10.666666666666666</v>
      </c>
      <c r="G854" s="14">
        <f>30.8*(2/3*10)</f>
        <v>205.33333333333329</v>
      </c>
      <c r="H854" s="14">
        <f>3.7*(2/3*10)</f>
        <v>24.666666666666664</v>
      </c>
      <c r="I854" s="14">
        <f>33.6*(2/3*10)</f>
        <v>224</v>
      </c>
      <c r="K854" s="15">
        <v>851</v>
      </c>
      <c r="L854">
        <f t="shared" si="13"/>
        <v>3</v>
      </c>
    </row>
    <row r="855" spans="1:12" ht="16.5" x14ac:dyDescent="0.2">
      <c r="A855" s="4" t="s">
        <v>246</v>
      </c>
      <c r="B855">
        <v>2012</v>
      </c>
      <c r="C855" s="14">
        <f>39.3*(2/3*10)</f>
        <v>261.99999999999994</v>
      </c>
      <c r="D855" s="14">
        <f>0.5*(2/3*10)</f>
        <v>3.333333333333333</v>
      </c>
      <c r="E855" s="14">
        <f>47.1*(2/3*10)</f>
        <v>314</v>
      </c>
      <c r="F855" s="14">
        <f>1.5*(2/3*10)</f>
        <v>10</v>
      </c>
      <c r="G855" s="14">
        <f>31.3*(2/3*10)</f>
        <v>208.66666666666663</v>
      </c>
      <c r="H855" s="14">
        <f>3.8*(2/3*10)</f>
        <v>25.333333333333329</v>
      </c>
      <c r="I855" s="14">
        <f>33.5*(2/3*10)</f>
        <v>223.33333333333331</v>
      </c>
      <c r="K855">
        <v>852</v>
      </c>
      <c r="L855">
        <f t="shared" si="13"/>
        <v>4</v>
      </c>
    </row>
    <row r="856" spans="1:12" ht="16.5" x14ac:dyDescent="0.2">
      <c r="A856" s="4" t="s">
        <v>246</v>
      </c>
      <c r="B856">
        <v>2013</v>
      </c>
      <c r="C856" s="14">
        <f>38.9*(2/3*10)</f>
        <v>259.33333333333331</v>
      </c>
      <c r="D856" s="14">
        <f>0.5*(2/3*10)</f>
        <v>3.333333333333333</v>
      </c>
      <c r="E856" s="14">
        <f>46.9*(2/3*10)</f>
        <v>312.66666666666663</v>
      </c>
      <c r="F856" s="14">
        <f>1.5*(2/3*10)</f>
        <v>10</v>
      </c>
      <c r="G856" s="14">
        <f>31.8*(2/3*10)</f>
        <v>211.99999999999997</v>
      </c>
      <c r="H856" s="14">
        <f>4.1*(2/3*10)</f>
        <v>27.333333333333329</v>
      </c>
      <c r="I856" s="14">
        <f>33.4*(2/3*10)</f>
        <v>222.66666666666663</v>
      </c>
      <c r="K856" s="15">
        <v>853</v>
      </c>
      <c r="L856">
        <f t="shared" si="13"/>
        <v>5</v>
      </c>
    </row>
    <row r="857" spans="1:12" ht="16.5" x14ac:dyDescent="0.2">
      <c r="A857" s="4" t="s">
        <v>246</v>
      </c>
      <c r="B857">
        <v>2014</v>
      </c>
      <c r="C857" s="14">
        <f>38.8*(2/3*10)</f>
        <v>258.66666666666663</v>
      </c>
      <c r="D857" s="14">
        <f>0.5*(2/3*10)</f>
        <v>3.333333333333333</v>
      </c>
      <c r="E857" s="14">
        <f>46.7*(2/3*10)</f>
        <v>311.33333333333331</v>
      </c>
      <c r="F857" s="14">
        <f>1.5*(2/3*10)</f>
        <v>10</v>
      </c>
      <c r="G857" s="14">
        <f>32.1*(2/3*10)</f>
        <v>214</v>
      </c>
      <c r="H857" s="14">
        <f>4.3*(2/3*10)</f>
        <v>28.666666666666664</v>
      </c>
      <c r="I857" s="14">
        <f>33.2*(2/3*10)</f>
        <v>221.33333333333334</v>
      </c>
      <c r="K857">
        <v>854</v>
      </c>
      <c r="L857">
        <f t="shared" si="13"/>
        <v>6</v>
      </c>
    </row>
    <row r="858" spans="1:12" ht="16.5" x14ac:dyDescent="0.2">
      <c r="A858" s="4" t="s">
        <v>246</v>
      </c>
      <c r="B858">
        <v>2015</v>
      </c>
      <c r="C858" s="14">
        <f>38.7*(2/3*10)</f>
        <v>258</v>
      </c>
      <c r="D858" s="14">
        <f>0.5*(2/3*10)</f>
        <v>3.333333333333333</v>
      </c>
      <c r="E858" s="14">
        <f>46.6*(2/3*10)</f>
        <v>310.66666666666663</v>
      </c>
      <c r="F858" s="14">
        <f>1.5*(2/3*10)</f>
        <v>10</v>
      </c>
      <c r="G858" s="14">
        <f>32.2*(2/3*10)</f>
        <v>214.66666666666666</v>
      </c>
      <c r="H858" s="14">
        <f>4.5*(2/3*10)</f>
        <v>29.999999999999996</v>
      </c>
      <c r="I858" s="14">
        <f>33*(2/3*10)</f>
        <v>219.99999999999997</v>
      </c>
      <c r="K858" s="15">
        <v>855</v>
      </c>
      <c r="L858">
        <f t="shared" si="13"/>
        <v>7</v>
      </c>
    </row>
    <row r="859" spans="1:12" ht="16.5" x14ac:dyDescent="0.2">
      <c r="A859" s="4" t="s">
        <v>246</v>
      </c>
      <c r="B859">
        <v>2016</v>
      </c>
      <c r="C859" s="14">
        <f>141*(2/3*10)</f>
        <v>939.99999999999989</v>
      </c>
      <c r="D859" s="14">
        <f>1.1*(2/3*10)</f>
        <v>7.333333333333333</v>
      </c>
      <c r="E859" s="14">
        <f>103.2*(2/3*10)</f>
        <v>688</v>
      </c>
      <c r="F859" s="14">
        <f>4*(2/3*10)</f>
        <v>26.666666666666664</v>
      </c>
      <c r="G859" s="14">
        <f>68.3*(2/3*10)</f>
        <v>455.33333333333326</v>
      </c>
      <c r="H859" s="14">
        <f>9*(2/3*10)</f>
        <v>59.999999999999993</v>
      </c>
      <c r="I859" s="14">
        <f>105*(2/3*10)</f>
        <v>699.99999999999989</v>
      </c>
      <c r="K859">
        <v>856</v>
      </c>
      <c r="L859">
        <f t="shared" si="13"/>
        <v>0</v>
      </c>
    </row>
    <row r="860" spans="1:12" ht="16.5" x14ac:dyDescent="0.2">
      <c r="A860" s="4" t="s">
        <v>245</v>
      </c>
      <c r="B860">
        <v>2009</v>
      </c>
      <c r="C860" s="14">
        <f>672.1*(2/3*10)</f>
        <v>4480.6666666666661</v>
      </c>
      <c r="D860" s="14">
        <f>48.8*(2/3*10)</f>
        <v>325.33333333333326</v>
      </c>
      <c r="E860" s="14">
        <f>870.2*(2/3*10)</f>
        <v>5801.333333333333</v>
      </c>
      <c r="F860" s="14">
        <f>14.6*(2/3*10)</f>
        <v>97.333333333333329</v>
      </c>
      <c r="G860" s="14">
        <f>216.5*(2/3*10)</f>
        <v>1443.3333333333333</v>
      </c>
      <c r="H860" s="14">
        <f>28.9*(2/3*10)</f>
        <v>192.66666666666663</v>
      </c>
      <c r="I860" s="14">
        <f>422.5*(2/3*10)</f>
        <v>2816.6666666666665</v>
      </c>
      <c r="K860" s="15">
        <v>857</v>
      </c>
      <c r="L860">
        <f t="shared" si="13"/>
        <v>1</v>
      </c>
    </row>
    <row r="861" spans="1:12" ht="16.5" x14ac:dyDescent="0.2">
      <c r="A861" s="4" t="s">
        <v>245</v>
      </c>
      <c r="B861">
        <v>2010</v>
      </c>
      <c r="C861" s="14">
        <f>671.7*(2/3*10)</f>
        <v>4478</v>
      </c>
      <c r="D861" s="14">
        <f>48.6*(2/3*10)</f>
        <v>324</v>
      </c>
      <c r="E861" s="14">
        <f>868.9*(2/3*10)</f>
        <v>5792.6666666666661</v>
      </c>
      <c r="F861" s="14">
        <f>14.6*(2/3*10)</f>
        <v>97.333333333333329</v>
      </c>
      <c r="G861" s="14">
        <f>219.1*(2/3*10)</f>
        <v>1460.6666666666665</v>
      </c>
      <c r="H861" s="14">
        <f>29.1*(2/3*10)</f>
        <v>194</v>
      </c>
      <c r="I861" s="14">
        <f>421.3*(2/3*10)</f>
        <v>2808.6666666666665</v>
      </c>
      <c r="K861">
        <v>858</v>
      </c>
      <c r="L861">
        <f t="shared" si="13"/>
        <v>2</v>
      </c>
    </row>
    <row r="862" spans="1:12" ht="16.5" x14ac:dyDescent="0.2">
      <c r="A862" s="4" t="s">
        <v>245</v>
      </c>
      <c r="B862">
        <v>2011</v>
      </c>
      <c r="C862" s="14">
        <f>671.9*(2/3*10)</f>
        <v>4479.333333333333</v>
      </c>
      <c r="D862" s="14">
        <f>48.7*(2/3*10)</f>
        <v>324.66666666666663</v>
      </c>
      <c r="E862" s="14">
        <f>866.9*(2/3*10)</f>
        <v>5779.333333333333</v>
      </c>
      <c r="F862" s="14">
        <f>14.5*(2/3*10)</f>
        <v>96.666666666666657</v>
      </c>
      <c r="G862" s="14">
        <f>221*(2/3*10)</f>
        <v>1473.3333333333333</v>
      </c>
      <c r="H862" s="14">
        <f>29.8*(2/3*10)</f>
        <v>198.66666666666666</v>
      </c>
      <c r="I862" s="14">
        <f>420.4*(2/3*10)</f>
        <v>2802.6666666666661</v>
      </c>
      <c r="K862" s="15">
        <v>859</v>
      </c>
      <c r="L862">
        <f t="shared" si="13"/>
        <v>3</v>
      </c>
    </row>
    <row r="863" spans="1:12" ht="16.5" x14ac:dyDescent="0.2">
      <c r="A863" s="4" t="s">
        <v>245</v>
      </c>
      <c r="B863">
        <v>2012</v>
      </c>
      <c r="C863" s="14">
        <f>671.1*(2/3*10)</f>
        <v>4474</v>
      </c>
      <c r="D863" s="14">
        <f>48.6*(2/3*10)</f>
        <v>324</v>
      </c>
      <c r="E863" s="14">
        <f>865.9*(2/3*10)</f>
        <v>5772.6666666666661</v>
      </c>
      <c r="F863" s="14">
        <f>14.4*(2/3*10)</f>
        <v>96</v>
      </c>
      <c r="G863" s="14">
        <f>223.2*(2/3*10)</f>
        <v>1487.9999999999998</v>
      </c>
      <c r="H863" s="14">
        <f>30.4*(2/3*10)</f>
        <v>202.66666666666663</v>
      </c>
      <c r="I863" s="14">
        <f>419.6*(2/3*10)</f>
        <v>2797.333333333333</v>
      </c>
      <c r="K863">
        <v>860</v>
      </c>
      <c r="L863">
        <f t="shared" si="13"/>
        <v>4</v>
      </c>
    </row>
    <row r="864" spans="1:12" ht="16.5" x14ac:dyDescent="0.2">
      <c r="A864" s="4" t="s">
        <v>245</v>
      </c>
      <c r="B864">
        <v>2013</v>
      </c>
      <c r="C864" s="14">
        <f>670.9*(2/3*10)</f>
        <v>4472.6666666666661</v>
      </c>
      <c r="D864" s="14">
        <f>48.4*(2/3*10)</f>
        <v>322.66666666666663</v>
      </c>
      <c r="E864" s="14">
        <f>865.5*(2/3*10)</f>
        <v>5769.9999999999991</v>
      </c>
      <c r="F864" s="14">
        <f>14.3*(2/3*10)</f>
        <v>95.333333333333329</v>
      </c>
      <c r="G864" s="14">
        <f>224.1*(2/3*10)</f>
        <v>1494</v>
      </c>
      <c r="H864" s="14">
        <f>30.7*(2/3*10)</f>
        <v>204.66666666666666</v>
      </c>
      <c r="I864" s="14">
        <f>419.2*(2/3*10)</f>
        <v>2794.6666666666665</v>
      </c>
      <c r="K864" s="15">
        <v>861</v>
      </c>
      <c r="L864">
        <f t="shared" si="13"/>
        <v>5</v>
      </c>
    </row>
    <row r="865" spans="1:12" ht="16.5" x14ac:dyDescent="0.2">
      <c r="A865" s="4" t="s">
        <v>245</v>
      </c>
      <c r="B865">
        <v>2014</v>
      </c>
      <c r="C865" s="14">
        <f>671.3*(2/3*10)</f>
        <v>4475.333333333333</v>
      </c>
      <c r="D865" s="14">
        <f>48.4*(2/3*10)</f>
        <v>322.66666666666663</v>
      </c>
      <c r="E865" s="14">
        <f>864.4*(2/3*10)</f>
        <v>5762.6666666666661</v>
      </c>
      <c r="F865" s="14">
        <f>14.1*(2/3*10)</f>
        <v>93.999999999999986</v>
      </c>
      <c r="G865" s="14">
        <f>225.5*(2/3*10)</f>
        <v>1503.3333333333333</v>
      </c>
      <c r="H865" s="14">
        <f>31*(2/3*10)</f>
        <v>206.66666666666666</v>
      </c>
      <c r="I865" s="14">
        <f>418.3*(2/3*10)</f>
        <v>2788.6666666666665</v>
      </c>
      <c r="K865">
        <v>862</v>
      </c>
      <c r="L865">
        <f t="shared" si="13"/>
        <v>6</v>
      </c>
    </row>
    <row r="866" spans="1:12" ht="16.5" x14ac:dyDescent="0.2">
      <c r="A866" s="4" t="s">
        <v>245</v>
      </c>
      <c r="B866">
        <v>2015</v>
      </c>
      <c r="C866" s="14">
        <f>671.1*(2/3*10)</f>
        <v>4474</v>
      </c>
      <c r="D866" s="14">
        <f>48.4*(2/3*10)</f>
        <v>322.66666666666663</v>
      </c>
      <c r="E866" s="14">
        <f>863.5*(2/3*10)</f>
        <v>5756.6666666666661</v>
      </c>
      <c r="F866" s="14">
        <f>14*(2/3*10)</f>
        <v>93.333333333333329</v>
      </c>
      <c r="G866" s="14">
        <f>226.8*(2/3*10)</f>
        <v>1512</v>
      </c>
      <c r="H866" s="14">
        <f>31.6*(2/3*10)</f>
        <v>210.66666666666666</v>
      </c>
      <c r="I866" s="14">
        <f>417.5*(2/3*10)</f>
        <v>2783.333333333333</v>
      </c>
      <c r="K866" s="15">
        <v>863</v>
      </c>
      <c r="L866">
        <f t="shared" si="13"/>
        <v>7</v>
      </c>
    </row>
    <row r="867" spans="1:12" ht="16.5" x14ac:dyDescent="0.2">
      <c r="A867" s="4" t="s">
        <v>245</v>
      </c>
      <c r="B867">
        <v>2016</v>
      </c>
      <c r="C867" s="14">
        <f>568*(2/3*10)</f>
        <v>3786.6666666666665</v>
      </c>
      <c r="D867" s="14">
        <f>47.8*(2/3*10)</f>
        <v>318.66666666666663</v>
      </c>
      <c r="E867" s="14">
        <f>805.9*(2/3*10)</f>
        <v>5372.6666666666661</v>
      </c>
      <c r="F867" s="14">
        <f>11.5*(2/3*10)</f>
        <v>76.666666666666657</v>
      </c>
      <c r="G867" s="14">
        <f>192.1*(2/3*10)</f>
        <v>1280.6666666666665</v>
      </c>
      <c r="H867" s="14">
        <f>28.2*(2/3*10)</f>
        <v>187.99999999999997</v>
      </c>
      <c r="I867" s="14">
        <f>344.7*(2/3*10)</f>
        <v>2297.9999999999995</v>
      </c>
      <c r="K867">
        <v>864</v>
      </c>
      <c r="L867">
        <f t="shared" si="13"/>
        <v>0</v>
      </c>
    </row>
    <row r="868" spans="1:12" ht="16.5" x14ac:dyDescent="0.2">
      <c r="A868" s="4" t="s">
        <v>244</v>
      </c>
      <c r="B868">
        <v>2009</v>
      </c>
      <c r="C868" s="14">
        <f>104.5*(2/3*10)</f>
        <v>696.66666666666663</v>
      </c>
      <c r="D868" s="14">
        <f>122.5*(2/3*10)</f>
        <v>816.66666666666663</v>
      </c>
      <c r="E868" s="14">
        <f>1110.1*(2/3*10)</f>
        <v>7400.6666666666652</v>
      </c>
      <c r="F868" s="14">
        <f>4.6*(2/3*10)</f>
        <v>30.666666666666661</v>
      </c>
      <c r="G868" s="14">
        <f>42.2*(2/3*10)</f>
        <v>281.33333333333331</v>
      </c>
      <c r="H868" s="14">
        <f>12.6*(2/3*10)</f>
        <v>83.999999999999986</v>
      </c>
      <c r="I868" s="14">
        <f>43.6*(2/3*10)</f>
        <v>290.66666666666663</v>
      </c>
      <c r="K868" s="15">
        <v>865</v>
      </c>
      <c r="L868">
        <f t="shared" si="13"/>
        <v>1</v>
      </c>
    </row>
    <row r="869" spans="1:12" ht="16.5" x14ac:dyDescent="0.2">
      <c r="A869" s="4" t="s">
        <v>244</v>
      </c>
      <c r="B869">
        <v>2010</v>
      </c>
      <c r="C869" s="14">
        <f>104.6*(2/3*10)</f>
        <v>697.33333333333326</v>
      </c>
      <c r="D869" s="14">
        <f>121.6*(2/3*10)</f>
        <v>810.66666666666652</v>
      </c>
      <c r="E869" s="14">
        <f>1109.8*(2/3*10)</f>
        <v>7398.6666666666661</v>
      </c>
      <c r="F869" s="14">
        <f>4.3*(2/3*10)</f>
        <v>28.666666666666664</v>
      </c>
      <c r="G869" s="14">
        <f>43.3*(2/3*10)</f>
        <v>288.66666666666669</v>
      </c>
      <c r="H869" s="14">
        <f>13*(2/3*10)</f>
        <v>86.666666666666657</v>
      </c>
      <c r="I869" s="14">
        <f>43.4*(2/3*10)</f>
        <v>289.33333333333331</v>
      </c>
      <c r="K869">
        <v>866</v>
      </c>
      <c r="L869">
        <f t="shared" si="13"/>
        <v>2</v>
      </c>
    </row>
    <row r="870" spans="1:12" ht="16.5" x14ac:dyDescent="0.2">
      <c r="A870" s="4" t="s">
        <v>244</v>
      </c>
      <c r="B870">
        <v>2011</v>
      </c>
      <c r="C870" s="14">
        <f>103.9*(2/3*10)</f>
        <v>692.66666666666663</v>
      </c>
      <c r="D870" s="14">
        <f>121.3*(2/3*10)</f>
        <v>808.66666666666663</v>
      </c>
      <c r="E870" s="14">
        <f>1109.4*(2/3*10)</f>
        <v>7396</v>
      </c>
      <c r="F870" s="14">
        <f>4.1*(2/3*10)</f>
        <v>27.333333333333329</v>
      </c>
      <c r="G870" s="14">
        <f>44.9*(2/3*10)</f>
        <v>299.33333333333331</v>
      </c>
      <c r="H870" s="14">
        <f>13.1*(2/3*10)</f>
        <v>87.333333333333329</v>
      </c>
      <c r="I870" s="14">
        <f>43.2*(2/3*10)</f>
        <v>288</v>
      </c>
      <c r="K870" s="15">
        <v>867</v>
      </c>
      <c r="L870">
        <f t="shared" si="13"/>
        <v>3</v>
      </c>
    </row>
    <row r="871" spans="1:12" ht="16.5" x14ac:dyDescent="0.2">
      <c r="A871" s="4" t="s">
        <v>244</v>
      </c>
      <c r="B871">
        <v>2012</v>
      </c>
      <c r="C871" s="14">
        <f>103.7*(2/3*10)</f>
        <v>691.33333333333326</v>
      </c>
      <c r="D871" s="14">
        <f>121.2*(2/3*10)</f>
        <v>808</v>
      </c>
      <c r="E871" s="14">
        <f>1109*(2/3*10)</f>
        <v>7393.333333333333</v>
      </c>
      <c r="F871" s="14">
        <f>3.9*(2/3*10)</f>
        <v>25.999999999999996</v>
      </c>
      <c r="G871" s="14">
        <f>45.5*(2/3*10)</f>
        <v>303.33333333333331</v>
      </c>
      <c r="H871" s="14">
        <f>13.4*(2/3*10)</f>
        <v>89.333333333333329</v>
      </c>
      <c r="I871" s="14">
        <f>43*(2/3*10)</f>
        <v>286.66666666666663</v>
      </c>
      <c r="K871">
        <v>868</v>
      </c>
      <c r="L871">
        <f t="shared" si="13"/>
        <v>4</v>
      </c>
    </row>
    <row r="872" spans="1:12" ht="16.5" x14ac:dyDescent="0.2">
      <c r="A872" s="4" t="s">
        <v>244</v>
      </c>
      <c r="B872">
        <v>2013</v>
      </c>
      <c r="C872" s="14">
        <f>103.4*(2/3*10)</f>
        <v>689.33333333333326</v>
      </c>
      <c r="D872" s="14">
        <f>121.1*(2/3*10)</f>
        <v>807.33333333333326</v>
      </c>
      <c r="E872" s="14">
        <f>1108.9*(2/3*10)</f>
        <v>7392.666666666667</v>
      </c>
      <c r="F872" s="14">
        <f>3.9*(2/3*10)</f>
        <v>25.999999999999996</v>
      </c>
      <c r="G872" s="14">
        <f>46.1*(2/3*10)</f>
        <v>307.33333333333331</v>
      </c>
      <c r="H872" s="14">
        <f>13.5*(2/3*10)</f>
        <v>89.999999999999986</v>
      </c>
      <c r="I872" s="14">
        <f>43*(2/3*10)</f>
        <v>286.66666666666663</v>
      </c>
      <c r="K872" s="15">
        <v>869</v>
      </c>
      <c r="L872">
        <f t="shared" si="13"/>
        <v>5</v>
      </c>
    </row>
    <row r="873" spans="1:12" ht="16.5" x14ac:dyDescent="0.2">
      <c r="A873" s="4" t="s">
        <v>244</v>
      </c>
      <c r="B873">
        <v>2014</v>
      </c>
      <c r="C873" s="14">
        <f>103.1*(2/3*10)</f>
        <v>687.33333333333326</v>
      </c>
      <c r="D873" s="14">
        <f>121*(2/3*10)</f>
        <v>806.66666666666663</v>
      </c>
      <c r="E873" s="14">
        <f>1108.5*(2/3*10)</f>
        <v>7389.9999999999991</v>
      </c>
      <c r="F873" s="14">
        <f>3.8*(2/3*10)</f>
        <v>25.333333333333329</v>
      </c>
      <c r="G873" s="14">
        <f>46.7*(2/3*10)</f>
        <v>311.33333333333331</v>
      </c>
      <c r="H873" s="14">
        <f>13.7*(2/3*10)</f>
        <v>91.333333333333314</v>
      </c>
      <c r="I873" s="14">
        <f>42.9*(2/3*10)</f>
        <v>285.99999999999994</v>
      </c>
      <c r="K873">
        <v>870</v>
      </c>
      <c r="L873">
        <f t="shared" si="13"/>
        <v>6</v>
      </c>
    </row>
    <row r="874" spans="1:12" ht="16.5" x14ac:dyDescent="0.2">
      <c r="A874" s="4" t="s">
        <v>244</v>
      </c>
      <c r="B874">
        <v>2015</v>
      </c>
      <c r="C874" s="14">
        <f>103.1*(2/3*10)</f>
        <v>687.33333333333326</v>
      </c>
      <c r="D874" s="14">
        <f>120.9*(2/3*10)</f>
        <v>806</v>
      </c>
      <c r="E874" s="14">
        <f>1108.3*(2/3*10)</f>
        <v>7388.6666666666661</v>
      </c>
      <c r="F874" s="14">
        <f>3.7*(2/3*10)</f>
        <v>24.666666666666664</v>
      </c>
      <c r="G874" s="14">
        <f>47*(2/3*10)</f>
        <v>313.33333333333331</v>
      </c>
      <c r="H874" s="14">
        <f>13.8*(2/3*10)</f>
        <v>92</v>
      </c>
      <c r="I874" s="14">
        <f>42.8*(2/3*10)</f>
        <v>285.33333333333331</v>
      </c>
      <c r="K874" s="15">
        <v>871</v>
      </c>
      <c r="L874">
        <f t="shared" si="13"/>
        <v>7</v>
      </c>
    </row>
    <row r="875" spans="1:12" ht="16.5" x14ac:dyDescent="0.2">
      <c r="A875" s="4" t="s">
        <v>244</v>
      </c>
      <c r="B875">
        <v>2016</v>
      </c>
      <c r="C875" s="14">
        <f>102.8*(2/3*10)</f>
        <v>685.33333333333326</v>
      </c>
      <c r="D875" s="14">
        <f>120.9*(2/3*10)</f>
        <v>806</v>
      </c>
      <c r="E875" s="14">
        <f>1108.2*(2/3*10)</f>
        <v>7388</v>
      </c>
      <c r="F875" s="14">
        <f>3.7*(2/3*10)</f>
        <v>24.666666666666664</v>
      </c>
      <c r="G875" s="14">
        <f>47.4*(2/3*10)</f>
        <v>315.99999999999994</v>
      </c>
      <c r="H875" s="14">
        <f>13.9*(2/3*10)</f>
        <v>92.666666666666657</v>
      </c>
      <c r="I875" s="14">
        <f>42.8*(2/3*10)</f>
        <v>285.33333333333331</v>
      </c>
      <c r="K875">
        <v>872</v>
      </c>
      <c r="L875">
        <f t="shared" si="13"/>
        <v>0</v>
      </c>
    </row>
    <row r="876" spans="1:12" ht="16.5" x14ac:dyDescent="0.2">
      <c r="A876" s="4" t="s">
        <v>243</v>
      </c>
      <c r="B876">
        <v>2009</v>
      </c>
      <c r="C876" s="14">
        <f>1076.2*(2/3*10)</f>
        <v>7174.6666666666661</v>
      </c>
      <c r="D876" s="14">
        <f>8.9*(2/3*10)</f>
        <v>59.333333333333329</v>
      </c>
      <c r="E876" s="14">
        <f>268.8*(2/3*10)</f>
        <v>1792</v>
      </c>
      <c r="F876" s="14">
        <f>29.1*(2/3*10)</f>
        <v>194</v>
      </c>
      <c r="G876" s="14">
        <f>208.3*(2/3*10)</f>
        <v>1388.6666666666665</v>
      </c>
      <c r="H876" s="14">
        <f>50.8*(2/3*10)</f>
        <v>338.66666666666663</v>
      </c>
      <c r="I876" s="14">
        <f>336.2*(2/3*10)</f>
        <v>2241.333333333333</v>
      </c>
      <c r="K876" s="15">
        <v>873</v>
      </c>
      <c r="L876">
        <f t="shared" si="13"/>
        <v>1</v>
      </c>
    </row>
    <row r="877" spans="1:12" ht="16.5" x14ac:dyDescent="0.2">
      <c r="A877" s="4" t="s">
        <v>243</v>
      </c>
      <c r="B877">
        <v>2010</v>
      </c>
      <c r="C877" s="14">
        <f>1076.3*(2/3*10)</f>
        <v>7175.3333333333321</v>
      </c>
      <c r="D877" s="14">
        <f>8.9*(2/3*10)</f>
        <v>59.333333333333329</v>
      </c>
      <c r="E877" s="14">
        <f>268.6*(2/3*10)</f>
        <v>1790.6666666666667</v>
      </c>
      <c r="F877" s="14">
        <f>29*(2/3*10)</f>
        <v>193.33333333333331</v>
      </c>
      <c r="G877" s="14">
        <f>208.8*(2/3*10)</f>
        <v>1392</v>
      </c>
      <c r="H877" s="14">
        <f>51.2*(2/3*10)</f>
        <v>341.33333333333331</v>
      </c>
      <c r="I877" s="14">
        <f>335.9*(2/3*10)</f>
        <v>2239.333333333333</v>
      </c>
      <c r="K877">
        <v>874</v>
      </c>
      <c r="L877">
        <f t="shared" si="13"/>
        <v>2</v>
      </c>
    </row>
    <row r="878" spans="1:12" ht="16.5" x14ac:dyDescent="0.2">
      <c r="A878" s="4" t="s">
        <v>243</v>
      </c>
      <c r="B878">
        <v>2011</v>
      </c>
      <c r="C878" s="14">
        <f>1075.9*(2/3*10)</f>
        <v>7172.666666666667</v>
      </c>
      <c r="D878" s="14">
        <f>8.9*(2/3*10)</f>
        <v>59.333333333333329</v>
      </c>
      <c r="E878" s="14">
        <f>268.3*(2/3*10)</f>
        <v>1788.6666666666665</v>
      </c>
      <c r="F878" s="14">
        <f>28.8*(2/3*10)</f>
        <v>192</v>
      </c>
      <c r="G878" s="14">
        <f>209.7*(2/3*10)</f>
        <v>1397.9999999999998</v>
      </c>
      <c r="H878" s="14">
        <f>52.5*(2/3*10)</f>
        <v>349.99999999999994</v>
      </c>
      <c r="I878" s="14">
        <f>335*(2/3*10)</f>
        <v>2233.333333333333</v>
      </c>
      <c r="K878" s="15">
        <v>875</v>
      </c>
      <c r="L878">
        <f t="shared" si="13"/>
        <v>3</v>
      </c>
    </row>
    <row r="879" spans="1:12" ht="16.5" x14ac:dyDescent="0.2">
      <c r="A879" s="4" t="s">
        <v>243</v>
      </c>
      <c r="B879">
        <v>2012</v>
      </c>
      <c r="C879" s="14">
        <f>1075.4*(2/3*10)</f>
        <v>7169.333333333333</v>
      </c>
      <c r="D879" s="14">
        <f>8.8*(2/3*10)</f>
        <v>58.666666666666664</v>
      </c>
      <c r="E879" s="14">
        <f>267.8*(2/3*10)</f>
        <v>1785.3333333333333</v>
      </c>
      <c r="F879" s="14">
        <f>28.4*(2/3*10)</f>
        <v>189.33333333333331</v>
      </c>
      <c r="G879" s="14">
        <f>211.5*(2/3*10)</f>
        <v>1409.9999999999998</v>
      </c>
      <c r="H879" s="14">
        <f>53.3*(2/3*10)</f>
        <v>355.33333333333326</v>
      </c>
      <c r="I879" s="14">
        <f>333.7*(2/3*10)</f>
        <v>2224.6666666666665</v>
      </c>
      <c r="K879">
        <v>876</v>
      </c>
      <c r="L879">
        <f t="shared" si="13"/>
        <v>4</v>
      </c>
    </row>
    <row r="880" spans="1:12" ht="16.5" x14ac:dyDescent="0.2">
      <c r="A880" s="4" t="s">
        <v>243</v>
      </c>
      <c r="B880">
        <v>2013</v>
      </c>
      <c r="C880" s="14">
        <f>1077*(2/3*10)</f>
        <v>7179.9999999999991</v>
      </c>
      <c r="D880" s="14">
        <f>8.8*(2/3*10)</f>
        <v>58.666666666666664</v>
      </c>
      <c r="E880" s="14">
        <f>267.3*(2/3*10)</f>
        <v>1782</v>
      </c>
      <c r="F880" s="14">
        <f>27.7*(2/3*10)</f>
        <v>184.66666666666666</v>
      </c>
      <c r="G880" s="14">
        <f>211.4*(2/3*10)</f>
        <v>1409.333333333333</v>
      </c>
      <c r="H880" s="14">
        <f>54*(2/3*10)</f>
        <v>359.99999999999994</v>
      </c>
      <c r="I880" s="14">
        <f>332.4*(2/3*10)</f>
        <v>2215.9999999999995</v>
      </c>
      <c r="K880" s="15">
        <v>877</v>
      </c>
      <c r="L880">
        <f t="shared" si="13"/>
        <v>5</v>
      </c>
    </row>
    <row r="881" spans="1:12" ht="16.5" x14ac:dyDescent="0.2">
      <c r="A881" s="4" t="s">
        <v>243</v>
      </c>
      <c r="B881">
        <v>2014</v>
      </c>
      <c r="C881" s="14">
        <f>1073.4*(2/3*10)</f>
        <v>7156</v>
      </c>
      <c r="D881" s="14">
        <f>8.8*(2/3*10)</f>
        <v>58.666666666666664</v>
      </c>
      <c r="E881" s="14">
        <f>266.8*(2/3*10)</f>
        <v>1778.6666666666665</v>
      </c>
      <c r="F881" s="14">
        <f>27.2*(2/3*10)</f>
        <v>181.33333333333331</v>
      </c>
      <c r="G881" s="14">
        <f>216.5*(2/3*10)</f>
        <v>1443.3333333333333</v>
      </c>
      <c r="H881" s="14">
        <f>55.4*(2/3*10)</f>
        <v>369.33333333333331</v>
      </c>
      <c r="I881" s="14">
        <f>330.6*(2/3*10)</f>
        <v>2204</v>
      </c>
      <c r="K881">
        <v>878</v>
      </c>
      <c r="L881">
        <f t="shared" si="13"/>
        <v>6</v>
      </c>
    </row>
    <row r="882" spans="1:12" ht="16.5" x14ac:dyDescent="0.2">
      <c r="A882" s="4" t="s">
        <v>243</v>
      </c>
      <c r="B882">
        <v>2015</v>
      </c>
      <c r="C882" s="14">
        <f>1073.8*(2/3*10)</f>
        <v>7158.6666666666661</v>
      </c>
      <c r="D882" s="14">
        <f>8.8*(2/3*10)</f>
        <v>58.666666666666664</v>
      </c>
      <c r="E882" s="14">
        <f>266.4*(2/3*10)</f>
        <v>1775.9999999999998</v>
      </c>
      <c r="F882" s="14">
        <f>27*(2/3*10)</f>
        <v>179.99999999999997</v>
      </c>
      <c r="G882" s="14">
        <f>217.4*(2/3*10)</f>
        <v>1449.3333333333333</v>
      </c>
      <c r="H882" s="14">
        <f>55.6*(2/3*10)</f>
        <v>370.66666666666663</v>
      </c>
      <c r="I882" s="14">
        <f>329.5*(2/3*10)</f>
        <v>2196.6666666666665</v>
      </c>
      <c r="K882" s="15">
        <v>879</v>
      </c>
      <c r="L882">
        <f t="shared" si="13"/>
        <v>7</v>
      </c>
    </row>
    <row r="883" spans="1:12" ht="16.5" x14ac:dyDescent="0.2">
      <c r="A883" s="4" t="s">
        <v>243</v>
      </c>
      <c r="B883">
        <v>2016</v>
      </c>
      <c r="C883" s="14">
        <f>1073*(2/3*10)</f>
        <v>7153.333333333333</v>
      </c>
      <c r="D883" s="14">
        <f>8.7*(2/3*10)</f>
        <v>57.999999999999993</v>
      </c>
      <c r="E883" s="14">
        <f>265.9*(2/3*10)</f>
        <v>1772.6666666666663</v>
      </c>
      <c r="F883" s="14">
        <f>26.9*(2/3*10)</f>
        <v>179.33333333333331</v>
      </c>
      <c r="G883" s="14">
        <f>218.3*(2/3*10)</f>
        <v>1455.3333333333333</v>
      </c>
      <c r="H883" s="14">
        <f>56.9*(2/3*10)</f>
        <v>379.33333333333331</v>
      </c>
      <c r="I883" s="14">
        <f>328.7*(2/3*10)</f>
        <v>2191.333333333333</v>
      </c>
      <c r="K883">
        <v>880</v>
      </c>
      <c r="L883">
        <f t="shared" si="13"/>
        <v>0</v>
      </c>
    </row>
    <row r="884" spans="1:12" ht="16.5" x14ac:dyDescent="0.2">
      <c r="A884" s="4" t="s">
        <v>242</v>
      </c>
      <c r="B884">
        <v>2009</v>
      </c>
      <c r="C884" s="14">
        <f>981.3*(2/3*10)</f>
        <v>6541.9999999999991</v>
      </c>
      <c r="D884" s="14">
        <f>1.3*(2/3*10)</f>
        <v>8.6666666666666661</v>
      </c>
      <c r="E884" s="14">
        <f>54.6*(2/3*10)</f>
        <v>364</v>
      </c>
      <c r="F884" s="14">
        <f>0.1*(2/3*10)</f>
        <v>0.66666666666666663</v>
      </c>
      <c r="G884" s="14">
        <f>269*(2/3*10)</f>
        <v>1793.3333333333333</v>
      </c>
      <c r="H884" s="14">
        <f>48.6*(2/3*10)</f>
        <v>324</v>
      </c>
      <c r="I884" s="14">
        <f>160.3*(2/3*10)</f>
        <v>1068.6666666666667</v>
      </c>
      <c r="K884" s="15">
        <v>881</v>
      </c>
      <c r="L884">
        <f t="shared" si="13"/>
        <v>1</v>
      </c>
    </row>
    <row r="885" spans="1:12" ht="16.5" x14ac:dyDescent="0.2">
      <c r="A885" s="4" t="s">
        <v>242</v>
      </c>
      <c r="B885">
        <v>2010</v>
      </c>
      <c r="C885" s="14">
        <f>979.8*(2/3*10)</f>
        <v>6531.9999999999991</v>
      </c>
      <c r="D885" s="14">
        <f>1.3*(2/3*10)</f>
        <v>8.6666666666666661</v>
      </c>
      <c r="E885" s="14">
        <f>54.3*(2/3*10)</f>
        <v>361.99999999999994</v>
      </c>
      <c r="F885" s="14">
        <f>0.1*(2/3*10)</f>
        <v>0.66666666666666663</v>
      </c>
      <c r="G885" s="14">
        <f>270.3*(2/3*10)</f>
        <v>1802</v>
      </c>
      <c r="H885" s="14">
        <f>48.9*(2/3*10)</f>
        <v>325.99999999999994</v>
      </c>
      <c r="I885" s="14">
        <f>160.4*(2/3*10)</f>
        <v>1069.3333333333333</v>
      </c>
      <c r="K885">
        <v>882</v>
      </c>
      <c r="L885">
        <f t="shared" si="13"/>
        <v>2</v>
      </c>
    </row>
    <row r="886" spans="1:12" ht="16.5" x14ac:dyDescent="0.2">
      <c r="A886" s="4" t="s">
        <v>242</v>
      </c>
      <c r="B886">
        <v>2011</v>
      </c>
      <c r="C886" s="14">
        <f>977.9*(2/3*10)</f>
        <v>6519.333333333333</v>
      </c>
      <c r="D886" s="14">
        <f>1.2*(2/3*10)</f>
        <v>7.9999999999999991</v>
      </c>
      <c r="E886" s="14">
        <f>53.6*(2/3*10)</f>
        <v>357.33333333333331</v>
      </c>
      <c r="F886" s="14">
        <f>0.1*(2/3*10)</f>
        <v>0.66666666666666663</v>
      </c>
      <c r="G886" s="14">
        <f>272.5*(2/3*10)</f>
        <v>1816.6666666666665</v>
      </c>
      <c r="H886" s="14">
        <f>49.7*(2/3*10)</f>
        <v>331.33333333333331</v>
      </c>
      <c r="I886" s="14">
        <f>159.9*(2/3*10)</f>
        <v>1066</v>
      </c>
      <c r="K886" s="15">
        <v>883</v>
      </c>
      <c r="L886">
        <f t="shared" si="13"/>
        <v>3</v>
      </c>
    </row>
    <row r="887" spans="1:12" ht="16.5" x14ac:dyDescent="0.2">
      <c r="A887" s="4" t="s">
        <v>242</v>
      </c>
      <c r="B887">
        <v>2012</v>
      </c>
      <c r="C887" s="14">
        <f>976.9*(2/3*10)</f>
        <v>6512.6666666666661</v>
      </c>
      <c r="D887" s="14">
        <f>1.2*(2/3*10)</f>
        <v>7.9999999999999991</v>
      </c>
      <c r="E887" s="14">
        <f>53*(2/3*10)</f>
        <v>353.33333333333331</v>
      </c>
      <c r="F887" s="14">
        <f>0.1*(2/3*10)</f>
        <v>0.66666666666666663</v>
      </c>
      <c r="G887" s="14">
        <f>273.8*(2/3*10)</f>
        <v>1825.3333333333333</v>
      </c>
      <c r="H887" s="14">
        <f>50.1*(2/3*10)</f>
        <v>334</v>
      </c>
      <c r="I887" s="14">
        <f>159.7*(2/3*10)</f>
        <v>1064.6666666666665</v>
      </c>
      <c r="K887">
        <v>884</v>
      </c>
      <c r="L887">
        <f t="shared" si="13"/>
        <v>4</v>
      </c>
    </row>
    <row r="888" spans="1:12" ht="16.5" x14ac:dyDescent="0.2">
      <c r="A888" s="4" t="s">
        <v>242</v>
      </c>
      <c r="B888">
        <v>2013</v>
      </c>
      <c r="C888" s="14">
        <f>977*(2/3*10)</f>
        <v>6513.333333333333</v>
      </c>
      <c r="D888" s="14">
        <f>1.2*(2/3*10)</f>
        <v>7.9999999999999991</v>
      </c>
      <c r="E888" s="14">
        <f>52.4*(2/3*10)</f>
        <v>349.33333333333331</v>
      </c>
      <c r="F888" s="14">
        <f>0.1*(2/3*10)</f>
        <v>0.66666666666666663</v>
      </c>
      <c r="G888" s="14">
        <f>274.3*(2/3*10)</f>
        <v>1828.6666666666665</v>
      </c>
      <c r="H888" s="14">
        <f>50.3*(2/3*10)</f>
        <v>335.33333333333326</v>
      </c>
      <c r="I888" s="14">
        <f>159.6*(2/3*10)</f>
        <v>1063.9999999999998</v>
      </c>
      <c r="K888" s="15">
        <v>885</v>
      </c>
      <c r="L888">
        <f t="shared" si="13"/>
        <v>5</v>
      </c>
    </row>
    <row r="889" spans="1:12" ht="16.5" x14ac:dyDescent="0.2">
      <c r="A889" s="4" t="s">
        <v>242</v>
      </c>
      <c r="B889">
        <v>2014</v>
      </c>
      <c r="C889" s="14">
        <f>974.1*(2/3*10)</f>
        <v>6494</v>
      </c>
      <c r="D889" s="14">
        <f>1.2*(2/3*10)</f>
        <v>7.9999999999999991</v>
      </c>
      <c r="E889" s="14">
        <f>51.8*(2/3*10)</f>
        <v>345.33333333333326</v>
      </c>
      <c r="F889" s="14">
        <f>0.1*(2/3*10)</f>
        <v>0.66666666666666663</v>
      </c>
      <c r="G889" s="14">
        <f>277.3*(2/3*10)</f>
        <v>1848.6666666666665</v>
      </c>
      <c r="H889" s="14">
        <f>50.9*(2/3*10)</f>
        <v>339.33333333333331</v>
      </c>
      <c r="I889" s="14">
        <f>159.1*(2/3*10)</f>
        <v>1060.6666666666665</v>
      </c>
      <c r="K889">
        <v>886</v>
      </c>
      <c r="L889">
        <f t="shared" si="13"/>
        <v>6</v>
      </c>
    </row>
    <row r="890" spans="1:12" ht="16.5" x14ac:dyDescent="0.2">
      <c r="A890" s="4" t="s">
        <v>242</v>
      </c>
      <c r="B890">
        <v>2015</v>
      </c>
      <c r="C890" s="14">
        <f>973.1*(2/3*10)</f>
        <v>6487.333333333333</v>
      </c>
      <c r="D890" s="14">
        <f>1.2*(2/3*10)</f>
        <v>7.9999999999999991</v>
      </c>
      <c r="E890" s="14">
        <f>51.1*(2/3*10)</f>
        <v>340.66666666666663</v>
      </c>
      <c r="F890" s="14">
        <f>0.1*(2/3*10)</f>
        <v>0.66666666666666663</v>
      </c>
      <c r="G890" s="14">
        <f>279*(2/3*10)</f>
        <v>1859.9999999999998</v>
      </c>
      <c r="H890" s="14">
        <f>51*(2/3*10)</f>
        <v>339.99999999999994</v>
      </c>
      <c r="I890" s="14">
        <f>158.9*(2/3*10)</f>
        <v>1059.3333333333333</v>
      </c>
      <c r="K890" s="15">
        <v>887</v>
      </c>
      <c r="L890">
        <f t="shared" si="13"/>
        <v>7</v>
      </c>
    </row>
    <row r="891" spans="1:12" ht="16.5" x14ac:dyDescent="0.2">
      <c r="A891" s="4" t="s">
        <v>242</v>
      </c>
      <c r="B891">
        <v>2016</v>
      </c>
      <c r="C891" s="14">
        <f>971.8*(2/3*10)</f>
        <v>6478.6666666666661</v>
      </c>
      <c r="D891" s="14">
        <f>1.1*(2/3*10)</f>
        <v>7.333333333333333</v>
      </c>
      <c r="E891" s="14">
        <f>49.6*(2/3*10)</f>
        <v>330.66666666666663</v>
      </c>
      <c r="F891" s="14">
        <f>0.1*(2/3*10)</f>
        <v>0.66666666666666663</v>
      </c>
      <c r="G891" s="14">
        <f>281.1*(2/3*10)</f>
        <v>1874</v>
      </c>
      <c r="H891" s="14">
        <f>51.4*(2/3*10)</f>
        <v>342.66666666666663</v>
      </c>
      <c r="I891" s="14">
        <f>158.4*(2/3*10)</f>
        <v>1056</v>
      </c>
      <c r="K891">
        <v>888</v>
      </c>
      <c r="L891">
        <f t="shared" si="13"/>
        <v>0</v>
      </c>
    </row>
    <row r="892" spans="1:12" ht="16.5" x14ac:dyDescent="0.2">
      <c r="A892" s="4" t="s">
        <v>241</v>
      </c>
      <c r="B892">
        <v>2009</v>
      </c>
      <c r="C892" s="14">
        <f>860.7*(2/3*10)</f>
        <v>5738</v>
      </c>
      <c r="D892" s="14">
        <f>112.3*(2/3*10)</f>
        <v>748.66666666666663</v>
      </c>
      <c r="E892" s="14">
        <f>75*(2/3*10)</f>
        <v>499.99999999999994</v>
      </c>
      <c r="F892" s="14">
        <f>11*(2/3*10)</f>
        <v>73.333333333333329</v>
      </c>
      <c r="G892" s="14">
        <f>211.2*(2/3*10)</f>
        <v>1407.9999999999998</v>
      </c>
      <c r="H892" s="14">
        <f>59.1*(2/3*10)</f>
        <v>394</v>
      </c>
      <c r="I892" s="14">
        <f>128.3*(2/3*10)</f>
        <v>855.33333333333337</v>
      </c>
      <c r="K892" s="15">
        <v>889</v>
      </c>
      <c r="L892">
        <f t="shared" si="13"/>
        <v>1</v>
      </c>
    </row>
    <row r="893" spans="1:12" ht="16.5" x14ac:dyDescent="0.2">
      <c r="A893" s="4" t="s">
        <v>241</v>
      </c>
      <c r="B893">
        <v>2010</v>
      </c>
      <c r="C893" s="14">
        <f>859.9*(2/3*10)</f>
        <v>5732.6666666666661</v>
      </c>
      <c r="D893" s="14">
        <f>112*(2/3*10)</f>
        <v>746.66666666666663</v>
      </c>
      <c r="E893" s="14">
        <f>74.5*(2/3*10)</f>
        <v>496.66666666666663</v>
      </c>
      <c r="F893" s="14">
        <f>11*(2/3*10)</f>
        <v>73.333333333333329</v>
      </c>
      <c r="G893" s="14">
        <f>213*(2/3*10)</f>
        <v>1419.9999999999998</v>
      </c>
      <c r="H893" s="14">
        <f>59.9*(2/3*10)</f>
        <v>399.33333333333331</v>
      </c>
      <c r="I893" s="14">
        <f>127.2*(2/3*10)</f>
        <v>848</v>
      </c>
      <c r="K893">
        <v>890</v>
      </c>
      <c r="L893">
        <f t="shared" si="13"/>
        <v>2</v>
      </c>
    </row>
    <row r="894" spans="1:12" ht="16.5" x14ac:dyDescent="0.2">
      <c r="A894" s="4" t="s">
        <v>241</v>
      </c>
      <c r="B894">
        <v>2011</v>
      </c>
      <c r="C894" s="14">
        <f>858.5*(2/3*10)</f>
        <v>5723.333333333333</v>
      </c>
      <c r="D894" s="14">
        <f>111.6*(2/3*10)</f>
        <v>743.99999999999989</v>
      </c>
      <c r="E894" s="14">
        <f>74.3*(2/3*10)</f>
        <v>495.33333333333326</v>
      </c>
      <c r="F894" s="14">
        <f>10.7*(2/3*10)</f>
        <v>71.333333333333329</v>
      </c>
      <c r="G894" s="14">
        <f>214.7*(2/3*10)</f>
        <v>1431.3333333333333</v>
      </c>
      <c r="H894" s="14">
        <f>61.3*(2/3*10)</f>
        <v>408.66666666666663</v>
      </c>
      <c r="I894" s="14">
        <f>126.3*(2/3*10)</f>
        <v>841.99999999999989</v>
      </c>
      <c r="K894" s="15">
        <v>891</v>
      </c>
      <c r="L894">
        <f t="shared" si="13"/>
        <v>3</v>
      </c>
    </row>
    <row r="895" spans="1:12" ht="16.5" x14ac:dyDescent="0.2">
      <c r="A895" s="4" t="s">
        <v>241</v>
      </c>
      <c r="B895">
        <v>2012</v>
      </c>
      <c r="C895" s="14">
        <f>857.1*(2/3*10)</f>
        <v>5714</v>
      </c>
      <c r="D895" s="14">
        <f>111.2*(2/3*10)</f>
        <v>741.33333333333326</v>
      </c>
      <c r="E895" s="14">
        <f>74*(2/3*10)</f>
        <v>493.33333333333331</v>
      </c>
      <c r="F895" s="14">
        <f>10.4*(2/3*10)</f>
        <v>69.333333333333329</v>
      </c>
      <c r="G895" s="14">
        <f>216.5*(2/3*10)</f>
        <v>1443.3333333333333</v>
      </c>
      <c r="H895" s="14">
        <f>62*(2/3*10)</f>
        <v>413.33333333333331</v>
      </c>
      <c r="I895" s="14">
        <f>125.8*(2/3*10)</f>
        <v>838.66666666666663</v>
      </c>
      <c r="K895">
        <v>892</v>
      </c>
      <c r="L895">
        <f t="shared" si="13"/>
        <v>4</v>
      </c>
    </row>
    <row r="896" spans="1:12" ht="16.5" x14ac:dyDescent="0.2">
      <c r="A896" s="4" t="s">
        <v>241</v>
      </c>
      <c r="B896">
        <v>2013</v>
      </c>
      <c r="C896" s="14">
        <f>857.2*(2/3*10)</f>
        <v>5714.6666666666661</v>
      </c>
      <c r="D896" s="14">
        <f>111.2*(2/3*10)</f>
        <v>741.33333333333326</v>
      </c>
      <c r="E896" s="14">
        <f>73.7*(2/3*10)</f>
        <v>491.33333333333331</v>
      </c>
      <c r="F896" s="14">
        <f>10.4*(2/3*10)</f>
        <v>69.333333333333329</v>
      </c>
      <c r="G896" s="14">
        <f>216.4*(2/3*10)</f>
        <v>1442.6666666666665</v>
      </c>
      <c r="H896" s="14">
        <f>62.4*(2/3*10)</f>
        <v>415.99999999999994</v>
      </c>
      <c r="I896" s="14">
        <f>125.6*(2/3*10)</f>
        <v>837.33333333333326</v>
      </c>
      <c r="K896" s="15">
        <v>893</v>
      </c>
      <c r="L896">
        <f t="shared" si="13"/>
        <v>5</v>
      </c>
    </row>
    <row r="897" spans="1:12" ht="16.5" x14ac:dyDescent="0.2">
      <c r="A897" s="4" t="s">
        <v>241</v>
      </c>
      <c r="B897">
        <v>2014</v>
      </c>
      <c r="C897" s="14">
        <f>856.8*(2/3*10)</f>
        <v>5711.9999999999991</v>
      </c>
      <c r="D897" s="14">
        <f>111*(2/3*10)</f>
        <v>739.99999999999989</v>
      </c>
      <c r="E897" s="14">
        <f>73.2*(2/3*10)</f>
        <v>488</v>
      </c>
      <c r="F897" s="14">
        <f>10.3*(2/3*10)</f>
        <v>68.666666666666671</v>
      </c>
      <c r="G897" s="14">
        <f>217.4*(2/3*10)</f>
        <v>1449.3333333333333</v>
      </c>
      <c r="H897" s="14">
        <f>62.5*(2/3*10)</f>
        <v>416.66666666666663</v>
      </c>
      <c r="I897" s="14">
        <f>124.9*(2/3*10)</f>
        <v>832.66666666666663</v>
      </c>
      <c r="K897">
        <v>894</v>
      </c>
      <c r="L897">
        <f t="shared" si="13"/>
        <v>6</v>
      </c>
    </row>
    <row r="898" spans="1:12" ht="16.5" x14ac:dyDescent="0.2">
      <c r="A898" s="4" t="s">
        <v>241</v>
      </c>
      <c r="B898">
        <v>2015</v>
      </c>
      <c r="C898" s="14">
        <f>857.8*(2/3*10)</f>
        <v>5718.6666666666661</v>
      </c>
      <c r="D898" s="14">
        <f>110.7*(2/3*10)</f>
        <v>738</v>
      </c>
      <c r="E898" s="14">
        <f>72.1*(2/3*10)</f>
        <v>480.66666666666657</v>
      </c>
      <c r="F898" s="14">
        <f>10.2*(2/3*10)</f>
        <v>67.999999999999986</v>
      </c>
      <c r="G898" s="14">
        <f>218.4*(2/3*10)</f>
        <v>1456</v>
      </c>
      <c r="H898" s="14">
        <f>63*(2/3*10)</f>
        <v>419.99999999999994</v>
      </c>
      <c r="I898" s="14">
        <f>124.1*(2/3*10)</f>
        <v>827.33333333333326</v>
      </c>
      <c r="K898" s="15">
        <v>895</v>
      </c>
      <c r="L898">
        <f t="shared" si="13"/>
        <v>7</v>
      </c>
    </row>
    <row r="899" spans="1:12" ht="16.5" x14ac:dyDescent="0.2">
      <c r="A899" s="4" t="s">
        <v>241</v>
      </c>
      <c r="B899">
        <v>2016</v>
      </c>
      <c r="C899" s="14">
        <f>859*(2/3*10)</f>
        <v>5726.6666666666661</v>
      </c>
      <c r="D899" s="14">
        <f>110.3*(2/3*10)</f>
        <v>735.33333333333326</v>
      </c>
      <c r="E899" s="14">
        <f>70.4*(2/3*10)</f>
        <v>469.33333333333331</v>
      </c>
      <c r="F899" s="14">
        <f>10.2*(2/3*10)</f>
        <v>67.999999999999986</v>
      </c>
      <c r="G899" s="14">
        <f>219.5*(2/3*10)</f>
        <v>1463.3333333333333</v>
      </c>
      <c r="H899" s="14">
        <f>63.7*(2/3*10)</f>
        <v>424.66666666666663</v>
      </c>
      <c r="I899" s="14">
        <f>123.2*(2/3*10)</f>
        <v>821.33333333333326</v>
      </c>
      <c r="K899">
        <v>896</v>
      </c>
      <c r="L899">
        <f t="shared" si="13"/>
        <v>0</v>
      </c>
    </row>
    <row r="900" spans="1:12" ht="16.5" x14ac:dyDescent="0.2">
      <c r="A900" s="4" t="s">
        <v>240</v>
      </c>
      <c r="B900">
        <v>2009</v>
      </c>
      <c r="C900" s="14">
        <f>1080.4*(2/3*10)</f>
        <v>7202.666666666667</v>
      </c>
      <c r="D900" s="14">
        <f>74.7*(2/3*10)</f>
        <v>498</v>
      </c>
      <c r="E900" s="14">
        <f>906.8*(2/3*10)</f>
        <v>6045.3333333333321</v>
      </c>
      <c r="F900" s="14">
        <f>9.1*(2/3*10)</f>
        <v>60.666666666666657</v>
      </c>
      <c r="G900" s="14">
        <f>249.5*(2/3*10)</f>
        <v>1663.3333333333333</v>
      </c>
      <c r="H900" s="14">
        <f>44.8*(2/3*10)</f>
        <v>298.66666666666663</v>
      </c>
      <c r="I900" s="14">
        <f>348.9*(2/3*10)</f>
        <v>2325.9999999999995</v>
      </c>
      <c r="K900">
        <v>897</v>
      </c>
      <c r="L900">
        <f t="shared" ref="L900:L959" si="14">MOD(K900,8)</f>
        <v>1</v>
      </c>
    </row>
    <row r="901" spans="1:12" ht="16.5" x14ac:dyDescent="0.2">
      <c r="A901" s="4" t="s">
        <v>240</v>
      </c>
      <c r="B901">
        <v>2010</v>
      </c>
      <c r="C901" s="14">
        <f>1079.5*(2/3*10)</f>
        <v>7196.6666666666661</v>
      </c>
      <c r="D901" s="14">
        <f>74.5*(2/3*10)</f>
        <v>496.66666666666663</v>
      </c>
      <c r="E901" s="14">
        <f>906.3*(2/3*10)</f>
        <v>6041.9999999999991</v>
      </c>
      <c r="F901" s="14">
        <f>9.1*(2/3*10)</f>
        <v>60.666666666666657</v>
      </c>
      <c r="G901" s="14">
        <f>252.1*(2/3*10)</f>
        <v>1680.6666666666663</v>
      </c>
      <c r="H901" s="14">
        <f>45.4*(2/3*10)</f>
        <v>302.66666666666663</v>
      </c>
      <c r="I901" s="14">
        <f>347.1*(2/3*10)</f>
        <v>2314</v>
      </c>
      <c r="K901" s="15">
        <v>898</v>
      </c>
      <c r="L901">
        <f t="shared" si="14"/>
        <v>2</v>
      </c>
    </row>
    <row r="902" spans="1:12" ht="16.5" x14ac:dyDescent="0.2">
      <c r="A902" s="4" t="s">
        <v>240</v>
      </c>
      <c r="B902">
        <v>2011</v>
      </c>
      <c r="C902" s="14">
        <f>1077.5*(2/3*10)</f>
        <v>7183.333333333333</v>
      </c>
      <c r="D902" s="14">
        <f>74.5*(2/3*10)</f>
        <v>496.66666666666663</v>
      </c>
      <c r="E902" s="14">
        <f>905.6*(2/3*10)</f>
        <v>6037.333333333333</v>
      </c>
      <c r="F902" s="14">
        <f>9*(2/3*10)</f>
        <v>59.999999999999993</v>
      </c>
      <c r="G902" s="14">
        <f>255.6*(2/3*10)</f>
        <v>1703.9999999999995</v>
      </c>
      <c r="H902" s="14">
        <f>45.6*(2/3*10)</f>
        <v>304</v>
      </c>
      <c r="I902" s="14">
        <f>346.3*(2/3*10)</f>
        <v>2308.6666666666665</v>
      </c>
      <c r="K902">
        <v>899</v>
      </c>
      <c r="L902">
        <f t="shared" si="14"/>
        <v>3</v>
      </c>
    </row>
    <row r="903" spans="1:12" ht="16.5" x14ac:dyDescent="0.2">
      <c r="A903" s="4" t="s">
        <v>240</v>
      </c>
      <c r="B903">
        <v>2012</v>
      </c>
      <c r="C903" s="14">
        <f>1077*(2/3*10)</f>
        <v>7179.9999999999991</v>
      </c>
      <c r="D903" s="14">
        <f>74.3*(2/3*10)</f>
        <v>495.33333333333326</v>
      </c>
      <c r="E903" s="14">
        <f>905.1*(2/3*10)</f>
        <v>6034</v>
      </c>
      <c r="F903" s="14">
        <f>8.7*(2/3*10)</f>
        <v>57.999999999999993</v>
      </c>
      <c r="G903" s="14">
        <f>257.7*(2/3*10)</f>
        <v>1717.9999999999998</v>
      </c>
      <c r="H903" s="14">
        <f>45.9*(2/3*10)</f>
        <v>305.99999999999994</v>
      </c>
      <c r="I903" s="14">
        <f>345.2*(2/3*10)</f>
        <v>2301.333333333333</v>
      </c>
      <c r="K903" s="15">
        <v>900</v>
      </c>
      <c r="L903">
        <f t="shared" si="14"/>
        <v>4</v>
      </c>
    </row>
    <row r="904" spans="1:12" ht="16.5" x14ac:dyDescent="0.2">
      <c r="A904" s="4" t="s">
        <v>240</v>
      </c>
      <c r="B904">
        <v>2013</v>
      </c>
      <c r="C904" s="14">
        <f>1076.6*(2/3*10)</f>
        <v>7177.3333333333321</v>
      </c>
      <c r="D904" s="14">
        <f>74.3*(2/3*10)</f>
        <v>495.33333333333326</v>
      </c>
      <c r="E904" s="14">
        <f>904.6*(2/3*10)</f>
        <v>6030.6666666666661</v>
      </c>
      <c r="F904" s="14">
        <f>8.5*(2/3*10)</f>
        <v>56.666666666666664</v>
      </c>
      <c r="G904" s="14">
        <f>259.1*(2/3*10)</f>
        <v>1727.3333333333333</v>
      </c>
      <c r="H904" s="14">
        <f>46.3*(2/3*10)</f>
        <v>308.66666666666663</v>
      </c>
      <c r="I904" s="14">
        <f>344.5*(2/3*10)</f>
        <v>2296.6666666666665</v>
      </c>
      <c r="K904">
        <v>901</v>
      </c>
      <c r="L904">
        <f t="shared" si="14"/>
        <v>5</v>
      </c>
    </row>
    <row r="905" spans="1:12" ht="16.5" x14ac:dyDescent="0.2">
      <c r="A905" s="4" t="s">
        <v>240</v>
      </c>
      <c r="B905">
        <v>2014</v>
      </c>
      <c r="C905" s="14">
        <f>1074.7*(2/3*10)</f>
        <v>7164.6666666666661</v>
      </c>
      <c r="D905" s="14">
        <f>74.1*(2/3*10)</f>
        <v>493.99999999999994</v>
      </c>
      <c r="E905" s="14">
        <f>903.5*(2/3*10)</f>
        <v>6023.333333333333</v>
      </c>
      <c r="F905" s="14">
        <f>8.3*(2/3*10)</f>
        <v>55.333333333333336</v>
      </c>
      <c r="G905" s="14">
        <f>262.1*(2/3*10)</f>
        <v>1747.333333333333</v>
      </c>
      <c r="H905" s="14">
        <f>47.8*(2/3*10)</f>
        <v>318.66666666666663</v>
      </c>
      <c r="I905" s="14">
        <f>343.2*(2/3*10)</f>
        <v>2287.9999999999995</v>
      </c>
      <c r="K905">
        <v>902</v>
      </c>
      <c r="L905">
        <f t="shared" si="14"/>
        <v>6</v>
      </c>
    </row>
    <row r="906" spans="1:12" ht="16.5" x14ac:dyDescent="0.2">
      <c r="A906" s="4" t="s">
        <v>240</v>
      </c>
      <c r="B906">
        <v>2015</v>
      </c>
      <c r="C906" s="14">
        <f>1076.7*(2/3*10)</f>
        <v>7178</v>
      </c>
      <c r="D906" s="14">
        <f>73.8*(2/3*10)</f>
        <v>491.99999999999994</v>
      </c>
      <c r="E906" s="14">
        <f>902.5*(2/3*10)</f>
        <v>6016.6666666666661</v>
      </c>
      <c r="F906" s="14">
        <f>8.2*(2/3*10)</f>
        <v>54.666666666666657</v>
      </c>
      <c r="G906" s="14">
        <f>261.8*(2/3*10)</f>
        <v>1745.3333333333333</v>
      </c>
      <c r="H906" s="14">
        <f>48.2*(2/3*10)</f>
        <v>321.33333333333331</v>
      </c>
      <c r="I906" s="14">
        <f>342.5*(2/3*10)</f>
        <v>2283.333333333333</v>
      </c>
      <c r="K906" s="15">
        <v>903</v>
      </c>
      <c r="L906">
        <f t="shared" si="14"/>
        <v>7</v>
      </c>
    </row>
    <row r="907" spans="1:12" ht="16.5" x14ac:dyDescent="0.2">
      <c r="A907" s="4" t="s">
        <v>240</v>
      </c>
      <c r="B907">
        <v>2016</v>
      </c>
      <c r="C907" s="14">
        <f>779.9*(2/3*10)</f>
        <v>5199.333333333333</v>
      </c>
      <c r="D907" s="14">
        <f>72.6*(2/3*10)</f>
        <v>483.99999999999994</v>
      </c>
      <c r="E907" s="14">
        <f>899.3*(2/3*10)</f>
        <v>5995.3333333333321</v>
      </c>
      <c r="F907" s="14">
        <f>8.1*(2/3*10)</f>
        <v>53.999999999999993</v>
      </c>
      <c r="G907" s="14">
        <f>221.7*(2/3*10)</f>
        <v>1477.9999999999998</v>
      </c>
      <c r="H907" s="14">
        <f>38.3*(2/3*10)</f>
        <v>255.33333333333329</v>
      </c>
      <c r="I907" s="14">
        <f>252.4*(2/3*10)</f>
        <v>1682.6666666666665</v>
      </c>
      <c r="K907">
        <v>904</v>
      </c>
      <c r="L907">
        <f t="shared" si="14"/>
        <v>0</v>
      </c>
    </row>
    <row r="908" spans="1:12" ht="16.5" x14ac:dyDescent="0.2">
      <c r="A908" s="4" t="s">
        <v>239</v>
      </c>
      <c r="B908">
        <v>2009</v>
      </c>
      <c r="C908" s="14">
        <f>898.5*(2/3*10)</f>
        <v>5989.9999999999991</v>
      </c>
      <c r="D908" s="14">
        <f>7.6*(2/3*10)</f>
        <v>50.666666666666657</v>
      </c>
      <c r="E908" s="14">
        <f>29.3*(2/3*10)</f>
        <v>195.33333333333331</v>
      </c>
      <c r="F908" s="14">
        <f>0.2*(2/3*10)</f>
        <v>1.3333333333333333</v>
      </c>
      <c r="G908" s="14">
        <f>187.9*(2/3*10)</f>
        <v>1252.6666666666665</v>
      </c>
      <c r="H908" s="14">
        <f>45.2*(2/3*10)</f>
        <v>301.33333333333331</v>
      </c>
      <c r="I908" s="14">
        <f>106.4*(2/3*10)</f>
        <v>709.33333333333326</v>
      </c>
      <c r="K908" s="15">
        <v>905</v>
      </c>
      <c r="L908">
        <f t="shared" si="14"/>
        <v>1</v>
      </c>
    </row>
    <row r="909" spans="1:12" ht="16.5" x14ac:dyDescent="0.2">
      <c r="A909" s="4" t="s">
        <v>239</v>
      </c>
      <c r="B909">
        <v>2010</v>
      </c>
      <c r="C909" s="14">
        <f>896.2*(2/3*10)</f>
        <v>5974.6666666666661</v>
      </c>
      <c r="D909" s="14">
        <f>7.5*(2/3*10)</f>
        <v>49.999999999999993</v>
      </c>
      <c r="E909" s="14">
        <f>29.2*(2/3*10)</f>
        <v>194.66666666666666</v>
      </c>
      <c r="F909" s="14">
        <f>0.2*(2/3*10)</f>
        <v>1.3333333333333333</v>
      </c>
      <c r="G909" s="14">
        <f>190.3*(2/3*10)</f>
        <v>1268.6666666666665</v>
      </c>
      <c r="H909" s="14">
        <f>45.5*(2/3*10)</f>
        <v>303.33333333333331</v>
      </c>
      <c r="I909" s="14">
        <f>106.2*(2/3*10)</f>
        <v>708</v>
      </c>
      <c r="K909">
        <v>906</v>
      </c>
      <c r="L909">
        <f t="shared" si="14"/>
        <v>2</v>
      </c>
    </row>
    <row r="910" spans="1:12" ht="16.5" x14ac:dyDescent="0.2">
      <c r="A910" s="4" t="s">
        <v>239</v>
      </c>
      <c r="B910">
        <v>2011</v>
      </c>
      <c r="C910" s="14">
        <f>897.3*(2/3*10)</f>
        <v>5981.9999999999991</v>
      </c>
      <c r="D910" s="14">
        <f>7.4*(2/3*10)</f>
        <v>49.333333333333329</v>
      </c>
      <c r="E910" s="14">
        <f>28.1*(2/3*10)</f>
        <v>187.33333333333331</v>
      </c>
      <c r="F910" s="14">
        <f>0.2*(2/3*10)</f>
        <v>1.3333333333333333</v>
      </c>
      <c r="G910" s="14">
        <f>190.4*(2/3*10)</f>
        <v>1269.3333333333335</v>
      </c>
      <c r="H910" s="14">
        <f>46*(2/3*10)</f>
        <v>306.66666666666663</v>
      </c>
      <c r="I910" s="14">
        <f>105.4*(2/3*10)</f>
        <v>702.66666666666663</v>
      </c>
      <c r="K910">
        <v>907</v>
      </c>
      <c r="L910">
        <f t="shared" si="14"/>
        <v>3</v>
      </c>
    </row>
    <row r="911" spans="1:12" ht="16.5" x14ac:dyDescent="0.2">
      <c r="A911" s="4" t="s">
        <v>239</v>
      </c>
      <c r="B911">
        <v>2012</v>
      </c>
      <c r="C911" s="14">
        <f>899*(2/3*10)</f>
        <v>5993.333333333333</v>
      </c>
      <c r="D911" s="14">
        <f>7.3*(2/3*10)</f>
        <v>48.666666666666664</v>
      </c>
      <c r="E911" s="14">
        <f>27.3*(2/3*10)</f>
        <v>182</v>
      </c>
      <c r="F911" s="14">
        <f>0.2*(2/3*10)</f>
        <v>1.3333333333333333</v>
      </c>
      <c r="G911" s="14">
        <f>190*(2/3*10)</f>
        <v>1266.6666666666665</v>
      </c>
      <c r="H911" s="14">
        <f>46.4*(2/3*10)</f>
        <v>309.33333333333331</v>
      </c>
      <c r="I911" s="14">
        <f>104.9*(2/3*10)</f>
        <v>699.33333333333326</v>
      </c>
      <c r="K911" s="15">
        <v>908</v>
      </c>
      <c r="L911">
        <f t="shared" si="14"/>
        <v>4</v>
      </c>
    </row>
    <row r="912" spans="1:12" ht="16.5" x14ac:dyDescent="0.2">
      <c r="A912" s="4" t="s">
        <v>239</v>
      </c>
      <c r="B912">
        <v>2013</v>
      </c>
      <c r="C912" s="14">
        <f>899.1*(2/3*10)</f>
        <v>5994</v>
      </c>
      <c r="D912" s="14">
        <f>7.2*(2/3*10)</f>
        <v>48</v>
      </c>
      <c r="E912" s="14">
        <f>26.6*(2/3*10)</f>
        <v>177.33333333333331</v>
      </c>
      <c r="F912" s="14">
        <f>0.2*(2/3*10)</f>
        <v>1.3333333333333333</v>
      </c>
      <c r="G912" s="14">
        <f>190.8*(2/3*10)</f>
        <v>1272</v>
      </c>
      <c r="H912" s="14">
        <f>46.7*(2/3*10)</f>
        <v>311.33333333333331</v>
      </c>
      <c r="I912" s="14">
        <f>104.3*(2/3*10)</f>
        <v>695.33333333333326</v>
      </c>
      <c r="K912">
        <v>909</v>
      </c>
      <c r="L912">
        <f t="shared" si="14"/>
        <v>5</v>
      </c>
    </row>
    <row r="913" spans="1:12" ht="16.5" x14ac:dyDescent="0.2">
      <c r="A913" s="4" t="s">
        <v>239</v>
      </c>
      <c r="B913">
        <v>2014</v>
      </c>
      <c r="C913" s="14">
        <f>898.6*(2/3*10)</f>
        <v>5990.6666666666661</v>
      </c>
      <c r="D913" s="14">
        <f>7*(2/3*10)</f>
        <v>46.666666666666664</v>
      </c>
      <c r="E913" s="14">
        <f>25.8*(2/3*10)</f>
        <v>172</v>
      </c>
      <c r="F913" s="14">
        <f>0.2*(2/3*10)</f>
        <v>1.3333333333333333</v>
      </c>
      <c r="G913" s="14">
        <f>191.9*(2/3*10)</f>
        <v>1279.333333333333</v>
      </c>
      <c r="H913" s="14">
        <f>47.6*(2/3*10)</f>
        <v>317.33333333333331</v>
      </c>
      <c r="I913" s="14">
        <f>103.8*(2/3*10)</f>
        <v>691.99999999999989</v>
      </c>
      <c r="K913" s="15">
        <v>910</v>
      </c>
      <c r="L913">
        <f t="shared" si="14"/>
        <v>6</v>
      </c>
    </row>
    <row r="914" spans="1:12" ht="16.5" x14ac:dyDescent="0.2">
      <c r="A914" s="4" t="s">
        <v>239</v>
      </c>
      <c r="B914">
        <v>2015</v>
      </c>
      <c r="C914" s="14">
        <f>897.9*(2/3*10)</f>
        <v>5985.9999999999991</v>
      </c>
      <c r="D914" s="14">
        <f>6.8*(2/3*10)</f>
        <v>45.333333333333329</v>
      </c>
      <c r="E914" s="14">
        <f>25.4*(2/3*10)</f>
        <v>169.33333333333331</v>
      </c>
      <c r="F914" s="14">
        <f>0.2*(2/3*10)</f>
        <v>1.3333333333333333</v>
      </c>
      <c r="G914" s="14">
        <f>193.3*(2/3*10)</f>
        <v>1288.6666666666665</v>
      </c>
      <c r="H914" s="14">
        <f>47.8*(2/3*10)</f>
        <v>318.66666666666663</v>
      </c>
      <c r="I914" s="14">
        <f>103.6*(2/3*10)</f>
        <v>690.66666666666652</v>
      </c>
      <c r="K914">
        <v>911</v>
      </c>
      <c r="L914">
        <f t="shared" si="14"/>
        <v>7</v>
      </c>
    </row>
    <row r="915" spans="1:12" ht="16.5" x14ac:dyDescent="0.2">
      <c r="A915" s="4" t="s">
        <v>239</v>
      </c>
      <c r="B915">
        <v>2016</v>
      </c>
      <c r="C915" s="14">
        <f>897.9*(2/3*10)</f>
        <v>5985.9999999999991</v>
      </c>
      <c r="D915" s="14">
        <f>6.2*(2/3*10)</f>
        <v>41.333333333333329</v>
      </c>
      <c r="E915" s="14">
        <f>24.6*(2/3*10)</f>
        <v>164</v>
      </c>
      <c r="F915" s="14">
        <f>0.2*(2/3*10)</f>
        <v>1.3333333333333333</v>
      </c>
      <c r="G915" s="14">
        <f>194.8*(2/3*10)</f>
        <v>1298.6666666666665</v>
      </c>
      <c r="H915" s="14">
        <f>48.4*(2/3*10)</f>
        <v>322.66666666666663</v>
      </c>
      <c r="I915" s="14">
        <f>102.1*(2/3*10)</f>
        <v>680.66666666666652</v>
      </c>
      <c r="K915">
        <v>912</v>
      </c>
      <c r="L915">
        <f t="shared" si="14"/>
        <v>0</v>
      </c>
    </row>
    <row r="916" spans="1:12" ht="16.5" x14ac:dyDescent="0.2">
      <c r="A916" s="4" t="s">
        <v>238</v>
      </c>
      <c r="B916">
        <v>2009</v>
      </c>
      <c r="C916" s="14">
        <f>208.5*(2/3*10)</f>
        <v>1389.9999999999998</v>
      </c>
      <c r="D916" s="14">
        <f>27.9*(2/3*10)</f>
        <v>185.99999999999997</v>
      </c>
      <c r="E916" s="14">
        <f>809.7*(2/3*10)</f>
        <v>5398</v>
      </c>
      <c r="F916" s="14">
        <f>7.7*(2/3*10)</f>
        <v>51.333333333333329</v>
      </c>
      <c r="G916" s="14">
        <f>62.6*(2/3*10)</f>
        <v>417.33333333333331</v>
      </c>
      <c r="H916" s="14">
        <f>14.6*(2/3*10)</f>
        <v>97.333333333333329</v>
      </c>
      <c r="I916" s="14">
        <f>112.4*(2/3*10)</f>
        <v>749.33333333333326</v>
      </c>
      <c r="K916" s="15">
        <v>913</v>
      </c>
      <c r="L916">
        <f t="shared" si="14"/>
        <v>1</v>
      </c>
    </row>
    <row r="917" spans="1:12" ht="16.5" x14ac:dyDescent="0.2">
      <c r="A917" s="4" t="s">
        <v>238</v>
      </c>
      <c r="B917">
        <v>2010</v>
      </c>
      <c r="C917" s="14">
        <f>208.1*(2/3*10)</f>
        <v>1387.3333333333333</v>
      </c>
      <c r="D917" s="14">
        <f>27.9*(2/3*10)</f>
        <v>185.99999999999997</v>
      </c>
      <c r="E917" s="14">
        <f>809.3*(2/3*10)</f>
        <v>5395.3333333333321</v>
      </c>
      <c r="F917" s="14">
        <f>7.6*(2/3*10)</f>
        <v>50.666666666666657</v>
      </c>
      <c r="G917" s="14">
        <f>63.8*(2/3*10)</f>
        <v>425.33333333333326</v>
      </c>
      <c r="H917" s="14">
        <f>14.6*(2/3*10)</f>
        <v>97.333333333333329</v>
      </c>
      <c r="I917" s="14">
        <f>112.1*(2/3*10)</f>
        <v>747.33333333333326</v>
      </c>
      <c r="K917">
        <v>914</v>
      </c>
      <c r="L917">
        <f t="shared" si="14"/>
        <v>2</v>
      </c>
    </row>
    <row r="918" spans="1:12" ht="16.5" x14ac:dyDescent="0.2">
      <c r="A918" s="4" t="s">
        <v>238</v>
      </c>
      <c r="B918">
        <v>2011</v>
      </c>
      <c r="C918" s="14">
        <f>207.8*(2/3*10)</f>
        <v>1385.3333333333333</v>
      </c>
      <c r="D918" s="14">
        <f>27.8*(2/3*10)</f>
        <v>185.33333333333331</v>
      </c>
      <c r="E918" s="14">
        <f>807.8*(2/3*10)</f>
        <v>5385.3333333333321</v>
      </c>
      <c r="F918" s="14">
        <f>7.4*(2/3*10)</f>
        <v>49.333333333333329</v>
      </c>
      <c r="G918" s="14">
        <f>66.1*(2/3*10)</f>
        <v>440.66666666666669</v>
      </c>
      <c r="H918" s="14">
        <f>15*(2/3*10)</f>
        <v>99.999999999999986</v>
      </c>
      <c r="I918" s="14">
        <f>111.4*(2/3*10)</f>
        <v>742.66666666666663</v>
      </c>
      <c r="K918" s="15">
        <v>915</v>
      </c>
      <c r="L918">
        <f t="shared" si="14"/>
        <v>3</v>
      </c>
    </row>
    <row r="919" spans="1:12" ht="16.5" x14ac:dyDescent="0.2">
      <c r="A919" s="4" t="s">
        <v>238</v>
      </c>
      <c r="B919">
        <v>2012</v>
      </c>
      <c r="C919" s="14">
        <f>206.8*(2/3*10)</f>
        <v>1378.6666666666665</v>
      </c>
      <c r="D919" s="14">
        <f>27.7*(2/3*10)</f>
        <v>184.66666666666666</v>
      </c>
      <c r="E919" s="14">
        <f>806.9*(2/3*10)</f>
        <v>5379.333333333333</v>
      </c>
      <c r="F919" s="14">
        <f>7.1*(2/3*10)</f>
        <v>47.333333333333329</v>
      </c>
      <c r="G919" s="14">
        <f>67.8*(2/3*10)</f>
        <v>451.99999999999994</v>
      </c>
      <c r="H919" s="14">
        <f>15.8*(2/3*10)</f>
        <v>105.33333333333333</v>
      </c>
      <c r="I919" s="14">
        <f>111*(2/3*10)</f>
        <v>739.99999999999989</v>
      </c>
      <c r="K919">
        <v>916</v>
      </c>
      <c r="L919">
        <f t="shared" si="14"/>
        <v>4</v>
      </c>
    </row>
    <row r="920" spans="1:12" ht="16.5" x14ac:dyDescent="0.2">
      <c r="A920" s="4" t="s">
        <v>238</v>
      </c>
      <c r="B920">
        <v>2013</v>
      </c>
      <c r="C920" s="14">
        <f>207.5*(2/3*10)</f>
        <v>1383.3333333333333</v>
      </c>
      <c r="D920" s="14">
        <f>27.7*(2/3*10)</f>
        <v>184.66666666666666</v>
      </c>
      <c r="E920" s="14">
        <f>806.3*(2/3*10)</f>
        <v>5375.3333333333321</v>
      </c>
      <c r="F920" s="14">
        <f>6.9*(2/3*10)</f>
        <v>46</v>
      </c>
      <c r="G920" s="14">
        <f>68.7*(2/3*10)</f>
        <v>458</v>
      </c>
      <c r="H920" s="14">
        <f>15.9*(2/3*10)</f>
        <v>106</v>
      </c>
      <c r="I920" s="14">
        <f>110.3*(2/3*10)</f>
        <v>735.33333333333326</v>
      </c>
      <c r="K920">
        <v>917</v>
      </c>
      <c r="L920">
        <f t="shared" si="14"/>
        <v>5</v>
      </c>
    </row>
    <row r="921" spans="1:12" ht="16.5" x14ac:dyDescent="0.2">
      <c r="A921" s="4" t="s">
        <v>238</v>
      </c>
      <c r="B921">
        <v>2014</v>
      </c>
      <c r="C921" s="14">
        <f>207*(2/3*10)</f>
        <v>1379.9999999999998</v>
      </c>
      <c r="D921" s="14">
        <f>27.7*(2/3*10)</f>
        <v>184.66666666666666</v>
      </c>
      <c r="E921" s="14">
        <f>805.7*(2/3*10)</f>
        <v>5371.333333333333</v>
      </c>
      <c r="F921" s="14">
        <f>6.8*(2/3*10)</f>
        <v>45.333333333333329</v>
      </c>
      <c r="G921" s="14">
        <f>69.9*(2/3*10)</f>
        <v>465.99999999999989</v>
      </c>
      <c r="H921" s="14">
        <f>16.3*(2/3*10)</f>
        <v>108.66666666666666</v>
      </c>
      <c r="I921" s="14">
        <f>109.9*(2/3*10)</f>
        <v>732.66666666666663</v>
      </c>
      <c r="K921" s="15">
        <v>918</v>
      </c>
      <c r="L921">
        <f t="shared" si="14"/>
        <v>6</v>
      </c>
    </row>
    <row r="922" spans="1:12" ht="16.5" x14ac:dyDescent="0.2">
      <c r="A922" s="4" t="s">
        <v>238</v>
      </c>
      <c r="B922">
        <v>2015</v>
      </c>
      <c r="C922" s="14">
        <f>207.1*(2/3*10)</f>
        <v>1380.6666666666665</v>
      </c>
      <c r="D922" s="14">
        <f>27.7*(2/3*10)</f>
        <v>184.66666666666666</v>
      </c>
      <c r="E922" s="14">
        <f>805.3*(2/3*10)</f>
        <v>5368.6666666666661</v>
      </c>
      <c r="F922" s="14">
        <f>6.7*(2/3*10)</f>
        <v>44.666666666666664</v>
      </c>
      <c r="G922" s="14">
        <f>70.5*(2/3*10)</f>
        <v>469.99999999999994</v>
      </c>
      <c r="H922" s="14">
        <f>16.3*(2/3*10)</f>
        <v>108.66666666666666</v>
      </c>
      <c r="I922" s="14">
        <f>109.7*(2/3*10)</f>
        <v>731.33333333333326</v>
      </c>
      <c r="K922">
        <v>919</v>
      </c>
      <c r="L922">
        <f t="shared" si="14"/>
        <v>7</v>
      </c>
    </row>
    <row r="923" spans="1:12" ht="16.5" x14ac:dyDescent="0.2">
      <c r="A923" s="4" t="s">
        <v>238</v>
      </c>
      <c r="B923">
        <v>2016</v>
      </c>
      <c r="C923" s="14">
        <f>207.4*(2/3*10)</f>
        <v>1382.6666666666665</v>
      </c>
      <c r="D923" s="14">
        <f>27.7*(2/3*10)</f>
        <v>184.66666666666666</v>
      </c>
      <c r="E923" s="14">
        <f>804.7*(2/3*10)</f>
        <v>5364.6666666666661</v>
      </c>
      <c r="F923" s="14">
        <f>6.6*(2/3*10)</f>
        <v>43.999999999999993</v>
      </c>
      <c r="G923" s="14">
        <f>70.5*(2/3*10)</f>
        <v>470.00000000000006</v>
      </c>
      <c r="H923" s="14">
        <f>16.6*(2/3*10)</f>
        <v>110.66666666666667</v>
      </c>
      <c r="I923" s="14">
        <f>109.5*(2/3*10)</f>
        <v>729.99999999999989</v>
      </c>
      <c r="K923" s="15">
        <v>920</v>
      </c>
      <c r="L923">
        <f t="shared" si="14"/>
        <v>0</v>
      </c>
    </row>
    <row r="924" spans="1:12" ht="16.5" x14ac:dyDescent="0.2">
      <c r="A924" s="4" t="s">
        <v>237</v>
      </c>
      <c r="B924">
        <v>2009</v>
      </c>
      <c r="C924" s="14">
        <f>374.8*(2/3*10)</f>
        <v>2498.6666666666665</v>
      </c>
      <c r="D924" s="14">
        <f>104.6*(2/3*10)</f>
        <v>697.33333333333326</v>
      </c>
      <c r="E924" s="14">
        <f>1052.5*(2/3*10)</f>
        <v>7016.6666666666661</v>
      </c>
      <c r="F924" s="14">
        <f>13.1*(2/3*10)</f>
        <v>87.333333333333329</v>
      </c>
      <c r="G924" s="14">
        <f>120.9*(2/3*10)</f>
        <v>805.99999999999989</v>
      </c>
      <c r="H924" s="14">
        <f>21.4*(2/3*10)</f>
        <v>142.66666666666666</v>
      </c>
      <c r="I924" s="14">
        <f>139.7*(2/3*10)</f>
        <v>931.33333333333314</v>
      </c>
      <c r="K924">
        <v>921</v>
      </c>
      <c r="L924">
        <f t="shared" si="14"/>
        <v>1</v>
      </c>
    </row>
    <row r="925" spans="1:12" ht="16.5" x14ac:dyDescent="0.2">
      <c r="A925" s="4" t="s">
        <v>237</v>
      </c>
      <c r="B925">
        <v>2010</v>
      </c>
      <c r="C925" s="14">
        <f>372.9*(2/3*10)</f>
        <v>2485.9999999999995</v>
      </c>
      <c r="D925" s="14">
        <f>104.4*(2/3*10)</f>
        <v>696</v>
      </c>
      <c r="E925" s="14">
        <f>1052.2*(2/3*10)</f>
        <v>7014.6666666666661</v>
      </c>
      <c r="F925" s="14">
        <f>12.7*(2/3*10)</f>
        <v>84.666666666666657</v>
      </c>
      <c r="G925" s="14">
        <f>122.2*(2/3*10)</f>
        <v>814.66666666666663</v>
      </c>
      <c r="H925" s="14">
        <f>22.8*(2/3*10)</f>
        <v>152</v>
      </c>
      <c r="I925" s="14">
        <f>139.5*(2/3*10)</f>
        <v>929.99999999999989</v>
      </c>
      <c r="K925">
        <v>922</v>
      </c>
      <c r="L925">
        <f t="shared" si="14"/>
        <v>2</v>
      </c>
    </row>
    <row r="926" spans="1:12" ht="16.5" x14ac:dyDescent="0.2">
      <c r="A926" s="4" t="s">
        <v>237</v>
      </c>
      <c r="B926">
        <v>2011</v>
      </c>
      <c r="C926" s="14">
        <f>372.8*(2/3*10)</f>
        <v>2485.333333333333</v>
      </c>
      <c r="D926" s="14">
        <f>104.3*(2/3*10)</f>
        <v>695.33333333333326</v>
      </c>
      <c r="E926" s="14">
        <f>1051*(2/3*10)</f>
        <v>7006.6666666666661</v>
      </c>
      <c r="F926" s="14">
        <f>12.3*(2/3*10)</f>
        <v>82</v>
      </c>
      <c r="G926" s="14">
        <f>123.3*(2/3*10)</f>
        <v>821.99999999999989</v>
      </c>
      <c r="H926" s="14">
        <f>23.7*(2/3*10)</f>
        <v>157.99999999999997</v>
      </c>
      <c r="I926" s="14">
        <f>139.2*(2/3*10)</f>
        <v>927.99999999999989</v>
      </c>
      <c r="K926" s="15">
        <v>923</v>
      </c>
      <c r="L926">
        <f t="shared" si="14"/>
        <v>3</v>
      </c>
    </row>
    <row r="927" spans="1:12" ht="16.5" x14ac:dyDescent="0.2">
      <c r="A927" s="4" t="s">
        <v>237</v>
      </c>
      <c r="B927">
        <v>2012</v>
      </c>
      <c r="C927" s="14">
        <f>372.4*(2/3*10)</f>
        <v>2482.6666666666665</v>
      </c>
      <c r="D927" s="14">
        <f>104*(2/3*10)</f>
        <v>693.33333333333326</v>
      </c>
      <c r="E927" s="14">
        <f>1049.4*(2/3*10)</f>
        <v>6996</v>
      </c>
      <c r="F927" s="14">
        <f>11.9*(2/3*10)</f>
        <v>79.333333333333329</v>
      </c>
      <c r="G927" s="14">
        <f>125.6*(2/3*10)</f>
        <v>837.33333333333337</v>
      </c>
      <c r="H927" s="14">
        <f>24.3*(2/3*10)</f>
        <v>162</v>
      </c>
      <c r="I927" s="14">
        <f>138.9*(2/3*10)</f>
        <v>926</v>
      </c>
      <c r="K927">
        <v>924</v>
      </c>
      <c r="L927">
        <f t="shared" si="14"/>
        <v>4</v>
      </c>
    </row>
    <row r="928" spans="1:12" ht="16.5" x14ac:dyDescent="0.2">
      <c r="A928" s="4" t="s">
        <v>237</v>
      </c>
      <c r="B928">
        <v>2013</v>
      </c>
      <c r="C928" s="14">
        <f>372.6*(2/3*10)</f>
        <v>2484</v>
      </c>
      <c r="D928" s="14">
        <f>103.8*(2/3*10)</f>
        <v>691.99999999999989</v>
      </c>
      <c r="E928" s="14">
        <f>1048*(2/3*10)</f>
        <v>6986.6666666666661</v>
      </c>
      <c r="F928" s="14">
        <f>11.7*(2/3*10)</f>
        <v>77.999999999999986</v>
      </c>
      <c r="G928" s="14">
        <f>126.6*(2/3*10)</f>
        <v>843.99999999999989</v>
      </c>
      <c r="H928" s="14">
        <f>25*(2/3*10)</f>
        <v>166.66666666666666</v>
      </c>
      <c r="I928" s="14">
        <f>138.6*(2/3*10)</f>
        <v>923.99999999999989</v>
      </c>
      <c r="K928" s="15">
        <v>925</v>
      </c>
      <c r="L928">
        <f t="shared" si="14"/>
        <v>5</v>
      </c>
    </row>
    <row r="929" spans="1:12" ht="16.5" x14ac:dyDescent="0.2">
      <c r="A929" s="4" t="s">
        <v>237</v>
      </c>
      <c r="B929">
        <v>2014</v>
      </c>
      <c r="C929" s="14">
        <f>372.1*(2/3*10)</f>
        <v>2480.6666666666665</v>
      </c>
      <c r="D929" s="14">
        <f>103.6*(2/3*10)</f>
        <v>690.66666666666652</v>
      </c>
      <c r="E929" s="14">
        <f>1046.3*(2/3*10)</f>
        <v>6975.3333333333321</v>
      </c>
      <c r="F929" s="14">
        <f>11.6*(2/3*10)</f>
        <v>77.333333333333329</v>
      </c>
      <c r="G929" s="14">
        <f>128.6*(2/3*10)</f>
        <v>857.33333333333326</v>
      </c>
      <c r="H929" s="14">
        <f>25.9*(2/3*10)</f>
        <v>172.66666666666663</v>
      </c>
      <c r="I929" s="14">
        <f>138.1*(2/3*10)</f>
        <v>920.66666666666652</v>
      </c>
      <c r="K929">
        <v>926</v>
      </c>
      <c r="L929">
        <f t="shared" si="14"/>
        <v>6</v>
      </c>
    </row>
    <row r="930" spans="1:12" ht="16.5" x14ac:dyDescent="0.2">
      <c r="A930" s="4" t="s">
        <v>237</v>
      </c>
      <c r="B930">
        <v>2015</v>
      </c>
      <c r="C930" s="14">
        <f>372.4*(2/3*10)</f>
        <v>2482.6666666666665</v>
      </c>
      <c r="D930" s="14">
        <f>103.3*(2/3*10)</f>
        <v>688.66666666666663</v>
      </c>
      <c r="E930" s="14">
        <f>1045.5*(2/3*10)</f>
        <v>6969.9999999999991</v>
      </c>
      <c r="F930" s="14">
        <f>11.4*(2/3*10)</f>
        <v>76</v>
      </c>
      <c r="G930" s="14">
        <f>129.3*(2/3*10)</f>
        <v>862</v>
      </c>
      <c r="H930" s="14">
        <f>26.3*(2/3*10)</f>
        <v>175.33333333333331</v>
      </c>
      <c r="I930" s="14">
        <f>137.8*(2/3*10)</f>
        <v>918.66666666666663</v>
      </c>
      <c r="K930">
        <v>927</v>
      </c>
      <c r="L930">
        <f t="shared" si="14"/>
        <v>7</v>
      </c>
    </row>
    <row r="931" spans="1:12" ht="16.5" x14ac:dyDescent="0.2">
      <c r="A931" s="4" t="s">
        <v>237</v>
      </c>
      <c r="B931">
        <v>2016</v>
      </c>
      <c r="C931" s="14">
        <f>372.4*(2/3*10)</f>
        <v>2482.6666666666665</v>
      </c>
      <c r="D931" s="14">
        <f>103.2*(2/3*10)</f>
        <v>688</v>
      </c>
      <c r="E931" s="14">
        <f>1044.6*(2/3*10)</f>
        <v>6963.9999999999991</v>
      </c>
      <c r="F931" s="14">
        <f>11.3*(2/3*10)</f>
        <v>75.333333333333329</v>
      </c>
      <c r="G931" s="14">
        <f>130.2*(2/3*10)</f>
        <v>867.99999999999989</v>
      </c>
      <c r="H931" s="14">
        <f>26.9*(2/3*10)</f>
        <v>179.33333333333331</v>
      </c>
      <c r="I931" s="14">
        <f>137.5*(2/3*10)</f>
        <v>916.66666666666663</v>
      </c>
      <c r="K931" s="15">
        <v>928</v>
      </c>
      <c r="L931">
        <f t="shared" si="14"/>
        <v>0</v>
      </c>
    </row>
    <row r="932" spans="1:12" ht="16.5" x14ac:dyDescent="0.2">
      <c r="A932" s="4" t="s">
        <v>236</v>
      </c>
      <c r="B932">
        <v>2009</v>
      </c>
      <c r="C932" s="14">
        <f>246.8*(2/3*10)</f>
        <v>1645.3333333333333</v>
      </c>
      <c r="D932" s="14">
        <f>85.5*(2/3*10)</f>
        <v>570</v>
      </c>
      <c r="E932" s="14">
        <f>1054.8*(2/3*10)</f>
        <v>7031.9999999999991</v>
      </c>
      <c r="F932" s="14">
        <f>17.5*(2/3*10)</f>
        <v>116.66666666666666</v>
      </c>
      <c r="G932" s="14">
        <f>125.7*(2/3*10)</f>
        <v>838</v>
      </c>
      <c r="H932" s="14">
        <f>31.1*(2/3*10)</f>
        <v>207.33333333333331</v>
      </c>
      <c r="I932" s="14">
        <f>196*(2/3*10)</f>
        <v>1306.6666666666665</v>
      </c>
      <c r="K932">
        <v>929</v>
      </c>
      <c r="L932">
        <f t="shared" si="14"/>
        <v>1</v>
      </c>
    </row>
    <row r="933" spans="1:12" ht="16.5" x14ac:dyDescent="0.2">
      <c r="A933" s="4" t="s">
        <v>236</v>
      </c>
      <c r="B933">
        <v>2010</v>
      </c>
      <c r="C933" s="14">
        <f>245.3*(2/3*10)</f>
        <v>1635.3333333333333</v>
      </c>
      <c r="D933" s="14">
        <f>84.4*(2/3*10)</f>
        <v>562.66666666666663</v>
      </c>
      <c r="E933" s="14">
        <f>1052*(2/3*10)</f>
        <v>7013.333333333333</v>
      </c>
      <c r="F933" s="14">
        <f>18.1*(2/3*10)</f>
        <v>120.66666666666667</v>
      </c>
      <c r="G933" s="14">
        <f>128.6*(2/3*10)</f>
        <v>857.33333333333326</v>
      </c>
      <c r="H933" s="14">
        <f>34.2*(2/3*10)</f>
        <v>228</v>
      </c>
      <c r="I933" s="14">
        <f>194.5*(2/3*10)</f>
        <v>1296.6666666666665</v>
      </c>
      <c r="K933" s="15">
        <v>930</v>
      </c>
      <c r="L933">
        <f t="shared" si="14"/>
        <v>2</v>
      </c>
    </row>
    <row r="934" spans="1:12" ht="16.5" x14ac:dyDescent="0.2">
      <c r="A934" s="4" t="s">
        <v>236</v>
      </c>
      <c r="B934">
        <v>2011</v>
      </c>
      <c r="C934" s="14">
        <f>243.6*(2/3*10)</f>
        <v>1623.9999999999998</v>
      </c>
      <c r="D934" s="14">
        <f>84.1*(2/3*10)</f>
        <v>560.66666666666663</v>
      </c>
      <c r="E934" s="14">
        <f>1050.2*(2/3*10)</f>
        <v>7001.333333333333</v>
      </c>
      <c r="F934" s="14">
        <f>18*(2/3*10)</f>
        <v>119.99999999999999</v>
      </c>
      <c r="G934" s="14">
        <f>133*(2/3*10)</f>
        <v>886.66666666666663</v>
      </c>
      <c r="H934" s="14">
        <f>35.4*(2/3*10)</f>
        <v>235.99999999999997</v>
      </c>
      <c r="I934" s="14">
        <f>193.1*(2/3*10)</f>
        <v>1287.3333333333333</v>
      </c>
      <c r="K934">
        <v>931</v>
      </c>
      <c r="L934">
        <f t="shared" si="14"/>
        <v>3</v>
      </c>
    </row>
    <row r="935" spans="1:12" ht="16.5" x14ac:dyDescent="0.2">
      <c r="A935" s="4" t="s">
        <v>236</v>
      </c>
      <c r="B935">
        <v>2012</v>
      </c>
      <c r="C935" s="14">
        <f>229*(2/3*10)</f>
        <v>1526.6666666666665</v>
      </c>
      <c r="D935" s="14">
        <f>83.7*(2/3*10)</f>
        <v>558</v>
      </c>
      <c r="E935" s="14">
        <f>1035.2*(2/3*10)</f>
        <v>6901.333333333333</v>
      </c>
      <c r="F935" s="14">
        <f>16.4*(2/3*10)</f>
        <v>109.33333333333331</v>
      </c>
      <c r="G935" s="14">
        <f>129.3*(2/3*10)</f>
        <v>862</v>
      </c>
      <c r="H935" s="14">
        <f>34.9*(2/3*10)</f>
        <v>232.66666666666663</v>
      </c>
      <c r="I935" s="14">
        <f>177.1*(2/3*10)</f>
        <v>1180.6666666666665</v>
      </c>
      <c r="K935">
        <v>932</v>
      </c>
      <c r="L935">
        <f t="shared" si="14"/>
        <v>4</v>
      </c>
    </row>
    <row r="936" spans="1:12" ht="16.5" x14ac:dyDescent="0.2">
      <c r="A936" s="4" t="s">
        <v>236</v>
      </c>
      <c r="B936">
        <v>2013</v>
      </c>
      <c r="C936" s="14">
        <f>227.7*(2/3*10)</f>
        <v>1517.9999999999998</v>
      </c>
      <c r="D936" s="14">
        <f>82.5*(2/3*10)</f>
        <v>550</v>
      </c>
      <c r="E936" s="14">
        <f>1033.9*(2/3*10)</f>
        <v>6892.666666666667</v>
      </c>
      <c r="F936" s="14">
        <f>17*(2/3*10)</f>
        <v>113.33333333333333</v>
      </c>
      <c r="G936" s="14">
        <f>133.1*(2/3*10)</f>
        <v>887.33333333333326</v>
      </c>
      <c r="H936" s="14">
        <f>35.4*(2/3*10)</f>
        <v>235.99999999999997</v>
      </c>
      <c r="I936" s="14">
        <f>176.3*(2/3*10)</f>
        <v>1175.3333333333333</v>
      </c>
      <c r="K936" s="15">
        <v>933</v>
      </c>
      <c r="L936">
        <f t="shared" si="14"/>
        <v>5</v>
      </c>
    </row>
    <row r="937" spans="1:12" ht="16.5" x14ac:dyDescent="0.2">
      <c r="A937" s="4" t="s">
        <v>236</v>
      </c>
      <c r="B937">
        <v>2014</v>
      </c>
      <c r="C937" s="14">
        <f>225.9*(2/3*10)</f>
        <v>1506</v>
      </c>
      <c r="D937" s="14">
        <f>81.8*(2/3*10)</f>
        <v>545.33333333333326</v>
      </c>
      <c r="E937" s="14">
        <f>1032.8*(2/3*10)</f>
        <v>6885.3333333333321</v>
      </c>
      <c r="F937" s="14">
        <f>17.2*(2/3*10)</f>
        <v>114.66666666666666</v>
      </c>
      <c r="G937" s="14">
        <f>135.6*(2/3*10)</f>
        <v>904.00000000000011</v>
      </c>
      <c r="H937" s="14">
        <f>37.2*(2/3*10)</f>
        <v>248</v>
      </c>
      <c r="I937" s="14">
        <f>175.4*(2/3*10)</f>
        <v>1169.3333333333333</v>
      </c>
      <c r="K937">
        <v>934</v>
      </c>
      <c r="L937">
        <f t="shared" si="14"/>
        <v>6</v>
      </c>
    </row>
    <row r="938" spans="1:12" ht="16.5" x14ac:dyDescent="0.2">
      <c r="A938" s="4" t="s">
        <v>236</v>
      </c>
      <c r="B938">
        <v>2015</v>
      </c>
      <c r="C938" s="14">
        <f>224.6*(2/3*10)</f>
        <v>1497.3333333333333</v>
      </c>
      <c r="D938" s="14">
        <f>81.3*(2/3*10)</f>
        <v>541.99999999999989</v>
      </c>
      <c r="E938" s="14">
        <f>1032.1*(2/3*10)</f>
        <v>6880.6666666666652</v>
      </c>
      <c r="F938" s="14">
        <f>17.3*(2/3*10)</f>
        <v>115.33333333333333</v>
      </c>
      <c r="G938" s="14">
        <f>138.1*(2/3*10)</f>
        <v>920.66666666666674</v>
      </c>
      <c r="H938" s="14">
        <f>38.7*(2/3*10)</f>
        <v>258</v>
      </c>
      <c r="I938" s="14">
        <f>174.8*(2/3*10)</f>
        <v>1165.3333333333333</v>
      </c>
      <c r="K938" s="15">
        <v>935</v>
      </c>
      <c r="L938">
        <f t="shared" si="14"/>
        <v>7</v>
      </c>
    </row>
    <row r="939" spans="1:12" ht="16.5" x14ac:dyDescent="0.2">
      <c r="A939" s="4" t="s">
        <v>236</v>
      </c>
      <c r="B939">
        <v>2016</v>
      </c>
      <c r="C939" s="14">
        <f>224*(2/3*10)</f>
        <v>1493.3333333333333</v>
      </c>
      <c r="D939" s="14">
        <f>80.8*(2/3*10)</f>
        <v>538.66666666666663</v>
      </c>
      <c r="E939" s="14">
        <f>1031.5*(2/3*10)</f>
        <v>6876.6666666666661</v>
      </c>
      <c r="F939" s="14">
        <f>17.5*(2/3*10)</f>
        <v>116.66666666666666</v>
      </c>
      <c r="G939" s="14">
        <f>139.9*(2/3*10)</f>
        <v>932.6666666666664</v>
      </c>
      <c r="H939" s="14">
        <f>39.7*(2/3*10)</f>
        <v>264.66666666666669</v>
      </c>
      <c r="I939" s="14">
        <f>174*(2/3*10)</f>
        <v>1160</v>
      </c>
      <c r="K939">
        <v>936</v>
      </c>
      <c r="L939">
        <f t="shared" si="14"/>
        <v>0</v>
      </c>
    </row>
    <row r="940" spans="1:12" ht="16.5" x14ac:dyDescent="0.2">
      <c r="A940" s="4" t="s">
        <v>235</v>
      </c>
      <c r="B940">
        <v>2009</v>
      </c>
      <c r="C940" s="14">
        <f>32.8*(2/3*10)</f>
        <v>218.66666666666663</v>
      </c>
      <c r="D940" s="14">
        <f>29.9*(2/3*10)</f>
        <v>199.33333333333331</v>
      </c>
      <c r="E940" s="14">
        <f>74.7*(2/3*10)</f>
        <v>498</v>
      </c>
      <c r="F940" s="14">
        <f>1*(2/3*10)</f>
        <v>6.6666666666666661</v>
      </c>
      <c r="G940" s="14">
        <f>57.4*(2/3*10)</f>
        <v>382.66666666666663</v>
      </c>
      <c r="H940" s="14">
        <f>15.9*(2/3*10)</f>
        <v>106</v>
      </c>
      <c r="I940" s="14">
        <f>35.2*(2/3*10)</f>
        <v>234.66666666666666</v>
      </c>
      <c r="K940">
        <v>937</v>
      </c>
      <c r="L940">
        <f t="shared" si="14"/>
        <v>1</v>
      </c>
    </row>
    <row r="941" spans="1:12" ht="16.5" x14ac:dyDescent="0.2">
      <c r="A941" s="4" t="s">
        <v>235</v>
      </c>
      <c r="B941">
        <v>2010</v>
      </c>
      <c r="C941" s="14">
        <f>31.6*(2/3*10)</f>
        <v>210.66666666666666</v>
      </c>
      <c r="D941" s="14">
        <f>28.7*(2/3*10)</f>
        <v>191.33333333333331</v>
      </c>
      <c r="E941" s="14">
        <f>74.3*(2/3*10)</f>
        <v>495.33333333333326</v>
      </c>
      <c r="F941" s="14">
        <f>1.6*(2/3*10)</f>
        <v>10.666666666666666</v>
      </c>
      <c r="G941" s="14">
        <f>59*(2/3*10)</f>
        <v>393.33333333333331</v>
      </c>
      <c r="H941" s="14">
        <f>16.6*(2/3*10)</f>
        <v>110.66666666666667</v>
      </c>
      <c r="I941" s="14">
        <f>35.1*(2/3*10)</f>
        <v>234</v>
      </c>
      <c r="K941" s="15">
        <v>938</v>
      </c>
      <c r="L941">
        <f t="shared" si="14"/>
        <v>2</v>
      </c>
    </row>
    <row r="942" spans="1:12" ht="16.5" x14ac:dyDescent="0.2">
      <c r="A942" s="4" t="s">
        <v>235</v>
      </c>
      <c r="B942">
        <v>2011</v>
      </c>
      <c r="C942" s="14">
        <f>30.9*(2/3*10)</f>
        <v>205.99999999999997</v>
      </c>
      <c r="D942" s="14">
        <f>27.9*(2/3*10)</f>
        <v>185.99999999999997</v>
      </c>
      <c r="E942" s="14">
        <f>74.2*(2/3*10)</f>
        <v>494.66666666666663</v>
      </c>
      <c r="F942" s="14">
        <f>1.9*(2/3*10)</f>
        <v>12.666666666666664</v>
      </c>
      <c r="G942" s="14">
        <f>60*(2/3*10)</f>
        <v>399.99999999999994</v>
      </c>
      <c r="H942" s="14">
        <f>17.4*(2/3*10)</f>
        <v>115.99999999999999</v>
      </c>
      <c r="I942" s="14">
        <f>34.6*(2/3*10)</f>
        <v>230.66666666666666</v>
      </c>
      <c r="K942">
        <v>939</v>
      </c>
      <c r="L942">
        <f t="shared" si="14"/>
        <v>3</v>
      </c>
    </row>
    <row r="943" spans="1:12" ht="16.5" x14ac:dyDescent="0.2">
      <c r="A943" s="4" t="s">
        <v>235</v>
      </c>
      <c r="B943">
        <v>2012</v>
      </c>
      <c r="C943" s="14">
        <f>30.2*(2/3*10)</f>
        <v>201.33333333333331</v>
      </c>
      <c r="D943" s="14">
        <f>27.4*(2/3*10)</f>
        <v>182.66666666666663</v>
      </c>
      <c r="E943" s="14">
        <f>74.1*(2/3*10)</f>
        <v>493.99999999999994</v>
      </c>
      <c r="F943" s="14">
        <f>1.9*(2/3*10)</f>
        <v>12.666666666666664</v>
      </c>
      <c r="G943" s="14">
        <f>61.3*(2/3*10)</f>
        <v>408.66666666666669</v>
      </c>
      <c r="H943" s="14">
        <f>17.8*(2/3*10)</f>
        <v>118.66666666666666</v>
      </c>
      <c r="I943" s="14">
        <f>34.4*(2/3*10)</f>
        <v>229.33333333333331</v>
      </c>
      <c r="K943" s="15">
        <v>940</v>
      </c>
      <c r="L943">
        <f t="shared" si="14"/>
        <v>4</v>
      </c>
    </row>
    <row r="944" spans="1:12" ht="16.5" x14ac:dyDescent="0.2">
      <c r="A944" s="4" t="s">
        <v>235</v>
      </c>
      <c r="B944">
        <v>2013</v>
      </c>
      <c r="C944" s="14">
        <f>29.7*(2/3*10)</f>
        <v>197.99999999999997</v>
      </c>
      <c r="D944" s="14">
        <f>27.1*(2/3*10)</f>
        <v>180.66666666666666</v>
      </c>
      <c r="E944" s="14">
        <f>74.1*(2/3*10)</f>
        <v>493.99999999999994</v>
      </c>
      <c r="F944" s="14">
        <f>1.8*(2/3*10)</f>
        <v>12</v>
      </c>
      <c r="G944" s="14">
        <f>62.4*(2/3*10)</f>
        <v>416</v>
      </c>
      <c r="H944" s="14">
        <f>17.9*(2/3*10)</f>
        <v>119.33333333333331</v>
      </c>
      <c r="I944" s="14">
        <f>34.1*(2/3*10)</f>
        <v>227.33333333333331</v>
      </c>
      <c r="K944">
        <v>941</v>
      </c>
      <c r="L944">
        <f t="shared" si="14"/>
        <v>5</v>
      </c>
    </row>
    <row r="945" spans="1:12" ht="16.5" x14ac:dyDescent="0.2">
      <c r="A945" s="4" t="s">
        <v>235</v>
      </c>
      <c r="B945">
        <v>2014</v>
      </c>
      <c r="C945" s="14">
        <f>29.1*(2/3*10)</f>
        <v>194</v>
      </c>
      <c r="D945" s="14">
        <f>26.7*(2/3*10)</f>
        <v>177.99999999999997</v>
      </c>
      <c r="E945" s="14">
        <f>74*(2/3*10)</f>
        <v>493.33333333333331</v>
      </c>
      <c r="F945" s="14">
        <f>1.8*(2/3*10)</f>
        <v>12</v>
      </c>
      <c r="G945" s="14">
        <f>63.4*(2/3*10)</f>
        <v>422.66666666666669</v>
      </c>
      <c r="H945" s="14">
        <f>18.4*(2/3*10)</f>
        <v>122.66666666666664</v>
      </c>
      <c r="I945" s="14">
        <f>33.9*(2/3*10)</f>
        <v>225.99999999999997</v>
      </c>
      <c r="K945">
        <v>942</v>
      </c>
      <c r="L945">
        <f t="shared" si="14"/>
        <v>6</v>
      </c>
    </row>
    <row r="946" spans="1:12" ht="16.5" x14ac:dyDescent="0.2">
      <c r="A946" s="4" t="s">
        <v>235</v>
      </c>
      <c r="B946">
        <v>2015</v>
      </c>
      <c r="C946" s="14">
        <f>28.9*(2/3*10)</f>
        <v>192.66666666666663</v>
      </c>
      <c r="D946" s="14">
        <f>26.5*(2/3*10)</f>
        <v>176.66666666666666</v>
      </c>
      <c r="E946" s="14">
        <f>73.9*(2/3*10)</f>
        <v>492.66666666666669</v>
      </c>
      <c r="F946" s="14">
        <f>1.7*(2/3*10)</f>
        <v>11.333333333333332</v>
      </c>
      <c r="G946" s="14">
        <f>63.9*(2/3*10)</f>
        <v>425.99999999999994</v>
      </c>
      <c r="H946" s="14">
        <f>18.8*(2/3*10)</f>
        <v>125.33333333333333</v>
      </c>
      <c r="I946" s="14">
        <f>33.7*(2/3*10)</f>
        <v>224.66666666666666</v>
      </c>
      <c r="K946" s="15">
        <v>943</v>
      </c>
      <c r="L946">
        <f t="shared" si="14"/>
        <v>7</v>
      </c>
    </row>
    <row r="947" spans="1:12" ht="16.5" x14ac:dyDescent="0.2">
      <c r="A947" s="4" t="s">
        <v>235</v>
      </c>
      <c r="B947">
        <v>2016</v>
      </c>
      <c r="C947" s="14">
        <f>28.6*(2/3*10)</f>
        <v>190.66666666666666</v>
      </c>
      <c r="D947" s="14">
        <f>26.3*(2/3*10)</f>
        <v>175.33333333333331</v>
      </c>
      <c r="E947" s="14">
        <f>73.9*(2/3*10)</f>
        <v>492.66666666666669</v>
      </c>
      <c r="F947" s="14">
        <f>1.7*(2/3*10)</f>
        <v>11.333333333333332</v>
      </c>
      <c r="G947" s="14">
        <f>64.3*(2/3*10)</f>
        <v>428.66666666666669</v>
      </c>
      <c r="H947" s="14">
        <f>19.1*(2/3*10)</f>
        <v>127.33333333333333</v>
      </c>
      <c r="I947" s="14">
        <f>33.6*(2/3*10)</f>
        <v>224</v>
      </c>
      <c r="K947">
        <v>944</v>
      </c>
      <c r="L947">
        <f t="shared" si="14"/>
        <v>0</v>
      </c>
    </row>
    <row r="948" spans="1:12" ht="16.5" x14ac:dyDescent="0.2">
      <c r="A948" s="4" t="s">
        <v>234</v>
      </c>
      <c r="B948">
        <v>2009</v>
      </c>
      <c r="C948" s="14">
        <f>113.1*(2/3*10)</f>
        <v>753.99999999999989</v>
      </c>
      <c r="D948" s="14">
        <f>41.9*(2/3*10)</f>
        <v>279.33333333333331</v>
      </c>
      <c r="E948" s="14">
        <f>280.4*(2/3*10)</f>
        <v>1869.333333333333</v>
      </c>
      <c r="F948" s="14">
        <f>16.7*(2/3*10)</f>
        <v>111.33333333333331</v>
      </c>
      <c r="G948" s="14">
        <f>61*(2/3*10)</f>
        <v>406.66666666666657</v>
      </c>
      <c r="H948" s="14">
        <f>11.2*(2/3*10)</f>
        <v>74.666666666666657</v>
      </c>
      <c r="I948" s="14">
        <f>61.1*(2/3*10)</f>
        <v>407.33333333333331</v>
      </c>
      <c r="K948" s="15">
        <v>945</v>
      </c>
      <c r="L948">
        <f t="shared" si="14"/>
        <v>1</v>
      </c>
    </row>
    <row r="949" spans="1:12" ht="16.5" x14ac:dyDescent="0.2">
      <c r="A949" s="4" t="s">
        <v>234</v>
      </c>
      <c r="B949">
        <v>2010</v>
      </c>
      <c r="C949" s="14">
        <f>112.1*(2/3*10)</f>
        <v>747.33333333333326</v>
      </c>
      <c r="D949" s="14">
        <f>41.1*(2/3*10)</f>
        <v>274</v>
      </c>
      <c r="E949" s="14">
        <f>280.1*(2/3*10)</f>
        <v>1867.3333333333333</v>
      </c>
      <c r="F949" s="14">
        <f>16.8*(2/3*10)</f>
        <v>112</v>
      </c>
      <c r="G949" s="14">
        <f>62.3*(2/3*10)</f>
        <v>415.33333333333326</v>
      </c>
      <c r="H949" s="14">
        <f>12.7*(2/3*10)</f>
        <v>84.666666666666657</v>
      </c>
      <c r="I949" s="14">
        <f>60.8*(2/3*10)</f>
        <v>405.33333333333326</v>
      </c>
      <c r="K949">
        <v>946</v>
      </c>
      <c r="L949">
        <f t="shared" si="14"/>
        <v>2</v>
      </c>
    </row>
    <row r="950" spans="1:12" ht="16.5" x14ac:dyDescent="0.2">
      <c r="A950" s="4" t="s">
        <v>234</v>
      </c>
      <c r="B950">
        <v>2011</v>
      </c>
      <c r="C950" s="14">
        <f>112.1*(2/3*10)</f>
        <v>747.33333333333326</v>
      </c>
      <c r="D950" s="14">
        <f>40.9*(2/3*10)</f>
        <v>272.66666666666663</v>
      </c>
      <c r="E950" s="14">
        <f>279.7*(2/3*10)</f>
        <v>1864.6666666666665</v>
      </c>
      <c r="F950" s="14">
        <f>15.7*(2/3*10)</f>
        <v>104.66666666666666</v>
      </c>
      <c r="G950" s="14">
        <f>63.4*(2/3*10)</f>
        <v>422.66666666666657</v>
      </c>
      <c r="H950" s="14">
        <f>13.9*(2/3*10)</f>
        <v>92.666666666666657</v>
      </c>
      <c r="I950" s="14">
        <f>60.5*(2/3*10)</f>
        <v>403.33333333333331</v>
      </c>
      <c r="K950">
        <v>947</v>
      </c>
      <c r="L950">
        <f t="shared" si="14"/>
        <v>3</v>
      </c>
    </row>
    <row r="951" spans="1:12" ht="16.5" x14ac:dyDescent="0.2">
      <c r="A951" s="4" t="s">
        <v>234</v>
      </c>
      <c r="B951">
        <v>2012</v>
      </c>
      <c r="C951" s="14">
        <f>112.2*(2/3*10)</f>
        <v>748</v>
      </c>
      <c r="D951" s="14">
        <f>40.5*(2/3*10)</f>
        <v>270</v>
      </c>
      <c r="E951" s="14">
        <f>279.7*(2/3*10)</f>
        <v>1864.6666666666665</v>
      </c>
      <c r="F951" s="14">
        <f>14.9*(2/3*10)</f>
        <v>99.333333333333329</v>
      </c>
      <c r="G951" s="14">
        <f>64.3*(2/3*10)</f>
        <v>428.66666666666663</v>
      </c>
      <c r="H951" s="14">
        <f>14.2*(2/3*10)</f>
        <v>94.666666666666657</v>
      </c>
      <c r="I951" s="14">
        <f>60.5*(2/3*10)</f>
        <v>403.33333333333331</v>
      </c>
      <c r="K951" s="15">
        <v>948</v>
      </c>
      <c r="L951">
        <f t="shared" si="14"/>
        <v>4</v>
      </c>
    </row>
    <row r="952" spans="1:12" ht="16.5" x14ac:dyDescent="0.2">
      <c r="A952" s="4" t="s">
        <v>234</v>
      </c>
      <c r="B952">
        <v>2013</v>
      </c>
      <c r="C952" s="14">
        <f>112.1*(2/3*10)</f>
        <v>747.33333333333326</v>
      </c>
      <c r="D952" s="14">
        <f>40*(2/3*10)</f>
        <v>266.66666666666663</v>
      </c>
      <c r="E952" s="14">
        <f>279.5*(2/3*10)</f>
        <v>1863.3333333333333</v>
      </c>
      <c r="F952" s="14">
        <f>14.4*(2/3*10)</f>
        <v>96</v>
      </c>
      <c r="G952" s="14">
        <f>65.4*(2/3*10)</f>
        <v>435.99999999999989</v>
      </c>
      <c r="H952" s="14">
        <f>15*(2/3*10)</f>
        <v>99.999999999999986</v>
      </c>
      <c r="I952" s="14">
        <f>60.2*(2/3*10)</f>
        <v>401.33333333333331</v>
      </c>
      <c r="K952">
        <v>949</v>
      </c>
      <c r="L952">
        <f t="shared" si="14"/>
        <v>5</v>
      </c>
    </row>
    <row r="953" spans="1:12" ht="16.5" x14ac:dyDescent="0.2">
      <c r="A953" s="4" t="s">
        <v>234</v>
      </c>
      <c r="B953">
        <v>2014</v>
      </c>
      <c r="C953" s="14">
        <f>111.2*(2/3*10)</f>
        <v>741.33333333333326</v>
      </c>
      <c r="D953" s="14">
        <f>39.8*(2/3*10)</f>
        <v>265.33333333333331</v>
      </c>
      <c r="E953" s="14">
        <f>279.4*(2/3*10)</f>
        <v>1862.6666666666663</v>
      </c>
      <c r="F953" s="14">
        <f>14.3*(2/3*10)</f>
        <v>95.333333333333329</v>
      </c>
      <c r="G953" s="14">
        <f>66.5*(2/3*10)</f>
        <v>443.33333333333331</v>
      </c>
      <c r="H953" s="14">
        <f>15.8*(2/3*10)</f>
        <v>105.33333333333333</v>
      </c>
      <c r="I953" s="14">
        <f>59.9*(2/3*10)</f>
        <v>399.33333333333331</v>
      </c>
      <c r="K953" s="15">
        <v>950</v>
      </c>
      <c r="L953">
        <f t="shared" si="14"/>
        <v>6</v>
      </c>
    </row>
    <row r="954" spans="1:12" ht="16.5" x14ac:dyDescent="0.2">
      <c r="A954" s="4" t="s">
        <v>234</v>
      </c>
      <c r="B954">
        <v>2015</v>
      </c>
      <c r="C954" s="14">
        <f>110.8*(2/3*10)</f>
        <v>738.66666666666663</v>
      </c>
      <c r="D954" s="14">
        <f>39.5*(2/3*10)</f>
        <v>263.33333333333331</v>
      </c>
      <c r="E954" s="14">
        <f>279.3*(2/3*10)</f>
        <v>1862</v>
      </c>
      <c r="F954" s="14">
        <f>14.1*(2/3*10)</f>
        <v>93.999999999999986</v>
      </c>
      <c r="G954" s="14">
        <f>67.2*(2/3*10)</f>
        <v>448</v>
      </c>
      <c r="H954" s="14">
        <f>16.5*(2/3*10)</f>
        <v>109.99999999999999</v>
      </c>
      <c r="I954" s="14">
        <f>59.7*(2/3*10)</f>
        <v>398</v>
      </c>
      <c r="K954">
        <v>951</v>
      </c>
      <c r="L954">
        <f t="shared" si="14"/>
        <v>7</v>
      </c>
    </row>
    <row r="955" spans="1:12" ht="16.5" x14ac:dyDescent="0.2">
      <c r="A955" s="4" t="s">
        <v>234</v>
      </c>
      <c r="B955">
        <v>2016</v>
      </c>
      <c r="C955" s="14">
        <f>110.4*(2/3*10)</f>
        <v>736</v>
      </c>
      <c r="D955" s="14">
        <f>39.3*(2/3*10)</f>
        <v>261.99999999999994</v>
      </c>
      <c r="E955" s="14">
        <f>279*(2/3*10)</f>
        <v>1859.9999999999998</v>
      </c>
      <c r="F955" s="14">
        <f>13.7*(2/3*10)</f>
        <v>91.333333333333314</v>
      </c>
      <c r="G955" s="14">
        <f>70.1*(2/3*10)</f>
        <v>467.33333333333326</v>
      </c>
      <c r="H955" s="14">
        <f>17.3*(2/3*10)</f>
        <v>115.33333333333333</v>
      </c>
      <c r="I955" s="14">
        <f>57.2*(2/3*10)</f>
        <v>381.33333333333331</v>
      </c>
      <c r="K955">
        <v>952</v>
      </c>
      <c r="L955">
        <f t="shared" si="14"/>
        <v>0</v>
      </c>
    </row>
    <row r="956" spans="1:12" ht="16.5" x14ac:dyDescent="0.2">
      <c r="A956" s="4" t="s">
        <v>233</v>
      </c>
      <c r="B956">
        <v>2009</v>
      </c>
      <c r="C956" s="14">
        <f>288.1*(2/3*10)</f>
        <v>1920.6666666666667</v>
      </c>
      <c r="D956" s="14">
        <f>112.5*(2/3*10)</f>
        <v>749.99999999999989</v>
      </c>
      <c r="E956" s="14">
        <f>2756.8*(2/3*10)</f>
        <v>18378.666666666668</v>
      </c>
      <c r="F956" s="14">
        <f>46.1*(2/3*10)</f>
        <v>307.33333333333331</v>
      </c>
      <c r="G956" s="14">
        <f>67.8*(2/3*10)</f>
        <v>451.99999999999994</v>
      </c>
      <c r="H956" s="14">
        <f>35.6*(2/3*10)</f>
        <v>237.33333333333331</v>
      </c>
      <c r="I956" s="14">
        <f>68.1*(2/3*10)</f>
        <v>453.99999999999994</v>
      </c>
      <c r="K956" s="15">
        <v>953</v>
      </c>
      <c r="L956">
        <f t="shared" si="14"/>
        <v>1</v>
      </c>
    </row>
    <row r="957" spans="1:12" ht="16.5" x14ac:dyDescent="0.2">
      <c r="A957" s="4" t="s">
        <v>233</v>
      </c>
      <c r="B957">
        <v>2010</v>
      </c>
      <c r="C957" s="14">
        <f>288*(2/3*10)</f>
        <v>1919.9999999999998</v>
      </c>
      <c r="D957" s="14">
        <f>107.9*(2/3*10)</f>
        <v>719.33333333333326</v>
      </c>
      <c r="E957" s="14">
        <f>2754*(2/3*10)</f>
        <v>18360</v>
      </c>
      <c r="F957" s="14">
        <f>50.6*(2/3*10)</f>
        <v>337.33333333333331</v>
      </c>
      <c r="G957" s="14">
        <f>70.7*(2/3*10)</f>
        <v>471.33333333333331</v>
      </c>
      <c r="H957" s="14">
        <f>36.8*(2/3*10)</f>
        <v>245.33333333333329</v>
      </c>
      <c r="I957" s="14">
        <f>67.9*(2/3*10)</f>
        <v>452.66666666666669</v>
      </c>
      <c r="K957">
        <v>954</v>
      </c>
      <c r="L957">
        <f t="shared" si="14"/>
        <v>2</v>
      </c>
    </row>
    <row r="958" spans="1:12" ht="16.5" x14ac:dyDescent="0.2">
      <c r="A958" s="4" t="s">
        <v>233</v>
      </c>
      <c r="B958">
        <v>2011</v>
      </c>
      <c r="C958" s="14">
        <f>288.5*(2/3*10)</f>
        <v>1923.3333333333333</v>
      </c>
      <c r="D958" s="14">
        <f>107.3*(2/3*10)</f>
        <v>715.33333333333326</v>
      </c>
      <c r="E958" s="14">
        <f>2752*(2/3*10)</f>
        <v>18346.666666666664</v>
      </c>
      <c r="F958" s="14">
        <f>50.9*(2/3*10)</f>
        <v>339.33333333333331</v>
      </c>
      <c r="G958" s="14">
        <f>73*(2/3*10)</f>
        <v>486.66666666666663</v>
      </c>
      <c r="H958" s="14">
        <f>37.5*(2/3*10)</f>
        <v>249.99999999999997</v>
      </c>
      <c r="I958" s="14">
        <f>67.8*(2/3*10)</f>
        <v>451.99999999999994</v>
      </c>
      <c r="K958" s="15">
        <v>955</v>
      </c>
      <c r="L958">
        <f t="shared" si="14"/>
        <v>3</v>
      </c>
    </row>
    <row r="959" spans="1:12" ht="16.5" x14ac:dyDescent="0.2">
      <c r="A959" s="4" t="s">
        <v>233</v>
      </c>
      <c r="B959">
        <v>2012</v>
      </c>
      <c r="C959" s="14">
        <f>290.2*(2/3*10)</f>
        <v>1934.6666666666665</v>
      </c>
      <c r="D959" s="14">
        <f>106.5*(2/3*10)</f>
        <v>709.99999999999989</v>
      </c>
      <c r="E959" s="14">
        <f>2750.9*(2/3*10)</f>
        <v>18339.333333333332</v>
      </c>
      <c r="F959" s="14">
        <f>50.8*(2/3*10)</f>
        <v>338.66666666666663</v>
      </c>
      <c r="G959" s="14">
        <f>74.4*(2/3*10)</f>
        <v>496</v>
      </c>
      <c r="H959" s="14">
        <f>37.9*(2/3*10)</f>
        <v>252.66666666666663</v>
      </c>
      <c r="I959" s="14">
        <f>67.7*(2/3*10)</f>
        <v>451.33333333333331</v>
      </c>
      <c r="K959">
        <v>956</v>
      </c>
      <c r="L959">
        <f t="shared" si="14"/>
        <v>4</v>
      </c>
    </row>
    <row r="960" spans="1:12" ht="16.5" x14ac:dyDescent="0.2">
      <c r="A960" s="4" t="s">
        <v>233</v>
      </c>
      <c r="B960">
        <v>2013</v>
      </c>
      <c r="C960" s="14">
        <f>291.4*(2/3*10)</f>
        <v>1942.6666666666663</v>
      </c>
      <c r="D960" s="14">
        <f>105.6*(2/3*10)</f>
        <v>703.99999999999989</v>
      </c>
      <c r="E960" s="14">
        <f>2749.4*(2/3*10)</f>
        <v>18329.333333333332</v>
      </c>
      <c r="F960" s="14">
        <f>50.9*(2/3*10)</f>
        <v>339.33333333333331</v>
      </c>
      <c r="G960" s="14">
        <f>76*(2/3*10)</f>
        <v>506.66666666666663</v>
      </c>
      <c r="H960" s="14">
        <f>38.5*(2/3*10)</f>
        <v>256.66666666666663</v>
      </c>
      <c r="I960" s="14">
        <f>67.5*(2/3*10)</f>
        <v>449.99999999999994</v>
      </c>
      <c r="K960">
        <v>957</v>
      </c>
      <c r="L960">
        <f t="shared" ref="L960:L1023" si="15">MOD(K960,8)</f>
        <v>5</v>
      </c>
    </row>
    <row r="961" spans="1:12" ht="16.5" x14ac:dyDescent="0.2">
      <c r="A961" s="4" t="s">
        <v>233</v>
      </c>
      <c r="B961">
        <v>2014</v>
      </c>
      <c r="C961" s="14">
        <f>292*(2/3*10)</f>
        <v>1946.6666666666665</v>
      </c>
      <c r="D961" s="14">
        <f>104.5*(2/3*10)</f>
        <v>696.66666666666663</v>
      </c>
      <c r="E961" s="14">
        <f>2747.8*(2/3*10)</f>
        <v>18318.666666666668</v>
      </c>
      <c r="F961" s="14">
        <f>51.3*(2/3*10)</f>
        <v>341.99999999999994</v>
      </c>
      <c r="G961" s="14">
        <f>77.3*(2/3*10)</f>
        <v>515.33333333333337</v>
      </c>
      <c r="H961" s="14">
        <f>39.4*(2/3*10)</f>
        <v>262.66666666666663</v>
      </c>
      <c r="I961" s="14">
        <f>67.6*(2/3*10)</f>
        <v>450.66666666666657</v>
      </c>
      <c r="K961" s="15">
        <v>958</v>
      </c>
      <c r="L961">
        <f t="shared" si="15"/>
        <v>6</v>
      </c>
    </row>
    <row r="962" spans="1:12" ht="16.5" x14ac:dyDescent="0.2">
      <c r="A962" s="4" t="s">
        <v>233</v>
      </c>
      <c r="B962">
        <v>2015</v>
      </c>
      <c r="C962" s="14">
        <f>292.5*(2/3*10)</f>
        <v>1949.9999999999998</v>
      </c>
      <c r="D962" s="14">
        <f>103.8*(2/3*10)</f>
        <v>691.99999999999989</v>
      </c>
      <c r="E962" s="14">
        <f>2746*(2/3*10)</f>
        <v>18306.666666666664</v>
      </c>
      <c r="F962" s="14">
        <f>51.8*(2/3*10)</f>
        <v>345.33333333333326</v>
      </c>
      <c r="G962" s="14">
        <f>78*(2/3*10)</f>
        <v>520</v>
      </c>
      <c r="H962" s="14">
        <f>40.9*(2/3*10)</f>
        <v>272.66666666666663</v>
      </c>
      <c r="I962" s="14">
        <f>67.5*(2/3*10)</f>
        <v>449.99999999999994</v>
      </c>
      <c r="K962">
        <v>959</v>
      </c>
      <c r="L962">
        <f t="shared" si="15"/>
        <v>7</v>
      </c>
    </row>
    <row r="963" spans="1:12" ht="16.5" x14ac:dyDescent="0.2">
      <c r="A963" s="4" t="s">
        <v>233</v>
      </c>
      <c r="B963">
        <v>2016</v>
      </c>
      <c r="C963" s="14">
        <f>293.1*(2/3*10)</f>
        <v>1954</v>
      </c>
      <c r="D963" s="14">
        <f>103.5*(2/3*10)</f>
        <v>689.99999999999989</v>
      </c>
      <c r="E963" s="14">
        <f>2745.1*(2/3*10)</f>
        <v>18300.666666666664</v>
      </c>
      <c r="F963" s="14">
        <f>51.6*(2/3*10)</f>
        <v>344</v>
      </c>
      <c r="G963" s="14">
        <f>78.5*(2/3*10)</f>
        <v>523.33333333333326</v>
      </c>
      <c r="H963" s="14">
        <f>41.2*(2/3*10)</f>
        <v>274.66666666666669</v>
      </c>
      <c r="I963" s="14">
        <f>67.7*(2/3*10)</f>
        <v>451.33333333333331</v>
      </c>
      <c r="K963" s="15">
        <v>960</v>
      </c>
      <c r="L963">
        <f t="shared" si="15"/>
        <v>0</v>
      </c>
    </row>
    <row r="964" spans="1:12" ht="16.5" x14ac:dyDescent="0.2">
      <c r="A964" s="4" t="s">
        <v>232</v>
      </c>
      <c r="B964">
        <v>2009</v>
      </c>
      <c r="C964" s="14">
        <f>222.7*(2/3*10)</f>
        <v>1484.6666666666665</v>
      </c>
      <c r="D964" s="14">
        <f>176.8*(2/3*10)</f>
        <v>1178.6666666666667</v>
      </c>
      <c r="E964" s="14">
        <f>850*(2/3*10)</f>
        <v>5666.6666666666661</v>
      </c>
      <c r="F964" s="14">
        <f>54.3*(2/3*10)</f>
        <v>361.99999999999994</v>
      </c>
      <c r="G964" s="14">
        <f>187.7*(2/3*10)</f>
        <v>1251.3333333333333</v>
      </c>
      <c r="H964" s="14">
        <f>38.1*(2/3*10)</f>
        <v>254</v>
      </c>
      <c r="I964" s="14">
        <f>95*(2/3*10)</f>
        <v>633.33333333333326</v>
      </c>
      <c r="K964">
        <v>961</v>
      </c>
      <c r="L964">
        <f t="shared" si="15"/>
        <v>1</v>
      </c>
    </row>
    <row r="965" spans="1:12" ht="16.5" x14ac:dyDescent="0.2">
      <c r="A965" s="4" t="s">
        <v>232</v>
      </c>
      <c r="B965">
        <v>2010</v>
      </c>
      <c r="C965" s="14">
        <f>221.2*(2/3*10)</f>
        <v>1474.6666666666665</v>
      </c>
      <c r="D965" s="14">
        <f>174*(2/3*10)</f>
        <v>1160</v>
      </c>
      <c r="E965" s="14">
        <f>848.2*(2/3*10)</f>
        <v>5654.6666666666661</v>
      </c>
      <c r="F965" s="14">
        <f>55.7*(2/3*10)</f>
        <v>371.33333333333331</v>
      </c>
      <c r="G965" s="14">
        <f>190.9*(2/3*10)</f>
        <v>1272.6666666666665</v>
      </c>
      <c r="H965" s="14">
        <f>39.8*(2/3*10)</f>
        <v>265.33333333333331</v>
      </c>
      <c r="I965" s="14">
        <f>94.3*(2/3*10)</f>
        <v>628.66666666666663</v>
      </c>
      <c r="K965">
        <v>962</v>
      </c>
      <c r="L965">
        <f t="shared" si="15"/>
        <v>2</v>
      </c>
    </row>
    <row r="966" spans="1:12" ht="16.5" x14ac:dyDescent="0.2">
      <c r="A966" s="4" t="s">
        <v>232</v>
      </c>
      <c r="B966">
        <v>2011</v>
      </c>
      <c r="C966" s="14">
        <f>220.5*(2/3*10)</f>
        <v>1469.9999999999998</v>
      </c>
      <c r="D966" s="14">
        <f>172.8*(2/3*10)</f>
        <v>1152</v>
      </c>
      <c r="E966" s="14">
        <f>846.8*(2/3*10)</f>
        <v>5645.3333333333321</v>
      </c>
      <c r="F966" s="14">
        <f>54.8*(2/3*10)</f>
        <v>365.33333333333326</v>
      </c>
      <c r="G966" s="14">
        <f>193.8*(2/3*10)</f>
        <v>1292</v>
      </c>
      <c r="H966" s="14">
        <f>42*(2/3*10)</f>
        <v>280</v>
      </c>
      <c r="I966" s="14">
        <f>93.7*(2/3*10)</f>
        <v>624.66666666666663</v>
      </c>
      <c r="K966" s="15">
        <v>963</v>
      </c>
      <c r="L966">
        <f t="shared" si="15"/>
        <v>3</v>
      </c>
    </row>
    <row r="967" spans="1:12" ht="16.5" x14ac:dyDescent="0.2">
      <c r="A967" s="4" t="s">
        <v>232</v>
      </c>
      <c r="B967">
        <v>2012</v>
      </c>
      <c r="C967" s="14">
        <f>220.1*(2/3*10)</f>
        <v>1467.3333333333333</v>
      </c>
      <c r="D967" s="14">
        <f>171.6*(2/3*10)</f>
        <v>1143.9999999999998</v>
      </c>
      <c r="E967" s="14">
        <f>846.1*(2/3*10)</f>
        <v>5640.6666666666661</v>
      </c>
      <c r="F967" s="14">
        <f>54.2*(2/3*10)</f>
        <v>361.33333333333331</v>
      </c>
      <c r="G967" s="14">
        <f>196.6*(2/3*10)</f>
        <v>1310.6666666666665</v>
      </c>
      <c r="H967" s="14">
        <f>43.4*(2/3*10)</f>
        <v>289.33333333333331</v>
      </c>
      <c r="I967" s="14">
        <f>93.2*(2/3*10)</f>
        <v>621.33333333333326</v>
      </c>
      <c r="K967">
        <v>964</v>
      </c>
      <c r="L967">
        <f t="shared" si="15"/>
        <v>4</v>
      </c>
    </row>
    <row r="968" spans="1:12" ht="16.5" x14ac:dyDescent="0.2">
      <c r="A968" s="4" t="s">
        <v>232</v>
      </c>
      <c r="B968">
        <v>2013</v>
      </c>
      <c r="C968" s="14">
        <f>219.2*(2/3*10)</f>
        <v>1461.333333333333</v>
      </c>
      <c r="D968" s="14">
        <f>169.4*(2/3*10)</f>
        <v>1129.3333333333333</v>
      </c>
      <c r="E968" s="14">
        <f>844.7*(2/3*10)</f>
        <v>5631.333333333333</v>
      </c>
      <c r="F968" s="14">
        <f>54.8*(2/3*10)</f>
        <v>365.33333333333326</v>
      </c>
      <c r="G968" s="14">
        <f>200*(2/3*10)</f>
        <v>1333.3333333333333</v>
      </c>
      <c r="H968" s="14">
        <f>44.5*(2/3*10)</f>
        <v>296.66666666666663</v>
      </c>
      <c r="I968" s="14">
        <f>92.9*(2/3*10)</f>
        <v>619.33333333333337</v>
      </c>
      <c r="K968" s="15">
        <v>965</v>
      </c>
      <c r="L968">
        <f t="shared" si="15"/>
        <v>5</v>
      </c>
    </row>
    <row r="969" spans="1:12" ht="16.5" x14ac:dyDescent="0.2">
      <c r="A969" s="4" t="s">
        <v>232</v>
      </c>
      <c r="B969">
        <v>2014</v>
      </c>
      <c r="C969" s="14">
        <f>218*(2/3*10)</f>
        <v>1453.3333333333333</v>
      </c>
      <c r="D969" s="14">
        <f>168.7*(2/3*10)</f>
        <v>1124.6666666666665</v>
      </c>
      <c r="E969" s="14">
        <f>843.7*(2/3*10)</f>
        <v>5624.6666666666661</v>
      </c>
      <c r="F969" s="14">
        <f>54.1*(2/3*10)</f>
        <v>360.66666666666663</v>
      </c>
      <c r="G969" s="14">
        <f>203*(2/3*10)</f>
        <v>1353.3333333333333</v>
      </c>
      <c r="H969" s="14">
        <f>46.1*(2/3*10)</f>
        <v>307.33333333333331</v>
      </c>
      <c r="I969" s="14">
        <f>92.4*(2/3*10)</f>
        <v>616</v>
      </c>
      <c r="K969">
        <v>966</v>
      </c>
      <c r="L969">
        <f t="shared" si="15"/>
        <v>6</v>
      </c>
    </row>
    <row r="970" spans="1:12" ht="16.5" x14ac:dyDescent="0.2">
      <c r="A970" s="4" t="s">
        <v>232</v>
      </c>
      <c r="B970">
        <v>2015</v>
      </c>
      <c r="C970" s="14">
        <f>217.7*(2/3*10)</f>
        <v>1451.333333333333</v>
      </c>
      <c r="D970" s="14">
        <f>167.8*(2/3*10)</f>
        <v>1118.6666666666667</v>
      </c>
      <c r="E970" s="14">
        <f>843.1*(2/3*10)</f>
        <v>5620.6666666666661</v>
      </c>
      <c r="F970" s="14">
        <f>53.7*(2/3*10)</f>
        <v>358</v>
      </c>
      <c r="G970" s="14">
        <f>205.3*(2/3*10)</f>
        <v>1368.6666666666665</v>
      </c>
      <c r="H970" s="14">
        <f>47*(2/3*10)</f>
        <v>313.33333333333331</v>
      </c>
      <c r="I970" s="14">
        <f>92.2*(2/3*10)</f>
        <v>614.66666666666663</v>
      </c>
      <c r="K970">
        <v>967</v>
      </c>
      <c r="L970">
        <f t="shared" si="15"/>
        <v>7</v>
      </c>
    </row>
    <row r="971" spans="1:12" ht="16.5" x14ac:dyDescent="0.2">
      <c r="A971" s="4" t="s">
        <v>232</v>
      </c>
      <c r="B971">
        <v>2016</v>
      </c>
      <c r="C971" s="14">
        <f>217.3*(2/3*10)</f>
        <v>1448.6666666666665</v>
      </c>
      <c r="D971" s="14">
        <f>167*(2/3*10)</f>
        <v>1113.3333333333333</v>
      </c>
      <c r="E971" s="14">
        <f>842.6*(2/3*10)</f>
        <v>5617.333333333333</v>
      </c>
      <c r="F971" s="14">
        <f>53.8*(2/3*10)</f>
        <v>358.66666666666663</v>
      </c>
      <c r="G971" s="14">
        <f>206.5*(2/3*10)</f>
        <v>1376.6666666666665</v>
      </c>
      <c r="H971" s="14">
        <f>47.7*(2/3*10)</f>
        <v>318</v>
      </c>
      <c r="I971" s="14">
        <f>92*(2/3*10)</f>
        <v>613.33333333333326</v>
      </c>
      <c r="K971" s="15">
        <v>968</v>
      </c>
      <c r="L971">
        <f t="shared" si="15"/>
        <v>0</v>
      </c>
    </row>
    <row r="972" spans="1:12" ht="16.5" x14ac:dyDescent="0.2">
      <c r="A972" s="4" t="s">
        <v>231</v>
      </c>
      <c r="B972">
        <v>2009</v>
      </c>
      <c r="C972" s="14">
        <f>270.6*(2/3*10)</f>
        <v>1804</v>
      </c>
      <c r="D972" s="14">
        <f>370.6*(2/3*10)</f>
        <v>2470.6666666666665</v>
      </c>
      <c r="E972" s="14">
        <f>896.3*(2/3*10)</f>
        <v>5975.3333333333321</v>
      </c>
      <c r="F972" s="14">
        <f>43.3*(2/3*10)</f>
        <v>288.66666666666663</v>
      </c>
      <c r="G972" s="14">
        <f>105.9*(2/3*10)</f>
        <v>706</v>
      </c>
      <c r="H972" s="14">
        <f>35.3*(2/3*10)</f>
        <v>235.33333333333329</v>
      </c>
      <c r="I972" s="14">
        <f>126.6*(2/3*10)</f>
        <v>843.99999999999989</v>
      </c>
      <c r="K972">
        <v>969</v>
      </c>
      <c r="L972">
        <f t="shared" si="15"/>
        <v>1</v>
      </c>
    </row>
    <row r="973" spans="1:12" ht="16.5" x14ac:dyDescent="0.2">
      <c r="A973" s="4" t="s">
        <v>231</v>
      </c>
      <c r="B973">
        <v>2010</v>
      </c>
      <c r="C973" s="14">
        <f>270*(2/3*10)</f>
        <v>1799.9999999999998</v>
      </c>
      <c r="D973" s="14">
        <f>366.8*(2/3*10)</f>
        <v>2445.333333333333</v>
      </c>
      <c r="E973" s="14">
        <f>893.9*(2/3*10)</f>
        <v>5959.333333333333</v>
      </c>
      <c r="F973" s="14">
        <f>45.6*(2/3*10)</f>
        <v>304</v>
      </c>
      <c r="G973" s="14">
        <f>109.5*(2/3*10)</f>
        <v>729.99999999999989</v>
      </c>
      <c r="H973" s="14">
        <f>36.5*(2/3*10)</f>
        <v>243.33333333333331</v>
      </c>
      <c r="I973" s="14">
        <f>126.1*(2/3*10)</f>
        <v>840.66666666666652</v>
      </c>
      <c r="K973" s="15">
        <v>970</v>
      </c>
      <c r="L973">
        <f t="shared" si="15"/>
        <v>2</v>
      </c>
    </row>
    <row r="974" spans="1:12" ht="16.5" x14ac:dyDescent="0.2">
      <c r="A974" s="4" t="s">
        <v>231</v>
      </c>
      <c r="B974">
        <v>2011</v>
      </c>
      <c r="C974" s="14">
        <f>270.1*(2/3*10)</f>
        <v>1800.6666666666667</v>
      </c>
      <c r="D974" s="14">
        <f>363.8*(2/3*10)</f>
        <v>2425.333333333333</v>
      </c>
      <c r="E974" s="14">
        <f>892.6*(2/3*10)</f>
        <v>5950.6666666666661</v>
      </c>
      <c r="F974" s="14">
        <f>45.5*(2/3*10)</f>
        <v>303.33333333333331</v>
      </c>
      <c r="G974" s="14">
        <f>112.5*(2/3*10)</f>
        <v>749.99999999999989</v>
      </c>
      <c r="H974" s="14">
        <f>38*(2/3*10)</f>
        <v>253.33333333333331</v>
      </c>
      <c r="I974" s="14">
        <f>125.8*(2/3*10)</f>
        <v>838.66666666666663</v>
      </c>
      <c r="K974">
        <v>971</v>
      </c>
      <c r="L974">
        <f t="shared" si="15"/>
        <v>3</v>
      </c>
    </row>
    <row r="975" spans="1:12" ht="16.5" x14ac:dyDescent="0.2">
      <c r="A975" s="4" t="s">
        <v>231</v>
      </c>
      <c r="B975">
        <v>2012</v>
      </c>
      <c r="C975" s="14">
        <f>269.8*(2/3*10)</f>
        <v>1798.6666666666665</v>
      </c>
      <c r="D975" s="14">
        <f>360.7*(2/3*10)</f>
        <v>2404.6666666666665</v>
      </c>
      <c r="E975" s="14">
        <f>892.1*(2/3*10)</f>
        <v>5947.333333333333</v>
      </c>
      <c r="F975" s="14">
        <f>45.5*(2/3*10)</f>
        <v>303.33333333333331</v>
      </c>
      <c r="G975" s="14">
        <f>115.6*(2/3*10)</f>
        <v>770.66666666666663</v>
      </c>
      <c r="H975" s="14">
        <f>39.5*(2/3*10)</f>
        <v>263.33333333333331</v>
      </c>
      <c r="I975" s="14">
        <f>125.3*(2/3*10)</f>
        <v>835.33333333333326</v>
      </c>
      <c r="K975">
        <v>972</v>
      </c>
      <c r="L975">
        <f t="shared" si="15"/>
        <v>4</v>
      </c>
    </row>
    <row r="976" spans="1:12" ht="16.5" x14ac:dyDescent="0.2">
      <c r="A976" s="4" t="s">
        <v>231</v>
      </c>
      <c r="B976">
        <v>2013</v>
      </c>
      <c r="C976" s="14">
        <f>269.7*(2/3*10)</f>
        <v>1797.9999999999998</v>
      </c>
      <c r="D976" s="14">
        <f>357.8*(2/3*10)</f>
        <v>2385.333333333333</v>
      </c>
      <c r="E976" s="14">
        <f>891.5*(2/3*10)</f>
        <v>5943.333333333333</v>
      </c>
      <c r="F976" s="14">
        <f>45.2*(2/3*10)</f>
        <v>301.33333333333331</v>
      </c>
      <c r="G976" s="14">
        <f>119.4*(2/3*10)</f>
        <v>795.99999999999989</v>
      </c>
      <c r="H976" s="14">
        <f>40.5*(2/3*10)</f>
        <v>270</v>
      </c>
      <c r="I976" s="14">
        <f>124.7*(2/3*10)</f>
        <v>831.33333333333326</v>
      </c>
      <c r="K976" s="15">
        <v>973</v>
      </c>
      <c r="L976">
        <f t="shared" si="15"/>
        <v>5</v>
      </c>
    </row>
    <row r="977" spans="1:12" ht="16.5" x14ac:dyDescent="0.2">
      <c r="A977" s="4" t="s">
        <v>231</v>
      </c>
      <c r="B977">
        <v>2014</v>
      </c>
      <c r="C977" s="14">
        <f>268.9*(2/3*10)</f>
        <v>1792.6666666666663</v>
      </c>
      <c r="D977" s="14">
        <f>355.9*(2/3*10)</f>
        <v>2372.6666666666665</v>
      </c>
      <c r="E977" s="14">
        <f>891.1*(2/3*10)</f>
        <v>5940.6666666666661</v>
      </c>
      <c r="F977" s="14">
        <f>44.6*(2/3*10)</f>
        <v>297.33333333333331</v>
      </c>
      <c r="G977" s="14">
        <f>122.3*(2/3*10)</f>
        <v>815.33333333333326</v>
      </c>
      <c r="H977" s="14">
        <f>41.7*(2/3*10)</f>
        <v>278</v>
      </c>
      <c r="I977" s="14">
        <f>124.2*(2/3*10)</f>
        <v>828</v>
      </c>
      <c r="K977">
        <v>974</v>
      </c>
      <c r="L977">
        <f t="shared" si="15"/>
        <v>6</v>
      </c>
    </row>
    <row r="978" spans="1:12" ht="16.5" x14ac:dyDescent="0.2">
      <c r="A978" s="4" t="s">
        <v>231</v>
      </c>
      <c r="B978">
        <v>2015</v>
      </c>
      <c r="C978" s="14">
        <f>268.8*(2/3*10)</f>
        <v>1792</v>
      </c>
      <c r="D978" s="14">
        <f>353.9*(2/3*10)</f>
        <v>2359.333333333333</v>
      </c>
      <c r="E978" s="14">
        <f>890.9*(2/3*10)</f>
        <v>5939.333333333333</v>
      </c>
      <c r="F978" s="14">
        <f>44.7*(2/3*10)</f>
        <v>298</v>
      </c>
      <c r="G978" s="14">
        <f>125.5*(2/3*10)</f>
        <v>836.66666666666663</v>
      </c>
      <c r="H978" s="14">
        <f>42.2*(2/3*10)</f>
        <v>281.33333333333331</v>
      </c>
      <c r="I978" s="14">
        <f>124*(2/3*10)</f>
        <v>826.66666666666663</v>
      </c>
      <c r="K978" s="15">
        <v>975</v>
      </c>
      <c r="L978">
        <f t="shared" si="15"/>
        <v>7</v>
      </c>
    </row>
    <row r="979" spans="1:12" ht="16.5" x14ac:dyDescent="0.2">
      <c r="A979" s="4" t="s">
        <v>231</v>
      </c>
      <c r="B979">
        <v>2016</v>
      </c>
      <c r="C979" s="14">
        <f>268.5*(2/3*10)</f>
        <v>1789.9999999999998</v>
      </c>
      <c r="D979" s="14">
        <f>351.8*(2/3*10)</f>
        <v>2345.333333333333</v>
      </c>
      <c r="E979" s="14">
        <f>890.4*(2/3*10)</f>
        <v>5935.9999999999991</v>
      </c>
      <c r="F979" s="14">
        <f>45.1*(2/3*10)</f>
        <v>300.66666666666663</v>
      </c>
      <c r="G979" s="14">
        <f>127.3*(2/3*10)</f>
        <v>848.66666666666663</v>
      </c>
      <c r="H979" s="14">
        <f>43.6*(2/3*10)</f>
        <v>290.66666666666663</v>
      </c>
      <c r="I979" s="14">
        <f>123.7*(2/3*10)</f>
        <v>824.66666666666663</v>
      </c>
      <c r="K979">
        <v>976</v>
      </c>
      <c r="L979">
        <f t="shared" si="15"/>
        <v>0</v>
      </c>
    </row>
    <row r="980" spans="1:12" ht="16.5" x14ac:dyDescent="0.2">
      <c r="A980" s="4" t="s">
        <v>230</v>
      </c>
      <c r="B980">
        <v>2009</v>
      </c>
      <c r="C980" s="14">
        <f>353.3*(2/3*10)</f>
        <v>2355.333333333333</v>
      </c>
      <c r="D980" s="14">
        <f>207.2*(2/3*10)</f>
        <v>1381.333333333333</v>
      </c>
      <c r="E980" s="14">
        <f>3067.4*(2/3*10)</f>
        <v>20449.333333333332</v>
      </c>
      <c r="F980" s="14">
        <f>50.5*(2/3*10)</f>
        <v>336.66666666666663</v>
      </c>
      <c r="G980" s="14">
        <f>68.6*(2/3*10)</f>
        <v>457.33333333333326</v>
      </c>
      <c r="H980" s="14">
        <f>39.8*(2/3*10)</f>
        <v>265.33333333333331</v>
      </c>
      <c r="I980" s="14">
        <f>84.6*(2/3*10)</f>
        <v>563.99999999999989</v>
      </c>
      <c r="K980">
        <v>977</v>
      </c>
      <c r="L980">
        <f t="shared" si="15"/>
        <v>1</v>
      </c>
    </row>
    <row r="981" spans="1:12" ht="16.5" x14ac:dyDescent="0.2">
      <c r="A981" s="4" t="s">
        <v>230</v>
      </c>
      <c r="B981">
        <v>2010</v>
      </c>
      <c r="C981" s="14">
        <f>352.5*(2/3*10)</f>
        <v>2350</v>
      </c>
      <c r="D981" s="14">
        <f>205.7*(2/3*10)</f>
        <v>1371.333333333333</v>
      </c>
      <c r="E981" s="14">
        <f>3065.7*(2/3*10)</f>
        <v>20437.999999999996</v>
      </c>
      <c r="F981" s="14">
        <f>50.6*(2/3*10)</f>
        <v>337.33333333333331</v>
      </c>
      <c r="G981" s="14">
        <f>70.4*(2/3*10)</f>
        <v>469.33333333333331</v>
      </c>
      <c r="H981" s="14">
        <f>41.1*(2/3*10)</f>
        <v>274</v>
      </c>
      <c r="I981" s="14">
        <f>84.8*(2/3*10)</f>
        <v>565.33333333333326</v>
      </c>
      <c r="K981" s="15">
        <v>978</v>
      </c>
      <c r="L981">
        <f t="shared" si="15"/>
        <v>2</v>
      </c>
    </row>
    <row r="982" spans="1:12" ht="16.5" x14ac:dyDescent="0.2">
      <c r="A982" s="4" t="s">
        <v>230</v>
      </c>
      <c r="B982">
        <v>2011</v>
      </c>
      <c r="C982" s="14">
        <f>353.1*(2/3*10)</f>
        <v>2354</v>
      </c>
      <c r="D982" s="14">
        <f>205.3*(2/3*10)</f>
        <v>1368.6666666666665</v>
      </c>
      <c r="E982" s="14">
        <f>3064.1*(2/3*10)</f>
        <v>20427.333333333332</v>
      </c>
      <c r="F982" s="14">
        <f>49.9*(2/3*10)</f>
        <v>332.66666666666663</v>
      </c>
      <c r="G982" s="14">
        <f>72.7*(2/3*10)</f>
        <v>484.66666666666663</v>
      </c>
      <c r="H982" s="14">
        <f>41.5*(2/3*10)</f>
        <v>276.66666666666663</v>
      </c>
      <c r="I982" s="14">
        <f>84.7*(2/3*10)</f>
        <v>564.66666666666663</v>
      </c>
      <c r="K982">
        <v>979</v>
      </c>
      <c r="L982">
        <f t="shared" si="15"/>
        <v>3</v>
      </c>
    </row>
    <row r="983" spans="1:12" ht="16.5" x14ac:dyDescent="0.2">
      <c r="A983" s="4" t="s">
        <v>230</v>
      </c>
      <c r="B983">
        <v>2012</v>
      </c>
      <c r="C983" s="14">
        <f>354.2*(2/3*10)</f>
        <v>2361.333333333333</v>
      </c>
      <c r="D983" s="14">
        <f>204.8*(2/3*10)</f>
        <v>1365.3333333333333</v>
      </c>
      <c r="E983" s="14">
        <f>3062.9*(2/3*10)</f>
        <v>20419.333333333332</v>
      </c>
      <c r="F983" s="14">
        <f>49.2*(2/3*10)</f>
        <v>328</v>
      </c>
      <c r="G983" s="14">
        <f>74*(2/3*10)</f>
        <v>493.3333333333332</v>
      </c>
      <c r="H983" s="14">
        <f>42.2*(2/3*10)</f>
        <v>281.33333333333331</v>
      </c>
      <c r="I983" s="14">
        <f>84.3*(2/3*10)</f>
        <v>561.99999999999989</v>
      </c>
      <c r="K983" s="15">
        <v>980</v>
      </c>
      <c r="L983">
        <f t="shared" si="15"/>
        <v>4</v>
      </c>
    </row>
    <row r="984" spans="1:12" ht="16.5" x14ac:dyDescent="0.2">
      <c r="A984" s="4" t="s">
        <v>230</v>
      </c>
      <c r="B984">
        <v>2013</v>
      </c>
      <c r="C984" s="14">
        <f>355.2*(2/3*10)</f>
        <v>2367.9999999999995</v>
      </c>
      <c r="D984" s="14">
        <f>203.7*(2/3*10)</f>
        <v>1357.9999999999998</v>
      </c>
      <c r="E984" s="14">
        <f>3060.7*(2/3*10)</f>
        <v>20404.666666666664</v>
      </c>
      <c r="F984" s="14">
        <f>48.9*(2/3*10)</f>
        <v>325.99999999999994</v>
      </c>
      <c r="G984" s="14">
        <f>76.1*(2/3*10)</f>
        <v>507.33333333333337</v>
      </c>
      <c r="H984" s="14">
        <f>43.3*(2/3*10)</f>
        <v>288.66666666666663</v>
      </c>
      <c r="I984" s="14">
        <f>84.1*(2/3*10)</f>
        <v>560.66666666666663</v>
      </c>
      <c r="K984">
        <v>981</v>
      </c>
      <c r="L984">
        <f t="shared" si="15"/>
        <v>5</v>
      </c>
    </row>
    <row r="985" spans="1:12" ht="16.5" x14ac:dyDescent="0.2">
      <c r="A985" s="4" t="s">
        <v>230</v>
      </c>
      <c r="B985">
        <v>2014</v>
      </c>
      <c r="C985" s="14">
        <f>355.5*(2/3*10)</f>
        <v>2370</v>
      </c>
      <c r="D985" s="14">
        <f>203.3*(2/3*10)</f>
        <v>1355.3333333333333</v>
      </c>
      <c r="E985" s="14">
        <f>3059.3*(2/3*10)</f>
        <v>20395.333333333332</v>
      </c>
      <c r="F985" s="14">
        <f>48.5*(2/3*10)</f>
        <v>323.33333333333331</v>
      </c>
      <c r="G985" s="14">
        <f>77.4*(2/3*10)</f>
        <v>516</v>
      </c>
      <c r="H985" s="14">
        <f>44.3*(2/3*10)</f>
        <v>295.33333333333331</v>
      </c>
      <c r="I985" s="14">
        <f>83.9*(2/3*10)</f>
        <v>559.33333333333337</v>
      </c>
      <c r="K985">
        <v>982</v>
      </c>
      <c r="L985">
        <f t="shared" si="15"/>
        <v>6</v>
      </c>
    </row>
    <row r="986" spans="1:12" ht="16.5" x14ac:dyDescent="0.2">
      <c r="A986" s="4" t="s">
        <v>230</v>
      </c>
      <c r="B986">
        <v>2015</v>
      </c>
      <c r="C986" s="14">
        <f>356.5*(2/3*10)</f>
        <v>2376.6666666666665</v>
      </c>
      <c r="D986" s="14">
        <f>203*(2/3*10)</f>
        <v>1353.3333333333333</v>
      </c>
      <c r="E986" s="14">
        <f>3058.4*(2/3*10)</f>
        <v>20389.333333333332</v>
      </c>
      <c r="F986" s="14">
        <f>48.2*(2/3*10)</f>
        <v>321.33333333333331</v>
      </c>
      <c r="G986" s="14">
        <f>78*(2/3*10)</f>
        <v>520</v>
      </c>
      <c r="H986" s="14">
        <f>45*(2/3*10)</f>
        <v>300</v>
      </c>
      <c r="I986" s="14">
        <f>83.6*(2/3*10)</f>
        <v>557.33333333333326</v>
      </c>
      <c r="K986" s="15">
        <v>983</v>
      </c>
      <c r="L986">
        <f t="shared" si="15"/>
        <v>7</v>
      </c>
    </row>
    <row r="987" spans="1:12" ht="16.5" x14ac:dyDescent="0.2">
      <c r="A987" s="4" t="s">
        <v>230</v>
      </c>
      <c r="B987">
        <v>2016</v>
      </c>
      <c r="C987" s="14">
        <f>356.9*(2/3*10)</f>
        <v>2379.333333333333</v>
      </c>
      <c r="D987" s="14">
        <f>202.5*(2/3*10)</f>
        <v>1349.9999999999998</v>
      </c>
      <c r="E987" s="14">
        <f>3057.4*(2/3*10)</f>
        <v>20382.666666666664</v>
      </c>
      <c r="F987" s="14">
        <f>48.2*(2/3*10)</f>
        <v>321.33333333333331</v>
      </c>
      <c r="G987" s="14">
        <f>78.5*(2/3*10)</f>
        <v>523.33333333333326</v>
      </c>
      <c r="H987" s="14">
        <f>46.1*(2/3*10)</f>
        <v>307.33333333333331</v>
      </c>
      <c r="I987" s="14">
        <f>83.5*(2/3*10)</f>
        <v>556.66666666666663</v>
      </c>
      <c r="K987">
        <v>984</v>
      </c>
      <c r="L987">
        <f t="shared" si="15"/>
        <v>0</v>
      </c>
    </row>
    <row r="988" spans="1:12" ht="16.5" x14ac:dyDescent="0.2">
      <c r="A988" s="4" t="s">
        <v>229</v>
      </c>
      <c r="B988">
        <v>2009</v>
      </c>
      <c r="C988" s="14">
        <f>245.4*(2/3*10)</f>
        <v>1636</v>
      </c>
      <c r="D988" s="14">
        <f>42.6*(2/3*10)</f>
        <v>284</v>
      </c>
      <c r="E988" s="14">
        <f>2297.5*(2/3*10)</f>
        <v>15316.666666666666</v>
      </c>
      <c r="F988" s="14">
        <f>48.2*(2/3*10)</f>
        <v>321.33333333333331</v>
      </c>
      <c r="G988" s="14">
        <f>77.9*(2/3*10)</f>
        <v>519.33333333333326</v>
      </c>
      <c r="H988" s="14">
        <f>30.7*(2/3*10)</f>
        <v>204.66666666666666</v>
      </c>
      <c r="I988" s="14">
        <f>54.3*(2/3*10)</f>
        <v>361.99999999999994</v>
      </c>
      <c r="K988" s="15">
        <v>985</v>
      </c>
      <c r="L988">
        <f t="shared" si="15"/>
        <v>1</v>
      </c>
    </row>
    <row r="989" spans="1:12" ht="16.5" x14ac:dyDescent="0.2">
      <c r="A989" s="4" t="s">
        <v>229</v>
      </c>
      <c r="B989">
        <v>2010</v>
      </c>
      <c r="C989" s="14">
        <f>245.8*(2/3*10)</f>
        <v>1638.6666666666665</v>
      </c>
      <c r="D989" s="14">
        <f>41.8*(2/3*10)</f>
        <v>278.66666666666663</v>
      </c>
      <c r="E989" s="14">
        <f>2292.7*(2/3*10)</f>
        <v>15284.666666666664</v>
      </c>
      <c r="F989" s="14">
        <f>49.8*(2/3*10)</f>
        <v>331.99999999999994</v>
      </c>
      <c r="G989" s="14">
        <f>80.3*(2/3*10)</f>
        <v>535.33333333333326</v>
      </c>
      <c r="H989" s="14">
        <f>31.8*(2/3*10)</f>
        <v>212</v>
      </c>
      <c r="I989" s="14">
        <f>54.3*(2/3*10)</f>
        <v>361.99999999999994</v>
      </c>
      <c r="K989">
        <v>986</v>
      </c>
      <c r="L989">
        <f t="shared" si="15"/>
        <v>2</v>
      </c>
    </row>
    <row r="990" spans="1:12" ht="16.5" x14ac:dyDescent="0.2">
      <c r="A990" s="4" t="s">
        <v>229</v>
      </c>
      <c r="B990">
        <v>2011</v>
      </c>
      <c r="C990" s="14">
        <f>246.4*(2/3*10)</f>
        <v>1642.6666666666665</v>
      </c>
      <c r="D990" s="14">
        <f>41.5*(2/3*10)</f>
        <v>276.66666666666663</v>
      </c>
      <c r="E990" s="14">
        <f>2290*(2/3*10)</f>
        <v>15266.666666666666</v>
      </c>
      <c r="F990" s="14">
        <f>49.6*(2/3*10)</f>
        <v>330.66666666666663</v>
      </c>
      <c r="G990" s="14">
        <f>82.1*(2/3*10)</f>
        <v>547.33333333333337</v>
      </c>
      <c r="H990" s="14">
        <f>32.8*(2/3*10)</f>
        <v>218.66666666666663</v>
      </c>
      <c r="I990" s="14">
        <f>54.3*(2/3*10)</f>
        <v>361.99999999999994</v>
      </c>
      <c r="K990">
        <v>987</v>
      </c>
      <c r="L990">
        <f t="shared" si="15"/>
        <v>3</v>
      </c>
    </row>
    <row r="991" spans="1:12" ht="16.5" x14ac:dyDescent="0.2">
      <c r="A991" s="4" t="s">
        <v>229</v>
      </c>
      <c r="B991">
        <v>2012</v>
      </c>
      <c r="C991" s="14">
        <f>247.4*(2/3*10)</f>
        <v>1649.3333333333333</v>
      </c>
      <c r="D991" s="14">
        <f>40*(2/3*10)</f>
        <v>266.66666666666663</v>
      </c>
      <c r="E991" s="14">
        <f>2289.1*(2/3*10)</f>
        <v>15260.666666666664</v>
      </c>
      <c r="F991" s="14">
        <f>49.2*(2/3*10)</f>
        <v>328</v>
      </c>
      <c r="G991" s="14">
        <f>83.8*(2/3*10)</f>
        <v>558.66666666666663</v>
      </c>
      <c r="H991" s="14">
        <f>33.3*(2/3*10)</f>
        <v>221.99999999999997</v>
      </c>
      <c r="I991" s="14">
        <f>54.2*(2/3*10)</f>
        <v>361.33333333333331</v>
      </c>
      <c r="K991" s="15">
        <v>988</v>
      </c>
      <c r="L991">
        <f t="shared" si="15"/>
        <v>4</v>
      </c>
    </row>
    <row r="992" spans="1:12" ht="16.5" x14ac:dyDescent="0.2">
      <c r="A992" s="4" t="s">
        <v>229</v>
      </c>
      <c r="B992">
        <v>2013</v>
      </c>
      <c r="C992" s="14">
        <f>248.3*(2/3*10)</f>
        <v>1655.3333333333333</v>
      </c>
      <c r="D992" s="14">
        <f>39.4*(2/3*10)</f>
        <v>262.66666666666663</v>
      </c>
      <c r="E992" s="14">
        <f>2287*(2/3*10)</f>
        <v>15246.666666666666</v>
      </c>
      <c r="F992" s="14">
        <f>49.4*(2/3*10)</f>
        <v>329.33333333333331</v>
      </c>
      <c r="G992" s="14">
        <f>85.5*(2/3*10)</f>
        <v>570</v>
      </c>
      <c r="H992" s="14">
        <f>33.8*(2/3*10)</f>
        <v>225.33333333333329</v>
      </c>
      <c r="I992" s="14">
        <f>54.1*(2/3*10)</f>
        <v>360.66666666666663</v>
      </c>
      <c r="K992">
        <v>989</v>
      </c>
      <c r="L992">
        <f t="shared" si="15"/>
        <v>5</v>
      </c>
    </row>
    <row r="993" spans="1:12" ht="16.5" x14ac:dyDescent="0.2">
      <c r="A993" s="4" t="s">
        <v>229</v>
      </c>
      <c r="B993">
        <v>2014</v>
      </c>
      <c r="C993" s="14">
        <f>249.2*(2/3*10)</f>
        <v>1661.333333333333</v>
      </c>
      <c r="D993" s="14">
        <f>38.6*(2/3*10)</f>
        <v>257.33333333333331</v>
      </c>
      <c r="E993" s="14">
        <f>2284.6*(2/3*10)</f>
        <v>15230.666666666664</v>
      </c>
      <c r="F993" s="14">
        <f>49.8*(2/3*10)</f>
        <v>331.99999999999994</v>
      </c>
      <c r="G993" s="14">
        <f>87.1*(2/3*10)</f>
        <v>580.66666666666663</v>
      </c>
      <c r="H993" s="14">
        <f>34.5*(2/3*10)</f>
        <v>229.99999999999997</v>
      </c>
      <c r="I993" s="14">
        <f>54*(2/3*10)</f>
        <v>359.99999999999994</v>
      </c>
      <c r="K993" s="15">
        <v>990</v>
      </c>
      <c r="L993">
        <f t="shared" si="15"/>
        <v>6</v>
      </c>
    </row>
    <row r="994" spans="1:12" ht="16.5" x14ac:dyDescent="0.2">
      <c r="A994" s="4" t="s">
        <v>229</v>
      </c>
      <c r="B994">
        <v>2015</v>
      </c>
      <c r="C994" s="14">
        <f>249.3*(2/3*10)</f>
        <v>1662</v>
      </c>
      <c r="D994" s="14">
        <f>38.3*(2/3*10)</f>
        <v>255.33333333333329</v>
      </c>
      <c r="E994" s="14">
        <f>2283.6*(2/3*10)</f>
        <v>15223.999999999998</v>
      </c>
      <c r="F994" s="14">
        <f>50*(2/3*10)</f>
        <v>333.33333333333331</v>
      </c>
      <c r="G994" s="14">
        <f>87.8*(2/3*10)</f>
        <v>585.33333333333326</v>
      </c>
      <c r="H994" s="14">
        <f>34.9*(2/3*10)</f>
        <v>232.66666666666663</v>
      </c>
      <c r="I994" s="14">
        <f>53.9*(2/3*10)</f>
        <v>359.33333333333331</v>
      </c>
      <c r="K994">
        <v>991</v>
      </c>
      <c r="L994">
        <f t="shared" si="15"/>
        <v>7</v>
      </c>
    </row>
    <row r="995" spans="1:12" ht="16.5" x14ac:dyDescent="0.2">
      <c r="A995" s="4" t="s">
        <v>229</v>
      </c>
      <c r="B995">
        <v>2016</v>
      </c>
      <c r="C995" s="14">
        <f>250.4*(2/3*10)</f>
        <v>1669.3333333333333</v>
      </c>
      <c r="D995" s="14">
        <f>38.1*(2/3*10)</f>
        <v>254</v>
      </c>
      <c r="E995" s="14">
        <f>2281.7*(2/3*10)</f>
        <v>15211.33333333333</v>
      </c>
      <c r="F995" s="14">
        <f>49.9*(2/3*10)</f>
        <v>332.66666666666663</v>
      </c>
      <c r="G995" s="14">
        <f>88.3*(2/3*10)</f>
        <v>588.66666666666663</v>
      </c>
      <c r="H995" s="14">
        <f>35.4*(2/3*10)</f>
        <v>235.99999999999997</v>
      </c>
      <c r="I995" s="14">
        <f>54*(2/3*10)</f>
        <v>359.99999999999994</v>
      </c>
      <c r="K995">
        <v>992</v>
      </c>
      <c r="L995">
        <f t="shared" si="15"/>
        <v>0</v>
      </c>
    </row>
    <row r="996" spans="1:12" ht="16.5" x14ac:dyDescent="0.2">
      <c r="A996" s="4" t="s">
        <v>228</v>
      </c>
      <c r="B996">
        <v>2009</v>
      </c>
      <c r="C996" s="14">
        <f>240*(2/3*10)</f>
        <v>1599.9999999999998</v>
      </c>
      <c r="D996" s="14">
        <f>155.9*(2/3*10)</f>
        <v>1039.3333333333333</v>
      </c>
      <c r="E996" s="14">
        <f>1291*(2/3*10)</f>
        <v>8606.6666666666661</v>
      </c>
      <c r="F996" s="14">
        <f>66.4*(2/3*10)</f>
        <v>442.66666666666669</v>
      </c>
      <c r="G996" s="14">
        <f>43.4*(2/3*10)</f>
        <v>289.33333333333337</v>
      </c>
      <c r="H996" s="14">
        <f>21*(2/3*10)</f>
        <v>140</v>
      </c>
      <c r="I996" s="14">
        <f>120.8*(2/3*10)</f>
        <v>805.33333333333326</v>
      </c>
      <c r="K996" s="15">
        <v>993</v>
      </c>
      <c r="L996">
        <f t="shared" si="15"/>
        <v>1</v>
      </c>
    </row>
    <row r="997" spans="1:12" ht="16.5" x14ac:dyDescent="0.2">
      <c r="A997" s="4" t="s">
        <v>228</v>
      </c>
      <c r="B997">
        <v>2010</v>
      </c>
      <c r="C997" s="14">
        <f>241*(2/3*10)</f>
        <v>1606.6666666666665</v>
      </c>
      <c r="D997" s="14">
        <f>152*(2/3*10)</f>
        <v>1013.3333333333333</v>
      </c>
      <c r="E997" s="14">
        <f>1288.9*(2/3*10)</f>
        <v>8592.6666666666661</v>
      </c>
      <c r="F997" s="14">
        <f>68.6*(2/3*10)</f>
        <v>457.33333333333326</v>
      </c>
      <c r="G997" s="14">
        <f>44.7*(2/3*10)</f>
        <v>298</v>
      </c>
      <c r="H997" s="14">
        <f>21.8*(2/3*10)</f>
        <v>145.33333333333331</v>
      </c>
      <c r="I997" s="14">
        <f>120.5*(2/3*10)</f>
        <v>803.33333333333326</v>
      </c>
      <c r="K997">
        <v>994</v>
      </c>
      <c r="L997">
        <f t="shared" si="15"/>
        <v>2</v>
      </c>
    </row>
    <row r="998" spans="1:12" ht="16.5" x14ac:dyDescent="0.2">
      <c r="A998" s="4" t="s">
        <v>228</v>
      </c>
      <c r="B998">
        <v>2011</v>
      </c>
      <c r="C998" s="14">
        <f>241.7*(2/3*10)</f>
        <v>1611.333333333333</v>
      </c>
      <c r="D998" s="14">
        <f>151.6*(2/3*10)</f>
        <v>1010.6666666666665</v>
      </c>
      <c r="E998" s="14">
        <f>1287.8*(2/3*10)</f>
        <v>8585.3333333333321</v>
      </c>
      <c r="F998" s="14">
        <f>68.4*(2/3*10)</f>
        <v>456</v>
      </c>
      <c r="G998" s="14">
        <f>46*(2/3*10)</f>
        <v>306.66666666666663</v>
      </c>
      <c r="H998" s="14">
        <f>21.9*(2/3*10)</f>
        <v>145.99999999999997</v>
      </c>
      <c r="I998" s="14">
        <f>120.2*(2/3*10)</f>
        <v>801.33333333333326</v>
      </c>
      <c r="K998" s="15">
        <v>995</v>
      </c>
      <c r="L998">
        <f t="shared" si="15"/>
        <v>3</v>
      </c>
    </row>
    <row r="999" spans="1:12" ht="16.5" x14ac:dyDescent="0.2">
      <c r="A999" s="4" t="s">
        <v>228</v>
      </c>
      <c r="B999">
        <v>2012</v>
      </c>
      <c r="C999" s="14">
        <f>242*(2/3*10)</f>
        <v>1613.3333333333333</v>
      </c>
      <c r="D999" s="14">
        <f>150.5*(2/3*10)</f>
        <v>1003.3333333333333</v>
      </c>
      <c r="E999" s="14">
        <f>1286.9*(2/3*10)</f>
        <v>8579.3333333333339</v>
      </c>
      <c r="F999" s="14">
        <f>68.4*(2/3*10)</f>
        <v>456</v>
      </c>
      <c r="G999" s="14">
        <f>47.8*(2/3*10)</f>
        <v>318.66666666666669</v>
      </c>
      <c r="H999" s="14">
        <f>22.5*(2/3*10)</f>
        <v>150</v>
      </c>
      <c r="I999" s="14">
        <f>119.6*(2/3*10)</f>
        <v>797.33333333333326</v>
      </c>
      <c r="K999">
        <v>996</v>
      </c>
      <c r="L999">
        <f t="shared" si="15"/>
        <v>4</v>
      </c>
    </row>
    <row r="1000" spans="1:12" ht="16.5" x14ac:dyDescent="0.2">
      <c r="A1000" s="4" t="s">
        <v>228</v>
      </c>
      <c r="B1000">
        <v>2013</v>
      </c>
      <c r="C1000" s="14">
        <f>242.4*(2/3*10)</f>
        <v>1616</v>
      </c>
      <c r="D1000" s="14">
        <f>147.8*(2/3*10)</f>
        <v>985.33333333333337</v>
      </c>
      <c r="E1000" s="14">
        <f>1285.9*(2/3*10)</f>
        <v>8572.6666666666661</v>
      </c>
      <c r="F1000" s="14">
        <f>69.8*(2/3*10)</f>
        <v>465.33333333333326</v>
      </c>
      <c r="G1000" s="14">
        <f>49.7*(2/3*10)</f>
        <v>331.33333333333331</v>
      </c>
      <c r="H1000" s="14">
        <f>23.4*(2/3*10)</f>
        <v>155.99999999999997</v>
      </c>
      <c r="I1000" s="14">
        <f>119.2*(2/3*10)</f>
        <v>794.66666666666663</v>
      </c>
      <c r="K1000">
        <v>997</v>
      </c>
      <c r="L1000">
        <f t="shared" si="15"/>
        <v>5</v>
      </c>
    </row>
    <row r="1001" spans="1:12" ht="16.5" x14ac:dyDescent="0.2">
      <c r="A1001" s="4" t="s">
        <v>228</v>
      </c>
      <c r="B1001">
        <v>2014</v>
      </c>
      <c r="C1001" s="14">
        <f>242.5*(2/3*10)</f>
        <v>1616.6666666666665</v>
      </c>
      <c r="D1001" s="14">
        <f>146.6*(2/3*10)</f>
        <v>977.33333333333326</v>
      </c>
      <c r="E1001" s="14">
        <f>1284.9*(2/3*10)</f>
        <v>8566</v>
      </c>
      <c r="F1001" s="14">
        <f>69.9*(2/3*10)</f>
        <v>466</v>
      </c>
      <c r="G1001" s="14">
        <f>51.1*(2/3*10)</f>
        <v>340.66666666666663</v>
      </c>
      <c r="H1001" s="14">
        <f>24.7*(2/3*10)</f>
        <v>164.66666666666666</v>
      </c>
      <c r="I1001" s="14">
        <f>118.9*(2/3*10)</f>
        <v>792.66666666666663</v>
      </c>
      <c r="K1001" s="15">
        <v>998</v>
      </c>
      <c r="L1001">
        <f t="shared" si="15"/>
        <v>6</v>
      </c>
    </row>
    <row r="1002" spans="1:12" ht="16.5" x14ac:dyDescent="0.2">
      <c r="A1002" s="4" t="s">
        <v>228</v>
      </c>
      <c r="B1002">
        <v>2015</v>
      </c>
      <c r="C1002" s="14">
        <f>243.5*(2/3*10)</f>
        <v>1623.3333333333333</v>
      </c>
      <c r="D1002" s="14">
        <f>145.3*(2/3*10)</f>
        <v>968.66666666666663</v>
      </c>
      <c r="E1002" s="14">
        <f>1284*(2/3*10)</f>
        <v>8560</v>
      </c>
      <c r="F1002" s="14">
        <f>69.7*(2/3*10)</f>
        <v>464.66666666666663</v>
      </c>
      <c r="G1002" s="14">
        <f>52.6*(2/3*10)</f>
        <v>350.66666666666663</v>
      </c>
      <c r="H1002" s="14">
        <f>25.5*(2/3*10)</f>
        <v>169.99999999999997</v>
      </c>
      <c r="I1002" s="14">
        <f>118.1*(2/3*10)</f>
        <v>787.33333333333326</v>
      </c>
      <c r="K1002">
        <v>999</v>
      </c>
      <c r="L1002">
        <f t="shared" si="15"/>
        <v>7</v>
      </c>
    </row>
    <row r="1003" spans="1:12" ht="16.5" x14ac:dyDescent="0.2">
      <c r="A1003" s="4" t="s">
        <v>228</v>
      </c>
      <c r="B1003">
        <v>2016</v>
      </c>
      <c r="C1003" s="14">
        <f>243.5*(2/3*10)</f>
        <v>1623.3333333333333</v>
      </c>
      <c r="D1003" s="14">
        <f>144*(2/3*10)</f>
        <v>959.99999999999989</v>
      </c>
      <c r="E1003" s="14">
        <f>1283*(2/3*10)</f>
        <v>8553.3333333333321</v>
      </c>
      <c r="F1003" s="14">
        <f>69.5*(2/3*10)</f>
        <v>463.33333333333331</v>
      </c>
      <c r="G1003" s="14">
        <f>54.1*(2/3*10)</f>
        <v>360.66666666666663</v>
      </c>
      <c r="H1003" s="14">
        <f>26.8*(2/3*10)</f>
        <v>178.66666666666666</v>
      </c>
      <c r="I1003" s="14">
        <f>117.6*(2/3*10)</f>
        <v>783.99999999999989</v>
      </c>
      <c r="K1003" s="15">
        <v>1000</v>
      </c>
      <c r="L1003">
        <f t="shared" si="15"/>
        <v>0</v>
      </c>
    </row>
    <row r="1004" spans="1:12" ht="16.5" x14ac:dyDescent="0.2">
      <c r="A1004" s="4" t="s">
        <v>227</v>
      </c>
      <c r="B1004">
        <v>2009</v>
      </c>
      <c r="C1004" s="14">
        <f>4633.7*(2/3*10)</f>
        <v>30891.333333333328</v>
      </c>
      <c r="D1004" s="14">
        <f>501.7*(2/3*10)</f>
        <v>3344.6666666666665</v>
      </c>
      <c r="E1004" s="14">
        <f>15633.8*(2/3*10)</f>
        <v>104225.33333333331</v>
      </c>
      <c r="F1004" s="14">
        <f>455.1*(2/3*10)</f>
        <v>3034</v>
      </c>
      <c r="G1004" s="14">
        <f>1251.1*(2/3*10)</f>
        <v>8340.6666666666661</v>
      </c>
      <c r="H1004" s="14">
        <f>312.3*(2/3*10)</f>
        <v>2082</v>
      </c>
      <c r="I1004" s="14">
        <f>1910.6*(2/3*10)</f>
        <v>12737.333333333332</v>
      </c>
      <c r="K1004">
        <v>1001</v>
      </c>
      <c r="L1004">
        <f t="shared" si="15"/>
        <v>1</v>
      </c>
    </row>
    <row r="1005" spans="1:12" ht="16.5" x14ac:dyDescent="0.2">
      <c r="A1005" s="4" t="s">
        <v>227</v>
      </c>
      <c r="B1005">
        <v>2010</v>
      </c>
      <c r="C1005" s="14">
        <f>4627.5*(2/3*10)</f>
        <v>30849.999999999996</v>
      </c>
      <c r="D1005" s="14">
        <f>500.7*(2/3*10)</f>
        <v>3337.9999999999995</v>
      </c>
      <c r="E1005" s="14">
        <f>15611.4*(2/3*10)</f>
        <v>104075.99999999999</v>
      </c>
      <c r="F1005" s="14">
        <f>445.5*(2/3*10)</f>
        <v>2969.9999999999995</v>
      </c>
      <c r="G1005" s="14">
        <f>1276.5*(2/3*10)</f>
        <v>8510</v>
      </c>
      <c r="H1005" s="14">
        <f>323.9*(2/3*10)</f>
        <v>2159.333333333333</v>
      </c>
      <c r="I1005" s="14">
        <f>1906.9*(2/3*10)</f>
        <v>12712.666666666666</v>
      </c>
      <c r="K1005">
        <v>1002</v>
      </c>
      <c r="L1005">
        <f t="shared" si="15"/>
        <v>2</v>
      </c>
    </row>
    <row r="1006" spans="1:12" ht="16.5" x14ac:dyDescent="0.2">
      <c r="A1006" s="4" t="s">
        <v>227</v>
      </c>
      <c r="B1006">
        <v>2011</v>
      </c>
      <c r="C1006" s="14">
        <f>4628*(2/3*10)</f>
        <v>30853.333333333332</v>
      </c>
      <c r="D1006" s="14">
        <f>498.6*(2/3*10)</f>
        <v>3324</v>
      </c>
      <c r="E1006" s="14">
        <f>15581.6*(2/3*10)</f>
        <v>103877.33333333333</v>
      </c>
      <c r="F1006" s="14">
        <f>444.1*(2/3*10)</f>
        <v>2960.6666666666665</v>
      </c>
      <c r="G1006" s="14">
        <f>1304.7*(2/3*10)</f>
        <v>8698</v>
      </c>
      <c r="H1006" s="14">
        <f>333.2*(2/3*10)</f>
        <v>2221.333333333333</v>
      </c>
      <c r="I1006" s="14">
        <f>1902.7*(2/3*10)</f>
        <v>12684.666666666666</v>
      </c>
      <c r="K1006" s="15">
        <v>1003</v>
      </c>
      <c r="L1006">
        <f t="shared" si="15"/>
        <v>3</v>
      </c>
    </row>
    <row r="1007" spans="1:12" ht="16.5" x14ac:dyDescent="0.2">
      <c r="A1007" s="4" t="s">
        <v>227</v>
      </c>
      <c r="B1007">
        <v>2012</v>
      </c>
      <c r="C1007" s="14">
        <f>4625.3*(2/3*10)</f>
        <v>30835.333333333332</v>
      </c>
      <c r="D1007" s="14">
        <f>495.9*(2/3*10)</f>
        <v>3305.9999999999995</v>
      </c>
      <c r="E1007" s="14">
        <f>15550.1*(2/3*10)</f>
        <v>103667.33333333333</v>
      </c>
      <c r="F1007" s="14">
        <f>449.9*(2/3*10)</f>
        <v>2999.333333333333</v>
      </c>
      <c r="G1007" s="14">
        <f>1335.7*(2/3*10)</f>
        <v>8904.6666666666661</v>
      </c>
      <c r="H1007" s="14">
        <f>337.8*(2/3*10)</f>
        <v>2252</v>
      </c>
      <c r="I1007" s="14">
        <f>1898*(2/3*10)</f>
        <v>12653.333333333332</v>
      </c>
      <c r="K1007">
        <v>1004</v>
      </c>
      <c r="L1007">
        <f t="shared" si="15"/>
        <v>4</v>
      </c>
    </row>
    <row r="1008" spans="1:12" ht="16.5" x14ac:dyDescent="0.2">
      <c r="A1008" s="4" t="s">
        <v>227</v>
      </c>
      <c r="B1008">
        <v>2013</v>
      </c>
      <c r="C1008" s="14">
        <f>4631*(2/3*10)</f>
        <v>30873.333333333332</v>
      </c>
      <c r="D1008" s="14">
        <f>494.1*(2/3*10)</f>
        <v>3294</v>
      </c>
      <c r="E1008" s="14">
        <f>15540.3*(2/3*10)</f>
        <v>103601.99999999999</v>
      </c>
      <c r="F1008" s="14">
        <f>434.4*(2/3*10)</f>
        <v>2895.9999999999995</v>
      </c>
      <c r="G1008" s="14">
        <f>1356.2*(2/3*10)</f>
        <v>9041.3333333333321</v>
      </c>
      <c r="H1008" s="14">
        <f>342.7*(2/3*10)</f>
        <v>2284.6666666666665</v>
      </c>
      <c r="I1008" s="14">
        <f>1893.1*(2/3*10)</f>
        <v>12620.666666666664</v>
      </c>
      <c r="K1008" s="15">
        <v>1005</v>
      </c>
      <c r="L1008">
        <f t="shared" si="15"/>
        <v>5</v>
      </c>
    </row>
    <row r="1009" spans="1:12" ht="16.5" x14ac:dyDescent="0.2">
      <c r="A1009" s="4" t="s">
        <v>227</v>
      </c>
      <c r="B1009">
        <v>2014</v>
      </c>
      <c r="C1009" s="14">
        <f>4628*(2/3*10)</f>
        <v>30853.333333333332</v>
      </c>
      <c r="D1009" s="14">
        <f>491.9*(2/3*10)</f>
        <v>3279.333333333333</v>
      </c>
      <c r="E1009" s="14">
        <f>15518.8*(2/3*10)</f>
        <v>103458.66666666666</v>
      </c>
      <c r="F1009" s="14">
        <f>424.9*(2/3*10)</f>
        <v>2832.6666666666661</v>
      </c>
      <c r="G1009" s="14">
        <f>1386.4*(2/3*10)</f>
        <v>9242.6666666666642</v>
      </c>
      <c r="H1009" s="14">
        <f>352.7*(2/3*10)</f>
        <v>2351.333333333333</v>
      </c>
      <c r="I1009" s="14">
        <f>1887.8*(2/3*10)</f>
        <v>12585.333333333332</v>
      </c>
      <c r="K1009">
        <v>1006</v>
      </c>
      <c r="L1009">
        <f t="shared" si="15"/>
        <v>6</v>
      </c>
    </row>
    <row r="1010" spans="1:12" ht="16.5" x14ac:dyDescent="0.2">
      <c r="A1010" s="4" t="s">
        <v>227</v>
      </c>
      <c r="B1010">
        <v>2015</v>
      </c>
      <c r="C1010" s="14">
        <f>4624.1*(2/3*10)</f>
        <v>30827.333333333332</v>
      </c>
      <c r="D1010" s="14">
        <f>489.1*(2/3*10)</f>
        <v>3260.6666666666665</v>
      </c>
      <c r="E1010" s="14">
        <f>15501.7*(2/3*10)</f>
        <v>103344.66666666666</v>
      </c>
      <c r="F1010" s="14">
        <f>417.7*(2/3*10)</f>
        <v>2784.6666666666665</v>
      </c>
      <c r="G1010" s="14">
        <f>1410.9*(2/3*10)</f>
        <v>9405.9999999999982</v>
      </c>
      <c r="H1010" s="14">
        <f>362.4*(2/3*10)</f>
        <v>2415.9999999999995</v>
      </c>
      <c r="I1010" s="14">
        <f>1884.1*(2/3*10)</f>
        <v>12560.666666666664</v>
      </c>
      <c r="K1010">
        <v>1007</v>
      </c>
      <c r="L1010">
        <f t="shared" si="15"/>
        <v>7</v>
      </c>
    </row>
    <row r="1011" spans="1:12" ht="16.5" x14ac:dyDescent="0.2">
      <c r="A1011" s="4" t="s">
        <v>227</v>
      </c>
      <c r="B1011">
        <v>2016</v>
      </c>
      <c r="C1011" s="14">
        <f>4623.3*(2/3*10)</f>
        <v>30822</v>
      </c>
      <c r="D1011" s="14">
        <f>485.5*(2/3*10)</f>
        <v>3236.6666666666665</v>
      </c>
      <c r="E1011" s="14">
        <f>15486.2*(2/3*10)</f>
        <v>103241.33333333333</v>
      </c>
      <c r="F1011" s="14">
        <f>413*(2/3*10)</f>
        <v>2753.333333333333</v>
      </c>
      <c r="G1011" s="14">
        <f>1431.4*(2/3*10)</f>
        <v>9542.6666666666661</v>
      </c>
      <c r="H1011" s="14">
        <f>367.5*(2/3*10)</f>
        <v>2450</v>
      </c>
      <c r="I1011" s="14">
        <f>1881.2*(2/3*10)</f>
        <v>12541.333333333332</v>
      </c>
      <c r="K1011" s="15">
        <v>1008</v>
      </c>
      <c r="L1011">
        <f t="shared" si="15"/>
        <v>0</v>
      </c>
    </row>
    <row r="1012" spans="1:12" ht="16.5" x14ac:dyDescent="0.2">
      <c r="A1012" s="4" t="s">
        <v>226</v>
      </c>
      <c r="B1012">
        <v>2009</v>
      </c>
      <c r="C1012" s="14">
        <f>424.3*(2/3*10)</f>
        <v>2828.6666666666665</v>
      </c>
      <c r="D1012" s="14">
        <f>9.2*(2/3*10)</f>
        <v>61.333333333333321</v>
      </c>
      <c r="E1012" s="14">
        <f>169.2*(2/3*10)</f>
        <v>1127.9999999999998</v>
      </c>
      <c r="F1012" s="14">
        <f>22.6*(2/3*10)</f>
        <v>150.66666666666666</v>
      </c>
      <c r="G1012" s="14">
        <f>122.4*(2/3*10)</f>
        <v>816</v>
      </c>
      <c r="H1012" s="14">
        <f>24.1*(2/3*10)</f>
        <v>160.66666666666666</v>
      </c>
      <c r="I1012" s="14">
        <f>289.7*(2/3*10)</f>
        <v>1931.333333333333</v>
      </c>
      <c r="K1012">
        <v>1009</v>
      </c>
      <c r="L1012">
        <f t="shared" si="15"/>
        <v>1</v>
      </c>
    </row>
    <row r="1013" spans="1:12" ht="16.5" x14ac:dyDescent="0.2">
      <c r="A1013" s="4" t="s">
        <v>226</v>
      </c>
      <c r="B1013">
        <v>2010</v>
      </c>
      <c r="C1013" s="14">
        <f>422.8*(2/3*10)</f>
        <v>2818.6666666666665</v>
      </c>
      <c r="D1013" s="14">
        <f>9.3*(2/3*10)</f>
        <v>62</v>
      </c>
      <c r="E1013" s="14">
        <f>168.2*(2/3*10)</f>
        <v>1121.3333333333333</v>
      </c>
      <c r="F1013" s="14">
        <f>22.2*(2/3*10)</f>
        <v>147.99999999999997</v>
      </c>
      <c r="G1013" s="14">
        <f>125.2*(2/3*10)</f>
        <v>834.66666666666663</v>
      </c>
      <c r="H1013" s="14">
        <f>25.1*(2/3*10)</f>
        <v>167.33333333333331</v>
      </c>
      <c r="I1013" s="14">
        <f>288.4*(2/3*10)</f>
        <v>1922.6666666666663</v>
      </c>
      <c r="K1013" s="15">
        <v>1010</v>
      </c>
      <c r="L1013">
        <f t="shared" si="15"/>
        <v>2</v>
      </c>
    </row>
    <row r="1014" spans="1:12" ht="16.5" x14ac:dyDescent="0.2">
      <c r="A1014" s="4" t="s">
        <v>226</v>
      </c>
      <c r="B1014">
        <v>2011</v>
      </c>
      <c r="C1014" s="14">
        <f>421.5*(2/3*10)</f>
        <v>2809.9999999999995</v>
      </c>
      <c r="D1014" s="14">
        <f>9.3*(2/3*10)</f>
        <v>62</v>
      </c>
      <c r="E1014" s="14">
        <f>167.4*(2/3*10)</f>
        <v>1116</v>
      </c>
      <c r="F1014" s="14">
        <f>21.5*(2/3*10)</f>
        <v>143.33333333333331</v>
      </c>
      <c r="G1014" s="14">
        <f>128.2*(2/3*10)</f>
        <v>854.66666666666652</v>
      </c>
      <c r="H1014" s="14">
        <f>26.2*(2/3*10)</f>
        <v>174.66666666666666</v>
      </c>
      <c r="I1014" s="14">
        <f>287*(2/3*10)</f>
        <v>1913.3333333333333</v>
      </c>
      <c r="K1014">
        <v>1011</v>
      </c>
      <c r="L1014">
        <f t="shared" si="15"/>
        <v>3</v>
      </c>
    </row>
    <row r="1015" spans="1:12" ht="16.5" x14ac:dyDescent="0.2">
      <c r="A1015" s="4" t="s">
        <v>226</v>
      </c>
      <c r="B1015">
        <v>2012</v>
      </c>
      <c r="C1015" s="14">
        <f>419.1*(2/3*10)</f>
        <v>2794</v>
      </c>
      <c r="D1015" s="14">
        <f>9.1*(2/3*10)</f>
        <v>60.666666666666657</v>
      </c>
      <c r="E1015" s="14">
        <f>165.8*(2/3*10)</f>
        <v>1105.3333333333333</v>
      </c>
      <c r="F1015" s="14">
        <f>21.2*(2/3*10)</f>
        <v>141.33333333333331</v>
      </c>
      <c r="G1015" s="14">
        <f>133.7*(2/3*10)</f>
        <v>891.33333333333337</v>
      </c>
      <c r="H1015" s="14">
        <f>26.8*(2/3*10)</f>
        <v>178.66666666666666</v>
      </c>
      <c r="I1015" s="14">
        <f>285.5*(2/3*10)</f>
        <v>1903.3333333333333</v>
      </c>
      <c r="K1015">
        <v>1012</v>
      </c>
      <c r="L1015">
        <f t="shared" si="15"/>
        <v>4</v>
      </c>
    </row>
    <row r="1016" spans="1:12" ht="16.5" x14ac:dyDescent="0.2">
      <c r="A1016" s="4" t="s">
        <v>226</v>
      </c>
      <c r="B1016">
        <v>2013</v>
      </c>
      <c r="C1016" s="14">
        <f>418.7*(2/3*10)</f>
        <v>2791.333333333333</v>
      </c>
      <c r="D1016" s="14">
        <f>9*(2/3*10)</f>
        <v>59.999999999999993</v>
      </c>
      <c r="E1016" s="14">
        <f>164.5*(2/3*10)</f>
        <v>1096.6666666666665</v>
      </c>
      <c r="F1016" s="14">
        <f>20.4*(2/3*10)</f>
        <v>135.99999999999997</v>
      </c>
      <c r="G1016" s="14">
        <f>136.2*(2/3*10)</f>
        <v>908</v>
      </c>
      <c r="H1016" s="14">
        <f>27.7*(2/3*10)</f>
        <v>184.66666666666666</v>
      </c>
      <c r="I1016" s="14">
        <f>284.7*(2/3*10)</f>
        <v>1897.9999999999998</v>
      </c>
      <c r="K1016" s="15">
        <v>1013</v>
      </c>
      <c r="L1016">
        <f t="shared" si="15"/>
        <v>5</v>
      </c>
    </row>
    <row r="1017" spans="1:12" ht="16.5" x14ac:dyDescent="0.2">
      <c r="A1017" s="4" t="s">
        <v>226</v>
      </c>
      <c r="B1017">
        <v>2014</v>
      </c>
      <c r="C1017" s="14">
        <f>417*(2/3*10)</f>
        <v>2779.9999999999995</v>
      </c>
      <c r="D1017" s="14">
        <f>9*(2/3*10)</f>
        <v>59.999999999999993</v>
      </c>
      <c r="E1017" s="14">
        <f>163.6*(2/3*10)</f>
        <v>1090.6666666666665</v>
      </c>
      <c r="F1017" s="14">
        <f>19.4*(2/3*10)</f>
        <v>129.33333333333331</v>
      </c>
      <c r="G1017" s="14">
        <f>140.1*(2/3*10)</f>
        <v>933.99999999999989</v>
      </c>
      <c r="H1017" s="14">
        <f>28.9*(2/3*10)</f>
        <v>192.66666666666663</v>
      </c>
      <c r="I1017" s="14">
        <f>283.2*(2/3*10)</f>
        <v>1887.9999999999998</v>
      </c>
      <c r="K1017">
        <v>1014</v>
      </c>
      <c r="L1017">
        <f t="shared" si="15"/>
        <v>6</v>
      </c>
    </row>
    <row r="1018" spans="1:12" ht="16.5" x14ac:dyDescent="0.2">
      <c r="A1018" s="4" t="s">
        <v>226</v>
      </c>
      <c r="B1018">
        <v>2015</v>
      </c>
      <c r="C1018" s="14">
        <f>415.4*(2/3*10)</f>
        <v>2769.333333333333</v>
      </c>
      <c r="D1018" s="14">
        <f>8.9*(2/3*10)</f>
        <v>59.333333333333329</v>
      </c>
      <c r="E1018" s="14">
        <f>162.9*(2/3*10)</f>
        <v>1086</v>
      </c>
      <c r="F1018" s="14">
        <f>18.5*(2/3*10)</f>
        <v>123.33333333333333</v>
      </c>
      <c r="G1018" s="14">
        <f>143.3*(2/3*10)</f>
        <v>955.33333333333314</v>
      </c>
      <c r="H1018" s="14">
        <f>29.7*(2/3*10)</f>
        <v>197.99999999999997</v>
      </c>
      <c r="I1018" s="14">
        <f>282.4*(2/3*10)</f>
        <v>1882.6666666666663</v>
      </c>
      <c r="K1018" s="15">
        <v>1015</v>
      </c>
      <c r="L1018">
        <f t="shared" si="15"/>
        <v>7</v>
      </c>
    </row>
    <row r="1019" spans="1:12" ht="16.5" x14ac:dyDescent="0.2">
      <c r="A1019" s="4" t="s">
        <v>226</v>
      </c>
      <c r="B1019">
        <v>2016</v>
      </c>
      <c r="C1019" s="14">
        <f>413.8*(2/3*10)</f>
        <v>2758.6666666666665</v>
      </c>
      <c r="D1019" s="14">
        <f>8.9*(2/3*10)</f>
        <v>59.333333333333329</v>
      </c>
      <c r="E1019" s="14">
        <f>162.4*(2/3*10)</f>
        <v>1082.6666666666665</v>
      </c>
      <c r="F1019" s="14">
        <f>17.9*(2/3*10)</f>
        <v>119.33333333333331</v>
      </c>
      <c r="G1019" s="14">
        <f>145.4*(2/3*10)</f>
        <v>969.33333333333326</v>
      </c>
      <c r="H1019" s="14">
        <f>30.6*(2/3*10)</f>
        <v>204</v>
      </c>
      <c r="I1019" s="14">
        <f>282*(2/3*10)</f>
        <v>1879.9999999999998</v>
      </c>
      <c r="K1019">
        <v>1016</v>
      </c>
      <c r="L1019">
        <f t="shared" si="15"/>
        <v>0</v>
      </c>
    </row>
    <row r="1020" spans="1:12" ht="16.5" x14ac:dyDescent="0.2">
      <c r="A1020" s="4" t="s">
        <v>225</v>
      </c>
      <c r="B1020">
        <v>2009</v>
      </c>
      <c r="C1020" s="14">
        <f>139.5*(2/3*10)</f>
        <v>929.99999999999989</v>
      </c>
      <c r="D1020" s="14">
        <f>8.8*(2/3*10)</f>
        <v>58.666666666666664</v>
      </c>
      <c r="E1020" s="14">
        <f>536.5*(2/3*10)</f>
        <v>3576.6666666666665</v>
      </c>
      <c r="F1020" s="14">
        <f>12.2*(2/3*10)</f>
        <v>81.333333333333314</v>
      </c>
      <c r="G1020" s="14">
        <f>39*(2/3*10)</f>
        <v>260</v>
      </c>
      <c r="H1020" s="14">
        <f>10.3*(2/3*10)</f>
        <v>68.666666666666671</v>
      </c>
      <c r="I1020" s="14">
        <f>35.4*(2/3*10)</f>
        <v>235.99999999999997</v>
      </c>
      <c r="K1020">
        <v>1017</v>
      </c>
      <c r="L1020">
        <f t="shared" si="15"/>
        <v>1</v>
      </c>
    </row>
    <row r="1021" spans="1:12" ht="16.5" x14ac:dyDescent="0.2">
      <c r="A1021" s="4" t="s">
        <v>225</v>
      </c>
      <c r="B1021">
        <v>2010</v>
      </c>
      <c r="C1021" s="14">
        <f>139.4*(2/3*10)</f>
        <v>929.33333333333326</v>
      </c>
      <c r="D1021" s="14">
        <f>8.7*(2/3*10)</f>
        <v>57.999999999999993</v>
      </c>
      <c r="E1021" s="14">
        <f>535.9*(2/3*10)</f>
        <v>3572.6666666666661</v>
      </c>
      <c r="F1021" s="14">
        <f>11.6*(2/3*10)</f>
        <v>77.333333333333329</v>
      </c>
      <c r="G1021" s="14">
        <f>39.7*(2/3*10)</f>
        <v>264.66666666666663</v>
      </c>
      <c r="H1021" s="14">
        <f>10.8*(2/3*10)</f>
        <v>72</v>
      </c>
      <c r="I1021" s="14">
        <f>35.4*(2/3*10)</f>
        <v>235.99999999999997</v>
      </c>
      <c r="K1021" s="15">
        <v>1018</v>
      </c>
      <c r="L1021">
        <f t="shared" si="15"/>
        <v>2</v>
      </c>
    </row>
    <row r="1022" spans="1:12" ht="16.5" x14ac:dyDescent="0.2">
      <c r="A1022" s="4" t="s">
        <v>225</v>
      </c>
      <c r="B1022">
        <v>2011</v>
      </c>
      <c r="C1022" s="14">
        <f>139.2*(2/3*10)</f>
        <v>927.99999999999989</v>
      </c>
      <c r="D1022" s="14">
        <f>8.6*(2/3*10)</f>
        <v>57.333333333333329</v>
      </c>
      <c r="E1022" s="14">
        <f>535.1*(2/3*10)</f>
        <v>3567.333333333333</v>
      </c>
      <c r="F1022" s="14">
        <f>11.7*(2/3*10)</f>
        <v>77.999999999999986</v>
      </c>
      <c r="G1022" s="14">
        <f>40.5*(2/3*10)</f>
        <v>269.99999999999994</v>
      </c>
      <c r="H1022" s="14">
        <f>11*(2/3*10)</f>
        <v>73.333333333333329</v>
      </c>
      <c r="I1022" s="14">
        <f>35.3*(2/3*10)</f>
        <v>235.33333333333329</v>
      </c>
      <c r="K1022">
        <v>1019</v>
      </c>
      <c r="L1022">
        <f t="shared" si="15"/>
        <v>3</v>
      </c>
    </row>
    <row r="1023" spans="1:12" ht="16.5" x14ac:dyDescent="0.2">
      <c r="A1023" s="4" t="s">
        <v>225</v>
      </c>
      <c r="B1023">
        <v>2012</v>
      </c>
      <c r="C1023" s="14">
        <f>138.9*(2/3*10)</f>
        <v>926</v>
      </c>
      <c r="D1023" s="14">
        <f>8.6*(2/3*10)</f>
        <v>57.333333333333329</v>
      </c>
      <c r="E1023" s="14">
        <f>534*(2/3*10)</f>
        <v>3559.9999999999995</v>
      </c>
      <c r="F1023" s="14">
        <f>11.9*(2/3*10)</f>
        <v>79.333333333333329</v>
      </c>
      <c r="G1023" s="14">
        <f>41.4*(2/3*10)</f>
        <v>275.99999999999994</v>
      </c>
      <c r="H1023" s="14">
        <f>11.1*(2/3*10)</f>
        <v>73.999999999999986</v>
      </c>
      <c r="I1023" s="14">
        <f>35.3*(2/3*10)</f>
        <v>235.33333333333329</v>
      </c>
      <c r="K1023" s="15">
        <v>1020</v>
      </c>
      <c r="L1023">
        <f t="shared" si="15"/>
        <v>4</v>
      </c>
    </row>
    <row r="1024" spans="1:12" ht="16.5" x14ac:dyDescent="0.2">
      <c r="A1024" s="4" t="s">
        <v>225</v>
      </c>
      <c r="B1024">
        <v>2013</v>
      </c>
      <c r="C1024" s="14">
        <f>139.2*(2/3*10)</f>
        <v>927.99999999999989</v>
      </c>
      <c r="D1024" s="14">
        <f>8.5*(2/3*10)</f>
        <v>56.666666666666664</v>
      </c>
      <c r="E1024" s="14">
        <f>533.6*(2/3*10)</f>
        <v>3557.333333333333</v>
      </c>
      <c r="F1024" s="14">
        <f>11*(2/3*10)</f>
        <v>73.333333333333329</v>
      </c>
      <c r="G1024" s="14">
        <f>42.3*(2/3*10)</f>
        <v>281.99999999999994</v>
      </c>
      <c r="H1024" s="14">
        <f>11.2*(2/3*10)</f>
        <v>74.666666666666657</v>
      </c>
      <c r="I1024" s="14">
        <f>35.2*(2/3*10)</f>
        <v>234.66666666666666</v>
      </c>
      <c r="K1024">
        <v>1021</v>
      </c>
      <c r="L1024">
        <f t="shared" ref="L1024:L1087" si="16">MOD(K1024,8)</f>
        <v>5</v>
      </c>
    </row>
    <row r="1025" spans="1:12" ht="16.5" x14ac:dyDescent="0.2">
      <c r="A1025" s="4" t="s">
        <v>225</v>
      </c>
      <c r="B1025">
        <v>2014</v>
      </c>
      <c r="C1025" s="14">
        <f>139.3*(2/3*10)</f>
        <v>928.66666666666663</v>
      </c>
      <c r="D1025" s="14">
        <f>8.5*(2/3*10)</f>
        <v>56.666666666666664</v>
      </c>
      <c r="E1025" s="14">
        <f>532.7*(2/3*10)</f>
        <v>3551.3333333333335</v>
      </c>
      <c r="F1025" s="14">
        <f>10.3*(2/3*10)</f>
        <v>68.666666666666671</v>
      </c>
      <c r="G1025" s="14">
        <f>43.6*(2/3*10)</f>
        <v>290.66666666666663</v>
      </c>
      <c r="H1025" s="14">
        <f>11.5*(2/3*10)</f>
        <v>76.666666666666657</v>
      </c>
      <c r="I1025" s="14">
        <f>35.2*(2/3*10)</f>
        <v>234.66666666666666</v>
      </c>
      <c r="K1025">
        <v>1022</v>
      </c>
      <c r="L1025">
        <f t="shared" si="16"/>
        <v>6</v>
      </c>
    </row>
    <row r="1026" spans="1:12" ht="16.5" x14ac:dyDescent="0.2">
      <c r="A1026" s="4" t="s">
        <v>225</v>
      </c>
      <c r="B1026">
        <v>2015</v>
      </c>
      <c r="C1026" s="14">
        <f>139*(2/3*10)</f>
        <v>926.66666666666663</v>
      </c>
      <c r="D1026" s="14">
        <f>8.5*(2/3*10)</f>
        <v>56.666666666666664</v>
      </c>
      <c r="E1026" s="14">
        <f>532.1*(2/3*10)</f>
        <v>3547.333333333333</v>
      </c>
      <c r="F1026" s="14">
        <f>10.2*(2/3*10)</f>
        <v>67.999999999999986</v>
      </c>
      <c r="G1026" s="14">
        <f>44.6*(2/3*10)</f>
        <v>297.33333333333331</v>
      </c>
      <c r="H1026" s="14">
        <f>11.7*(2/3*10)</f>
        <v>77.999999999999986</v>
      </c>
      <c r="I1026" s="14">
        <f>35.1*(2/3*10)</f>
        <v>234</v>
      </c>
      <c r="K1026" s="15">
        <v>1023</v>
      </c>
      <c r="L1026">
        <f t="shared" si="16"/>
        <v>7</v>
      </c>
    </row>
    <row r="1027" spans="1:12" ht="16.5" x14ac:dyDescent="0.2">
      <c r="A1027" s="4" t="s">
        <v>225</v>
      </c>
      <c r="B1027">
        <v>2016</v>
      </c>
      <c r="C1027" s="14">
        <f>138.7*(2/3*10)</f>
        <v>924.66666666666652</v>
      </c>
      <c r="D1027" s="14">
        <f>8.4*(2/3*10)</f>
        <v>56</v>
      </c>
      <c r="E1027" s="14">
        <f>531.7*(2/3*10)</f>
        <v>3544.6666666666665</v>
      </c>
      <c r="F1027" s="14">
        <f>10.2*(2/3*10)</f>
        <v>67.999999999999986</v>
      </c>
      <c r="G1027" s="14">
        <f>45.2*(2/3*10)</f>
        <v>301.33333333333331</v>
      </c>
      <c r="H1027" s="14">
        <f>11.7*(2/3*10)</f>
        <v>77.999999999999986</v>
      </c>
      <c r="I1027" s="14">
        <f>35.1*(2/3*10)</f>
        <v>234</v>
      </c>
      <c r="K1027">
        <v>1024</v>
      </c>
      <c r="L1027">
        <f t="shared" si="16"/>
        <v>0</v>
      </c>
    </row>
    <row r="1028" spans="1:12" ht="16.5" x14ac:dyDescent="0.2">
      <c r="A1028" s="4" t="s">
        <v>224</v>
      </c>
      <c r="B1028">
        <v>2009</v>
      </c>
      <c r="C1028" s="14">
        <f>99.6*(2/3*10)</f>
        <v>663.99999999999989</v>
      </c>
      <c r="D1028" s="14">
        <f>1.7*(2/3*10)</f>
        <v>11.333333333333332</v>
      </c>
      <c r="E1028" s="14">
        <f>377.7*(2/3*10)</f>
        <v>2517.9999999999995</v>
      </c>
      <c r="F1028" s="14">
        <f>11*(2/3*10)</f>
        <v>73.333333333333329</v>
      </c>
      <c r="G1028" s="14">
        <f>51.2*(2/3*10)</f>
        <v>341.33333333333331</v>
      </c>
      <c r="H1028" s="14">
        <f>9.8*(2/3*10)</f>
        <v>65.333333333333329</v>
      </c>
      <c r="I1028" s="14">
        <f>16.3*(2/3*10)</f>
        <v>108.66666666666666</v>
      </c>
      <c r="K1028" s="15">
        <v>1025</v>
      </c>
      <c r="L1028">
        <f t="shared" si="16"/>
        <v>1</v>
      </c>
    </row>
    <row r="1029" spans="1:12" ht="16.5" x14ac:dyDescent="0.2">
      <c r="A1029" s="4" t="s">
        <v>224</v>
      </c>
      <c r="B1029">
        <v>2010</v>
      </c>
      <c r="C1029" s="14">
        <f>99.4*(2/3*10)</f>
        <v>662.66666666666663</v>
      </c>
      <c r="D1029" s="14">
        <f>1.7*(2/3*10)</f>
        <v>11.333333333333332</v>
      </c>
      <c r="E1029" s="14">
        <f>376.7*(2/3*10)</f>
        <v>2511.333333333333</v>
      </c>
      <c r="F1029" s="14">
        <f>10.6*(2/3*10)</f>
        <v>70.666666666666657</v>
      </c>
      <c r="G1029" s="14">
        <f>52.5*(2/3*10)</f>
        <v>349.99999999999994</v>
      </c>
      <c r="H1029" s="14">
        <f>10*(2/3*10)</f>
        <v>66.666666666666657</v>
      </c>
      <c r="I1029" s="14">
        <f>16.2*(2/3*10)</f>
        <v>107.99999999999999</v>
      </c>
      <c r="K1029">
        <v>1026</v>
      </c>
      <c r="L1029">
        <f t="shared" si="16"/>
        <v>2</v>
      </c>
    </row>
    <row r="1030" spans="1:12" ht="16.5" x14ac:dyDescent="0.2">
      <c r="A1030" s="4" t="s">
        <v>224</v>
      </c>
      <c r="B1030">
        <v>2011</v>
      </c>
      <c r="C1030" s="14">
        <f>99.6*(2/3*10)</f>
        <v>663.99999999999989</v>
      </c>
      <c r="D1030" s="14">
        <f>1.7*(2/3*10)</f>
        <v>11.333333333333332</v>
      </c>
      <c r="E1030" s="14">
        <f>374.9*(2/3*10)</f>
        <v>2499.333333333333</v>
      </c>
      <c r="F1030" s="14">
        <f>10.5*(2/3*10)</f>
        <v>70</v>
      </c>
      <c r="G1030" s="14">
        <f>53.6*(2/3*10)</f>
        <v>357.33333333333331</v>
      </c>
      <c r="H1030" s="14">
        <f>10.5*(2/3*10)</f>
        <v>70</v>
      </c>
      <c r="I1030" s="14">
        <f>16.1*(2/3*10)</f>
        <v>107.33333333333333</v>
      </c>
      <c r="K1030">
        <v>1027</v>
      </c>
      <c r="L1030">
        <f t="shared" si="16"/>
        <v>3</v>
      </c>
    </row>
    <row r="1031" spans="1:12" ht="16.5" x14ac:dyDescent="0.2">
      <c r="A1031" s="4" t="s">
        <v>224</v>
      </c>
      <c r="B1031">
        <v>2012</v>
      </c>
      <c r="C1031" s="14">
        <f>99.8*(2/3*10)</f>
        <v>665.33333333333326</v>
      </c>
      <c r="D1031" s="14">
        <f>1.6*(2/3*10)</f>
        <v>10.666666666666666</v>
      </c>
      <c r="E1031" s="14">
        <f>373.4*(2/3*10)</f>
        <v>2489.333333333333</v>
      </c>
      <c r="F1031" s="14">
        <f>10.6*(2/3*10)</f>
        <v>70.666666666666657</v>
      </c>
      <c r="G1031" s="14">
        <f>54.9*(2/3*10)</f>
        <v>365.99999999999994</v>
      </c>
      <c r="H1031" s="14">
        <f>10.5*(2/3*10)</f>
        <v>70</v>
      </c>
      <c r="I1031" s="14">
        <f>16.1*(2/3*10)</f>
        <v>107.33333333333333</v>
      </c>
      <c r="K1031" s="15">
        <v>1028</v>
      </c>
      <c r="L1031">
        <f t="shared" si="16"/>
        <v>4</v>
      </c>
    </row>
    <row r="1032" spans="1:12" ht="16.5" x14ac:dyDescent="0.2">
      <c r="A1032" s="4" t="s">
        <v>224</v>
      </c>
      <c r="B1032">
        <v>2013</v>
      </c>
      <c r="C1032" s="14">
        <f>99.8*(2/3*10)</f>
        <v>665.33333333333326</v>
      </c>
      <c r="D1032" s="14">
        <f>1.7*(2/3*10)</f>
        <v>11.333333333333332</v>
      </c>
      <c r="E1032" s="14">
        <f>373*(2/3*10)</f>
        <v>2486.6666666666665</v>
      </c>
      <c r="F1032" s="14">
        <f>10.1*(2/3*10)</f>
        <v>67.333333333333329</v>
      </c>
      <c r="G1032" s="14">
        <f>55.5*(2/3*10)</f>
        <v>369.99999999999994</v>
      </c>
      <c r="H1032" s="14">
        <f>10.6*(2/3*10)</f>
        <v>70.666666666666657</v>
      </c>
      <c r="I1032" s="14">
        <f>16*(2/3*10)</f>
        <v>106.66666666666666</v>
      </c>
      <c r="K1032">
        <v>1029</v>
      </c>
      <c r="L1032">
        <f t="shared" si="16"/>
        <v>5</v>
      </c>
    </row>
    <row r="1033" spans="1:12" ht="16.5" x14ac:dyDescent="0.2">
      <c r="A1033" s="4" t="s">
        <v>224</v>
      </c>
      <c r="B1033">
        <v>2014</v>
      </c>
      <c r="C1033" s="14">
        <f>99.5*(2/3*10)</f>
        <v>663.33333333333326</v>
      </c>
      <c r="D1033" s="14">
        <f>1.7*(2/3*10)</f>
        <v>11.333333333333332</v>
      </c>
      <c r="E1033" s="14">
        <f>372.3*(2/3*10)</f>
        <v>2482</v>
      </c>
      <c r="F1033" s="14">
        <f>9.7*(2/3*10)</f>
        <v>64.666666666666657</v>
      </c>
      <c r="G1033" s="14">
        <f>56.7*(2/3*10)</f>
        <v>378</v>
      </c>
      <c r="H1033" s="14">
        <f>10.8*(2/3*10)</f>
        <v>72</v>
      </c>
      <c r="I1033" s="14">
        <f>15.9*(2/3*10)</f>
        <v>106</v>
      </c>
      <c r="K1033" s="15">
        <v>1030</v>
      </c>
      <c r="L1033">
        <f t="shared" si="16"/>
        <v>6</v>
      </c>
    </row>
    <row r="1034" spans="1:12" ht="16.5" x14ac:dyDescent="0.2">
      <c r="A1034" s="4" t="s">
        <v>224</v>
      </c>
      <c r="B1034">
        <v>2015</v>
      </c>
      <c r="C1034" s="14">
        <f>99.2*(2/3*10)</f>
        <v>661.33333333333326</v>
      </c>
      <c r="D1034" s="14">
        <f>1.7*(2/3*10)</f>
        <v>11.333333333333332</v>
      </c>
      <c r="E1034" s="14">
        <f>371.9*(2/3*10)</f>
        <v>2479.333333333333</v>
      </c>
      <c r="F1034" s="14">
        <f>9.6*(2/3*10)</f>
        <v>63.999999999999993</v>
      </c>
      <c r="G1034" s="14">
        <f>57.5*(2/3*10)</f>
        <v>383.33333333333331</v>
      </c>
      <c r="H1034" s="14">
        <f>11*(2/3*10)</f>
        <v>73.333333333333329</v>
      </c>
      <c r="I1034" s="14">
        <f>15.9*(2/3*10)</f>
        <v>106</v>
      </c>
      <c r="K1034">
        <v>1031</v>
      </c>
      <c r="L1034">
        <f t="shared" si="16"/>
        <v>7</v>
      </c>
    </row>
    <row r="1035" spans="1:12" ht="16.5" x14ac:dyDescent="0.2">
      <c r="A1035" s="4" t="s">
        <v>224</v>
      </c>
      <c r="B1035">
        <v>2016</v>
      </c>
      <c r="C1035" s="14">
        <f>99*(2/3*10)</f>
        <v>659.99999999999989</v>
      </c>
      <c r="D1035" s="14">
        <f>1.7*(2/3*10)</f>
        <v>11.333333333333332</v>
      </c>
      <c r="E1035" s="14">
        <f>371*(2/3*10)</f>
        <v>2473.333333333333</v>
      </c>
      <c r="F1035" s="14">
        <f>9.5*(2/3*10)</f>
        <v>63.333333333333329</v>
      </c>
      <c r="G1035" s="14">
        <f>58.4*(2/3*10)</f>
        <v>389.33333333333331</v>
      </c>
      <c r="H1035" s="14">
        <f>11.1*(2/3*10)</f>
        <v>73.999999999999986</v>
      </c>
      <c r="I1035" s="14">
        <f>15.9*(2/3*10)</f>
        <v>106</v>
      </c>
      <c r="K1035">
        <v>1032</v>
      </c>
      <c r="L1035">
        <f t="shared" si="16"/>
        <v>0</v>
      </c>
    </row>
    <row r="1036" spans="1:12" ht="16.5" x14ac:dyDescent="0.2">
      <c r="A1036" s="4" t="s">
        <v>223</v>
      </c>
      <c r="B1036">
        <v>2009</v>
      </c>
      <c r="C1036" s="14">
        <f>474*(2/3*10)</f>
        <v>3159.9999999999995</v>
      </c>
      <c r="D1036" s="14">
        <f>30.8*(2/3*10)</f>
        <v>205.33333333333331</v>
      </c>
      <c r="E1036" s="14">
        <f>1639.5*(2/3*10)</f>
        <v>10929.999999999998</v>
      </c>
      <c r="F1036" s="14">
        <f>54*(2/3*10)</f>
        <v>359.99999999999994</v>
      </c>
      <c r="G1036" s="14">
        <f>128.6*(2/3*10)</f>
        <v>857.33333333333326</v>
      </c>
      <c r="H1036" s="14">
        <f>30.6*(2/3*10)</f>
        <v>204</v>
      </c>
      <c r="I1036" s="14">
        <f>466.6*(2/3*10)</f>
        <v>3110.6666666666665</v>
      </c>
      <c r="K1036" s="15">
        <v>1033</v>
      </c>
      <c r="L1036">
        <f t="shared" si="16"/>
        <v>1</v>
      </c>
    </row>
    <row r="1037" spans="1:12" ht="16.5" x14ac:dyDescent="0.2">
      <c r="A1037" s="4" t="s">
        <v>223</v>
      </c>
      <c r="B1037">
        <v>2010</v>
      </c>
      <c r="C1037" s="14">
        <f>473*(2/3*10)</f>
        <v>3153.333333333333</v>
      </c>
      <c r="D1037" s="14">
        <f>30.5*(2/3*10)</f>
        <v>203.33333333333331</v>
      </c>
      <c r="E1037" s="14">
        <f>1637.4*(2/3*10)</f>
        <v>10916</v>
      </c>
      <c r="F1037" s="14">
        <f>53.8*(2/3*10)</f>
        <v>358.66666666666663</v>
      </c>
      <c r="G1037" s="14">
        <f>132*(2/3*10)</f>
        <v>879.99999999999989</v>
      </c>
      <c r="H1037" s="14">
        <f>31.4*(2/3*10)</f>
        <v>209.33333333333331</v>
      </c>
      <c r="I1037" s="14">
        <f>465.6*(2/3*10)</f>
        <v>3104</v>
      </c>
      <c r="K1037">
        <v>1034</v>
      </c>
      <c r="L1037">
        <f t="shared" si="16"/>
        <v>2</v>
      </c>
    </row>
    <row r="1038" spans="1:12" ht="16.5" x14ac:dyDescent="0.2">
      <c r="A1038" s="4" t="s">
        <v>223</v>
      </c>
      <c r="B1038">
        <v>2011</v>
      </c>
      <c r="C1038" s="14">
        <f>471.4*(2/3*10)</f>
        <v>3142.6666666666661</v>
      </c>
      <c r="D1038" s="14">
        <f>30.2*(2/3*10)</f>
        <v>201.33333333333331</v>
      </c>
      <c r="E1038" s="14">
        <f>1635.1*(2/3*10)</f>
        <v>10900.666666666664</v>
      </c>
      <c r="F1038" s="14">
        <f>53.7*(2/3*10)</f>
        <v>358</v>
      </c>
      <c r="G1038" s="14">
        <f>136.7*(2/3*10)</f>
        <v>911.33333333333314</v>
      </c>
      <c r="H1038" s="14">
        <f>32*(2/3*10)</f>
        <v>213.33333333333331</v>
      </c>
      <c r="I1038" s="14">
        <f>464.5*(2/3*10)</f>
        <v>3096.6666666666665</v>
      </c>
      <c r="K1038" s="15">
        <v>1035</v>
      </c>
      <c r="L1038">
        <f t="shared" si="16"/>
        <v>3</v>
      </c>
    </row>
    <row r="1039" spans="1:12" ht="16.5" x14ac:dyDescent="0.2">
      <c r="A1039" s="4" t="s">
        <v>223</v>
      </c>
      <c r="B1039">
        <v>2012</v>
      </c>
      <c r="C1039" s="14">
        <f>470.3*(2/3*10)</f>
        <v>3135.333333333333</v>
      </c>
      <c r="D1039" s="14">
        <f>29.7*(2/3*10)</f>
        <v>197.99999999999997</v>
      </c>
      <c r="E1039" s="14">
        <f>1629.8*(2/3*10)</f>
        <v>10865.333333333332</v>
      </c>
      <c r="F1039" s="14">
        <f>56.1*(2/3*10)</f>
        <v>374</v>
      </c>
      <c r="G1039" s="14">
        <f>141.1*(2/3*10)</f>
        <v>940.66666666666652</v>
      </c>
      <c r="H1039" s="14">
        <f>32.9*(2/3*10)</f>
        <v>219.33333333333331</v>
      </c>
      <c r="I1039" s="14">
        <f>463.6*(2/3*10)</f>
        <v>3090.6666666666665</v>
      </c>
      <c r="K1039">
        <v>1036</v>
      </c>
      <c r="L1039">
        <f t="shared" si="16"/>
        <v>4</v>
      </c>
    </row>
    <row r="1040" spans="1:12" ht="16.5" x14ac:dyDescent="0.2">
      <c r="A1040" s="4" t="s">
        <v>223</v>
      </c>
      <c r="B1040">
        <v>2013</v>
      </c>
      <c r="C1040" s="14">
        <f>470.6*(2/3*10)</f>
        <v>3137.333333333333</v>
      </c>
      <c r="D1040" s="14">
        <f>29.5*(2/3*10)</f>
        <v>196.66666666666666</v>
      </c>
      <c r="E1040" s="14">
        <f>1628.9*(2/3*10)</f>
        <v>10859.333333333332</v>
      </c>
      <c r="F1040" s="14">
        <f>54.3*(2/3*10)</f>
        <v>361.99999999999994</v>
      </c>
      <c r="G1040" s="14">
        <f>143.6*(2/3*10)</f>
        <v>957.33333333333326</v>
      </c>
      <c r="H1040" s="14">
        <f>33.7*(2/3*10)</f>
        <v>224.66666666666666</v>
      </c>
      <c r="I1040" s="14">
        <f>462.8*(2/3*10)</f>
        <v>3085.333333333333</v>
      </c>
      <c r="K1040">
        <v>1037</v>
      </c>
      <c r="L1040">
        <f t="shared" si="16"/>
        <v>5</v>
      </c>
    </row>
    <row r="1041" spans="1:12" ht="16.5" x14ac:dyDescent="0.2">
      <c r="A1041" s="4" t="s">
        <v>223</v>
      </c>
      <c r="B1041">
        <v>2014</v>
      </c>
      <c r="C1041" s="14">
        <f>469.8*(2/3*10)</f>
        <v>3132</v>
      </c>
      <c r="D1041" s="14">
        <f>29.2*(2/3*10)</f>
        <v>194.66666666666666</v>
      </c>
      <c r="E1041" s="14">
        <f>1626.5*(2/3*10)</f>
        <v>10843.333333333332</v>
      </c>
      <c r="F1041" s="14">
        <f>53.1*(2/3*10)</f>
        <v>354</v>
      </c>
      <c r="G1041" s="14">
        <f>147.9*(2/3*10)</f>
        <v>986</v>
      </c>
      <c r="H1041" s="14">
        <f>35*(2/3*10)</f>
        <v>233.33333333333331</v>
      </c>
      <c r="I1041" s="14">
        <f>462*(2/3*10)</f>
        <v>3079.9999999999995</v>
      </c>
      <c r="K1041" s="15">
        <v>1038</v>
      </c>
      <c r="L1041">
        <f t="shared" si="16"/>
        <v>6</v>
      </c>
    </row>
    <row r="1042" spans="1:12" ht="16.5" x14ac:dyDescent="0.2">
      <c r="A1042" s="4" t="s">
        <v>223</v>
      </c>
      <c r="B1042">
        <v>2015</v>
      </c>
      <c r="C1042" s="14">
        <f>468.5*(2/3*10)</f>
        <v>3123.333333333333</v>
      </c>
      <c r="D1042" s="14">
        <f>29.1*(2/3*10)</f>
        <v>194</v>
      </c>
      <c r="E1042" s="14">
        <f>1624.5*(2/3*10)</f>
        <v>10829.999999999998</v>
      </c>
      <c r="F1042" s="14">
        <f>52*(2/3*10)</f>
        <v>346.66666666666663</v>
      </c>
      <c r="G1042" s="14">
        <f>151.3*(2/3*10)</f>
        <v>1008.6666666666666</v>
      </c>
      <c r="H1042" s="14">
        <f>36.7*(2/3*10)</f>
        <v>244.66666666666666</v>
      </c>
      <c r="I1042" s="14">
        <f>461.4*(2/3*10)</f>
        <v>3075.9999999999995</v>
      </c>
      <c r="K1042">
        <v>1039</v>
      </c>
      <c r="L1042">
        <f t="shared" si="16"/>
        <v>7</v>
      </c>
    </row>
    <row r="1043" spans="1:12" ht="16.5" x14ac:dyDescent="0.2">
      <c r="A1043" s="4" t="s">
        <v>223</v>
      </c>
      <c r="B1043">
        <v>2016</v>
      </c>
      <c r="C1043" s="14">
        <f>468.8*(2/3*10)</f>
        <v>3125.333333333333</v>
      </c>
      <c r="D1043" s="14">
        <f>28.9*(2/3*10)</f>
        <v>192.66666666666663</v>
      </c>
      <c r="E1043" s="14">
        <f>1623.7*(2/3*10)</f>
        <v>10824.666666666666</v>
      </c>
      <c r="F1043" s="14">
        <f>51.7*(2/3*10)</f>
        <v>344.66666666666663</v>
      </c>
      <c r="G1043" s="14">
        <f>153.2*(2/3*10)</f>
        <v>1021.3333333333331</v>
      </c>
      <c r="H1043" s="14">
        <f>36.9*(2/3*10)</f>
        <v>245.99999999999997</v>
      </c>
      <c r="I1043" s="14">
        <f>460.3*(2/3*10)</f>
        <v>3068.6666666666665</v>
      </c>
      <c r="K1043" s="15">
        <v>1040</v>
      </c>
      <c r="L1043">
        <f t="shared" si="16"/>
        <v>0</v>
      </c>
    </row>
    <row r="1044" spans="1:12" ht="16.5" x14ac:dyDescent="0.2">
      <c r="A1044" s="4" t="s">
        <v>222</v>
      </c>
      <c r="B1044">
        <v>2009</v>
      </c>
      <c r="C1044" s="14">
        <f>124*(2/3*10)</f>
        <v>826.66666666666663</v>
      </c>
      <c r="D1044" s="14">
        <f>8.8*(2/3*10)</f>
        <v>58.666666666666664</v>
      </c>
      <c r="E1044" s="14">
        <f>241.3*(2/3*10)</f>
        <v>1608.6666666666665</v>
      </c>
      <c r="F1044" s="14">
        <f>11.3*(2/3*10)</f>
        <v>75.333333333333329</v>
      </c>
      <c r="G1044" s="14">
        <f>36.1*(2/3*10)</f>
        <v>240.66666666666666</v>
      </c>
      <c r="H1044" s="14">
        <f>10.9*(2/3*10)</f>
        <v>72.666666666666657</v>
      </c>
      <c r="I1044" s="14">
        <f>33.8*(2/3*10)</f>
        <v>225.33333333333329</v>
      </c>
      <c r="K1044">
        <v>1041</v>
      </c>
      <c r="L1044">
        <f t="shared" si="16"/>
        <v>1</v>
      </c>
    </row>
    <row r="1045" spans="1:12" ht="16.5" x14ac:dyDescent="0.2">
      <c r="A1045" s="4" t="s">
        <v>222</v>
      </c>
      <c r="B1045">
        <v>2010</v>
      </c>
      <c r="C1045" s="14">
        <f>124.1*(2/3*10)</f>
        <v>827.33333333333326</v>
      </c>
      <c r="D1045" s="14">
        <f>8.7*(2/3*10)</f>
        <v>57.999999999999993</v>
      </c>
      <c r="E1045" s="14">
        <f>240.5*(2/3*10)</f>
        <v>1603.3333333333333</v>
      </c>
      <c r="F1045" s="14">
        <f>10.7*(2/3*10)</f>
        <v>71.333333333333329</v>
      </c>
      <c r="G1045" s="14">
        <f>37.3*(2/3*10)</f>
        <v>248.66666666666663</v>
      </c>
      <c r="H1045" s="14">
        <f>11.3*(2/3*10)</f>
        <v>75.333333333333329</v>
      </c>
      <c r="I1045" s="14">
        <f>33.8*(2/3*10)</f>
        <v>225.33333333333329</v>
      </c>
      <c r="K1045">
        <v>1042</v>
      </c>
      <c r="L1045">
        <f t="shared" si="16"/>
        <v>2</v>
      </c>
    </row>
    <row r="1046" spans="1:12" ht="16.5" x14ac:dyDescent="0.2">
      <c r="A1046" s="4" t="s">
        <v>222</v>
      </c>
      <c r="B1046">
        <v>2011</v>
      </c>
      <c r="C1046" s="14">
        <f>125.8*(2/3*10)</f>
        <v>838.66666666666663</v>
      </c>
      <c r="D1046" s="14">
        <f>8.5*(2/3*10)</f>
        <v>56.666666666666664</v>
      </c>
      <c r="E1046" s="14">
        <f>237.4*(2/3*10)</f>
        <v>1582.6666666666665</v>
      </c>
      <c r="F1046" s="14">
        <f>10.5*(2/3*10)</f>
        <v>70</v>
      </c>
      <c r="G1046" s="14">
        <f>38.7*(2/3*10)</f>
        <v>258</v>
      </c>
      <c r="H1046" s="14">
        <f>11.6*(2/3*10)</f>
        <v>77.333333333333329</v>
      </c>
      <c r="I1046" s="14">
        <f>33.7*(2/3*10)</f>
        <v>224.66666666666666</v>
      </c>
      <c r="K1046" s="15">
        <v>1043</v>
      </c>
      <c r="L1046">
        <f t="shared" si="16"/>
        <v>3</v>
      </c>
    </row>
    <row r="1047" spans="1:12" ht="16.5" x14ac:dyDescent="0.2">
      <c r="A1047" s="4" t="s">
        <v>222</v>
      </c>
      <c r="B1047">
        <v>2012</v>
      </c>
      <c r="C1047" s="14">
        <f>125.6*(2/3*10)</f>
        <v>837.33333333333326</v>
      </c>
      <c r="D1047" s="14">
        <f>8.4*(2/3*10)</f>
        <v>56</v>
      </c>
      <c r="E1047" s="14">
        <f>235.3*(2/3*10)</f>
        <v>1568.6666666666665</v>
      </c>
      <c r="F1047" s="14">
        <f>11*(2/3*10)</f>
        <v>73.333333333333329</v>
      </c>
      <c r="G1047" s="14">
        <f>40.9*(2/3*10)</f>
        <v>272.66666666666663</v>
      </c>
      <c r="H1047" s="14">
        <f>11.6*(2/3*10)</f>
        <v>77.333333333333329</v>
      </c>
      <c r="I1047" s="14">
        <f>33.6*(2/3*10)</f>
        <v>224</v>
      </c>
      <c r="K1047">
        <v>1044</v>
      </c>
      <c r="L1047">
        <f t="shared" si="16"/>
        <v>4</v>
      </c>
    </row>
    <row r="1048" spans="1:12" ht="16.5" x14ac:dyDescent="0.2">
      <c r="A1048" s="4" t="s">
        <v>222</v>
      </c>
      <c r="B1048">
        <v>2013</v>
      </c>
      <c r="C1048" s="14">
        <f>127.3*(2/3*10)</f>
        <v>848.66666666666663</v>
      </c>
      <c r="D1048" s="14">
        <f>8.3*(2/3*10)</f>
        <v>55.333333333333336</v>
      </c>
      <c r="E1048" s="14">
        <f>235.1*(2/3*10)</f>
        <v>1567.3333333333333</v>
      </c>
      <c r="F1048" s="14">
        <f>9*(2/3*10)</f>
        <v>59.999999999999993</v>
      </c>
      <c r="G1048" s="14">
        <f>41.5*(2/3*10)</f>
        <v>276.66666666666663</v>
      </c>
      <c r="H1048" s="14">
        <f>11.8*(2/3*10)</f>
        <v>78.666666666666671</v>
      </c>
      <c r="I1048" s="14">
        <f>33.5*(2/3*10)</f>
        <v>223.33333333333331</v>
      </c>
      <c r="K1048" s="15">
        <v>1045</v>
      </c>
      <c r="L1048">
        <f t="shared" si="16"/>
        <v>5</v>
      </c>
    </row>
    <row r="1049" spans="1:12" ht="16.5" x14ac:dyDescent="0.2">
      <c r="A1049" s="4" t="s">
        <v>222</v>
      </c>
      <c r="B1049">
        <v>2014</v>
      </c>
      <c r="C1049" s="14">
        <f>127.1*(2/3*10)</f>
        <v>847.33333333333326</v>
      </c>
      <c r="D1049" s="14">
        <f>8.3*(2/3*10)</f>
        <v>55.333333333333336</v>
      </c>
      <c r="E1049" s="14">
        <f>234.8*(2/3*10)</f>
        <v>1565.3333333333333</v>
      </c>
      <c r="F1049" s="14">
        <f>8.9*(2/3*10)</f>
        <v>59.333333333333329</v>
      </c>
      <c r="G1049" s="14">
        <f>41.9*(2/3*10)</f>
        <v>279.33333333333337</v>
      </c>
      <c r="H1049" s="14">
        <f>11.8*(2/3*10)</f>
        <v>78.666666666666671</v>
      </c>
      <c r="I1049" s="14">
        <f>33.5*(2/3*10)</f>
        <v>223.33333333333331</v>
      </c>
      <c r="K1049">
        <v>1046</v>
      </c>
      <c r="L1049">
        <f t="shared" si="16"/>
        <v>6</v>
      </c>
    </row>
    <row r="1050" spans="1:12" ht="16.5" x14ac:dyDescent="0.2">
      <c r="A1050" s="4" t="s">
        <v>222</v>
      </c>
      <c r="B1050">
        <v>2015</v>
      </c>
      <c r="C1050" s="14">
        <f>127.3*(2/3*10)</f>
        <v>848.66666666666663</v>
      </c>
      <c r="D1050" s="14">
        <f>8.2*(2/3*10)</f>
        <v>54.666666666666657</v>
      </c>
      <c r="E1050" s="14">
        <f>234.3*(2/3*10)</f>
        <v>1562</v>
      </c>
      <c r="F1050" s="14">
        <f>8.8*(2/3*10)</f>
        <v>58.666666666666664</v>
      </c>
      <c r="G1050" s="14">
        <f>42.4*(2/3*10)</f>
        <v>282.66666666666669</v>
      </c>
      <c r="H1050" s="14">
        <f>11.8*(2/3*10)</f>
        <v>78.666666666666671</v>
      </c>
      <c r="I1050" s="14">
        <f>33.4*(2/3*10)</f>
        <v>222.66666666666663</v>
      </c>
      <c r="K1050">
        <v>1047</v>
      </c>
      <c r="L1050">
        <f t="shared" si="16"/>
        <v>7</v>
      </c>
    </row>
    <row r="1051" spans="1:12" ht="16.5" x14ac:dyDescent="0.2">
      <c r="A1051" s="4" t="s">
        <v>222</v>
      </c>
      <c r="B1051">
        <v>2016</v>
      </c>
      <c r="C1051" s="14">
        <f>127.3*(2/3*10)</f>
        <v>848.66666666666663</v>
      </c>
      <c r="D1051" s="14">
        <f>8.1*(2/3*10)</f>
        <v>53.999999999999993</v>
      </c>
      <c r="E1051" s="14">
        <f>233.9*(2/3*10)</f>
        <v>1559.3333333333333</v>
      </c>
      <c r="F1051" s="14">
        <f>8.4*(2/3*10)</f>
        <v>56</v>
      </c>
      <c r="G1051" s="14">
        <f>42.9*(2/3*10)</f>
        <v>286</v>
      </c>
      <c r="H1051" s="14">
        <f>12.2*(2/3*10)</f>
        <v>81.333333333333314</v>
      </c>
      <c r="I1051" s="14">
        <f>33.4*(2/3*10)</f>
        <v>222.66666666666663</v>
      </c>
      <c r="K1051" s="15">
        <v>1048</v>
      </c>
      <c r="L1051">
        <f t="shared" si="16"/>
        <v>0</v>
      </c>
    </row>
    <row r="1052" spans="1:12" ht="16.5" x14ac:dyDescent="0.2">
      <c r="A1052" s="4" t="s">
        <v>221</v>
      </c>
      <c r="B1052">
        <v>2009</v>
      </c>
      <c r="C1052" s="14">
        <f>137.7*(2/3*10)</f>
        <v>917.99999999999989</v>
      </c>
      <c r="D1052" s="14">
        <f>7.5*(2/3*10)</f>
        <v>49.999999999999993</v>
      </c>
      <c r="E1052" s="14">
        <f>283.5*(2/3*10)</f>
        <v>1889.9999999999998</v>
      </c>
      <c r="F1052" s="14">
        <f>8.7*(2/3*10)</f>
        <v>57.999999999999993</v>
      </c>
      <c r="G1052" s="14">
        <f>36.4*(2/3*10)</f>
        <v>242.66666666666663</v>
      </c>
      <c r="H1052" s="14">
        <f>8.8*(2/3*10)</f>
        <v>58.666666666666664</v>
      </c>
      <c r="I1052" s="14">
        <f>37.3*(2/3*10)</f>
        <v>248.66666666666663</v>
      </c>
      <c r="K1052">
        <v>1049</v>
      </c>
      <c r="L1052">
        <f t="shared" si="16"/>
        <v>1</v>
      </c>
    </row>
    <row r="1053" spans="1:12" ht="16.5" x14ac:dyDescent="0.2">
      <c r="A1053" s="4" t="s">
        <v>221</v>
      </c>
      <c r="B1053">
        <v>2010</v>
      </c>
      <c r="C1053" s="14">
        <f>136.7*(2/3*10)</f>
        <v>911.33333333333314</v>
      </c>
      <c r="D1053" s="14">
        <f>7.6*(2/3*10)</f>
        <v>50.666666666666657</v>
      </c>
      <c r="E1053" s="14">
        <f>282.7*(2/3*10)</f>
        <v>1884.6666666666665</v>
      </c>
      <c r="F1053" s="14">
        <f>8.3*(2/3*10)</f>
        <v>55.333333333333336</v>
      </c>
      <c r="G1053" s="14">
        <f>37.3*(2/3*10)</f>
        <v>248.66666666666663</v>
      </c>
      <c r="H1053" s="14">
        <f>9.3*(2/3*10)</f>
        <v>62</v>
      </c>
      <c r="I1053" s="14">
        <f>37.2*(2/3*10)</f>
        <v>248</v>
      </c>
      <c r="K1053" s="15">
        <v>1050</v>
      </c>
      <c r="L1053">
        <f t="shared" si="16"/>
        <v>2</v>
      </c>
    </row>
    <row r="1054" spans="1:12" ht="16.5" x14ac:dyDescent="0.2">
      <c r="A1054" s="4" t="s">
        <v>221</v>
      </c>
      <c r="B1054">
        <v>2011</v>
      </c>
      <c r="C1054" s="14">
        <f>137.2*(2/3*10)</f>
        <v>914.66666666666652</v>
      </c>
      <c r="D1054" s="14">
        <f>7.4*(2/3*10)</f>
        <v>49.333333333333329</v>
      </c>
      <c r="E1054" s="14">
        <f>281.5*(2/3*10)</f>
        <v>1876.6666666666665</v>
      </c>
      <c r="F1054" s="14">
        <f>8.7*(2/3*10)</f>
        <v>57.999999999999993</v>
      </c>
      <c r="G1054" s="14">
        <f>38.4*(2/3*10)</f>
        <v>255.99999999999991</v>
      </c>
      <c r="H1054" s="14">
        <f>9.4*(2/3*10)</f>
        <v>62.666666666666664</v>
      </c>
      <c r="I1054" s="14">
        <f>37.1*(2/3*10)</f>
        <v>247.33333333333331</v>
      </c>
      <c r="K1054">
        <v>1051</v>
      </c>
      <c r="L1054">
        <f t="shared" si="16"/>
        <v>3</v>
      </c>
    </row>
    <row r="1055" spans="1:12" ht="16.5" x14ac:dyDescent="0.2">
      <c r="A1055" s="4" t="s">
        <v>221</v>
      </c>
      <c r="B1055">
        <v>2012</v>
      </c>
      <c r="C1055" s="14">
        <f>137.4*(2/3*10)</f>
        <v>916</v>
      </c>
      <c r="D1055" s="14">
        <f>7.3*(2/3*10)</f>
        <v>48.666666666666664</v>
      </c>
      <c r="E1055" s="14">
        <f>280.2*(2/3*10)</f>
        <v>1867.9999999999998</v>
      </c>
      <c r="F1055" s="14">
        <f>8.9*(2/3*10)</f>
        <v>59.333333333333329</v>
      </c>
      <c r="G1055" s="14">
        <f>39.7*(2/3*10)</f>
        <v>264.66666666666663</v>
      </c>
      <c r="H1055" s="14">
        <f>9.5*(2/3*10)</f>
        <v>63.333333333333329</v>
      </c>
      <c r="I1055" s="14">
        <f>37*(2/3*10)</f>
        <v>246.66666666666666</v>
      </c>
      <c r="K1055">
        <v>1052</v>
      </c>
      <c r="L1055">
        <f t="shared" si="16"/>
        <v>4</v>
      </c>
    </row>
    <row r="1056" spans="1:12" ht="16.5" x14ac:dyDescent="0.2">
      <c r="A1056" s="4" t="s">
        <v>221</v>
      </c>
      <c r="B1056">
        <v>2013</v>
      </c>
      <c r="C1056" s="14">
        <f>137.5*(2/3*10)</f>
        <v>916.66666666666663</v>
      </c>
      <c r="D1056" s="14">
        <f>7.3*(2/3*10)</f>
        <v>48.666666666666664</v>
      </c>
      <c r="E1056" s="14">
        <f>280*(2/3*10)</f>
        <v>1866.6666666666665</v>
      </c>
      <c r="F1056" s="14">
        <f>8.2*(2/3*10)</f>
        <v>54.666666666666657</v>
      </c>
      <c r="G1056" s="14">
        <f>40.5*(2/3*10)</f>
        <v>270</v>
      </c>
      <c r="H1056" s="14">
        <f>9.6*(2/3*10)</f>
        <v>63.999999999999993</v>
      </c>
      <c r="I1056" s="14">
        <f>36.9*(2/3*10)</f>
        <v>245.99999999999997</v>
      </c>
      <c r="K1056" s="15">
        <v>1053</v>
      </c>
      <c r="L1056">
        <f t="shared" si="16"/>
        <v>5</v>
      </c>
    </row>
    <row r="1057" spans="1:12" ht="16.5" x14ac:dyDescent="0.2">
      <c r="A1057" s="4" t="s">
        <v>221</v>
      </c>
      <c r="B1057">
        <v>2014</v>
      </c>
      <c r="C1057" s="14">
        <f>137.5*(2/3*10)</f>
        <v>916.66666666666663</v>
      </c>
      <c r="D1057" s="14">
        <f>7.3*(2/3*10)</f>
        <v>48.666666666666664</v>
      </c>
      <c r="E1057" s="14">
        <f>279*(2/3*10)</f>
        <v>1859.9999999999998</v>
      </c>
      <c r="F1057" s="14">
        <f>8.1*(2/3*10)</f>
        <v>53.999999999999993</v>
      </c>
      <c r="G1057" s="14">
        <f>41.6*(2/3*10)</f>
        <v>277.33333333333331</v>
      </c>
      <c r="H1057" s="14">
        <f>9.7*(2/3*10)</f>
        <v>64.666666666666657</v>
      </c>
      <c r="I1057" s="14">
        <f>36.8*(2/3*10)</f>
        <v>245.33333333333329</v>
      </c>
      <c r="K1057">
        <v>1054</v>
      </c>
      <c r="L1057">
        <f t="shared" si="16"/>
        <v>6</v>
      </c>
    </row>
    <row r="1058" spans="1:12" ht="16.5" x14ac:dyDescent="0.2">
      <c r="A1058" s="4" t="s">
        <v>221</v>
      </c>
      <c r="B1058">
        <v>2015</v>
      </c>
      <c r="C1058" s="14">
        <f>137.8*(2/3*10)</f>
        <v>918.66666666666663</v>
      </c>
      <c r="D1058" s="14">
        <f>7.2*(2/3*10)</f>
        <v>48</v>
      </c>
      <c r="E1058" s="14">
        <f>278.3*(2/3*10)</f>
        <v>1855.3333333333333</v>
      </c>
      <c r="F1058" s="14">
        <f>7.8*(2/3*10)</f>
        <v>51.999999999999993</v>
      </c>
      <c r="G1058" s="14">
        <f>42.5*(2/3*10)</f>
        <v>283.33333333333331</v>
      </c>
      <c r="H1058" s="14">
        <f>9.8*(2/3*10)</f>
        <v>65.333333333333329</v>
      </c>
      <c r="I1058" s="14">
        <f>36.7*(2/3*10)</f>
        <v>244.66666666666666</v>
      </c>
      <c r="K1058" s="15">
        <v>1055</v>
      </c>
      <c r="L1058">
        <f t="shared" si="16"/>
        <v>7</v>
      </c>
    </row>
    <row r="1059" spans="1:12" ht="16.5" x14ac:dyDescent="0.2">
      <c r="A1059" s="4" t="s">
        <v>221</v>
      </c>
      <c r="B1059">
        <v>2016</v>
      </c>
      <c r="C1059" s="14">
        <f>138*(2/3*10)</f>
        <v>919.99999999999989</v>
      </c>
      <c r="D1059" s="14">
        <f>7.1*(2/3*10)</f>
        <v>47.333333333333329</v>
      </c>
      <c r="E1059" s="14">
        <f>277.5*(2/3*10)</f>
        <v>1849.9999999999998</v>
      </c>
      <c r="F1059" s="14">
        <f>7.7*(2/3*10)</f>
        <v>51.333333333333329</v>
      </c>
      <c r="G1059" s="14">
        <f>43.3*(2/3*10)</f>
        <v>288.66666666666669</v>
      </c>
      <c r="H1059" s="14">
        <f>9.8*(2/3*10)</f>
        <v>65.333333333333329</v>
      </c>
      <c r="I1059" s="14">
        <f>36.6*(2/3*10)</f>
        <v>244</v>
      </c>
      <c r="K1059">
        <v>1056</v>
      </c>
      <c r="L1059">
        <f t="shared" si="16"/>
        <v>0</v>
      </c>
    </row>
    <row r="1060" spans="1:12" ht="16.5" x14ac:dyDescent="0.2">
      <c r="A1060" s="4" t="s">
        <v>220</v>
      </c>
      <c r="B1060">
        <v>2009</v>
      </c>
      <c r="C1060" s="14">
        <f>655.7*(2/3*10)</f>
        <v>4371.333333333333</v>
      </c>
      <c r="D1060" s="14">
        <f>197.3*(2/3*10)</f>
        <v>1315.3333333333333</v>
      </c>
      <c r="E1060" s="14">
        <f>4401.3*(2/3*10)</f>
        <v>29342</v>
      </c>
      <c r="F1060" s="14">
        <f>90.7*(2/3*10)</f>
        <v>604.66666666666663</v>
      </c>
      <c r="G1060" s="14">
        <f>243.7*(2/3*10)</f>
        <v>1624.6666666666667</v>
      </c>
      <c r="H1060" s="14">
        <f>58.2*(2/3*10)</f>
        <v>388</v>
      </c>
      <c r="I1060" s="14">
        <f>185.3*(2/3*10)</f>
        <v>1235.3333333333333</v>
      </c>
      <c r="K1060">
        <v>1057</v>
      </c>
      <c r="L1060">
        <f t="shared" si="16"/>
        <v>1</v>
      </c>
    </row>
    <row r="1061" spans="1:12" ht="16.5" x14ac:dyDescent="0.2">
      <c r="A1061" s="4" t="s">
        <v>220</v>
      </c>
      <c r="B1061">
        <v>2010</v>
      </c>
      <c r="C1061" s="14">
        <f>656.5*(2/3*10)</f>
        <v>4376.6666666666661</v>
      </c>
      <c r="D1061" s="14">
        <f>197.2*(2/3*10)</f>
        <v>1314.6666666666665</v>
      </c>
      <c r="E1061" s="14">
        <f>4395.6*(2/3*10)</f>
        <v>29304</v>
      </c>
      <c r="F1061" s="14">
        <f>88.7*(2/3*10)</f>
        <v>591.33333333333326</v>
      </c>
      <c r="G1061" s="14">
        <f>247.7*(2/3*10)</f>
        <v>1651.3333333333333</v>
      </c>
      <c r="H1061" s="14">
        <f>60.9*(2/3*10)</f>
        <v>405.99999999999994</v>
      </c>
      <c r="I1061" s="14">
        <f>185*(2/3*10)</f>
        <v>1233.3333333333333</v>
      </c>
      <c r="K1061" s="15">
        <v>1058</v>
      </c>
      <c r="L1061">
        <f t="shared" si="16"/>
        <v>2</v>
      </c>
    </row>
    <row r="1062" spans="1:12" ht="16.5" x14ac:dyDescent="0.2">
      <c r="A1062" s="4" t="s">
        <v>220</v>
      </c>
      <c r="B1062">
        <v>2011</v>
      </c>
      <c r="C1062" s="14">
        <f>656.5*(2/3*10)</f>
        <v>4376.6666666666661</v>
      </c>
      <c r="D1062" s="14">
        <f>197*(2/3*10)</f>
        <v>1313.3333333333333</v>
      </c>
      <c r="E1062" s="14">
        <f>4389.4*(2/3*10)</f>
        <v>29262.666666666661</v>
      </c>
      <c r="F1062" s="14">
        <f>88.4*(2/3*10)</f>
        <v>589.33333333333337</v>
      </c>
      <c r="G1062" s="14">
        <f>252.8*(2/3*10)</f>
        <v>1685.3333333333333</v>
      </c>
      <c r="H1062" s="14">
        <f>62.8*(2/3*10)</f>
        <v>418.66666666666663</v>
      </c>
      <c r="I1062" s="14">
        <f>184.4*(2/3*10)</f>
        <v>1229.3333333333333</v>
      </c>
      <c r="K1062">
        <v>1059</v>
      </c>
      <c r="L1062">
        <f t="shared" si="16"/>
        <v>3</v>
      </c>
    </row>
    <row r="1063" spans="1:12" ht="16.5" x14ac:dyDescent="0.2">
      <c r="A1063" s="4" t="s">
        <v>220</v>
      </c>
      <c r="B1063">
        <v>2012</v>
      </c>
      <c r="C1063" s="14">
        <f>656.3*(2/3*10)</f>
        <v>4375.333333333333</v>
      </c>
      <c r="D1063" s="14">
        <f>196.3*(2/3*10)</f>
        <v>1308.6666666666665</v>
      </c>
      <c r="E1063" s="14">
        <f>4384.1*(2/3*10)</f>
        <v>29227.333333333332</v>
      </c>
      <c r="F1063" s="14">
        <f>89.3*(2/3*10)</f>
        <v>595.33333333333326</v>
      </c>
      <c r="G1063" s="14">
        <f>256.7*(2/3*10)</f>
        <v>1711.333333333333</v>
      </c>
      <c r="H1063" s="14">
        <f>64.4*(2/3*10)</f>
        <v>429.33333333333331</v>
      </c>
      <c r="I1063" s="14">
        <f>184*(2/3*10)</f>
        <v>1226.6666666666665</v>
      </c>
      <c r="K1063" s="15">
        <v>1060</v>
      </c>
      <c r="L1063">
        <f t="shared" si="16"/>
        <v>4</v>
      </c>
    </row>
    <row r="1064" spans="1:12" ht="16.5" x14ac:dyDescent="0.2">
      <c r="A1064" s="4" t="s">
        <v>220</v>
      </c>
      <c r="B1064">
        <v>2013</v>
      </c>
      <c r="C1064" s="14">
        <f>656.5*(2/3*10)</f>
        <v>4376.6666666666661</v>
      </c>
      <c r="D1064" s="14">
        <f>195.8*(2/3*10)</f>
        <v>1305.3333333333333</v>
      </c>
      <c r="E1064" s="14">
        <f>4382.6*(2/3*10)</f>
        <v>29217.333333333332</v>
      </c>
      <c r="F1064" s="14">
        <f>87.7*(2/3*10)</f>
        <v>584.66666666666663</v>
      </c>
      <c r="G1064" s="14">
        <f>260.1*(2/3*10)</f>
        <v>1734</v>
      </c>
      <c r="H1064" s="14">
        <f>64.7*(2/3*10)</f>
        <v>431.33333333333331</v>
      </c>
      <c r="I1064" s="14">
        <f>183.4*(2/3*10)</f>
        <v>1222.6666666666665</v>
      </c>
      <c r="K1064">
        <v>1061</v>
      </c>
      <c r="L1064">
        <f t="shared" si="16"/>
        <v>5</v>
      </c>
    </row>
    <row r="1065" spans="1:12" ht="16.5" x14ac:dyDescent="0.2">
      <c r="A1065" s="4" t="s">
        <v>220</v>
      </c>
      <c r="B1065">
        <v>2014</v>
      </c>
      <c r="C1065" s="14">
        <f>655.9*(2/3*10)</f>
        <v>4372.6666666666661</v>
      </c>
      <c r="D1065" s="14">
        <f>195.1*(2/3*10)</f>
        <v>1300.6666666666665</v>
      </c>
      <c r="E1065" s="14">
        <f>4379.2*(2/3*10)</f>
        <v>29194.666666666664</v>
      </c>
      <c r="F1065" s="14">
        <f>85.7*(2/3*10)</f>
        <v>571.33333333333326</v>
      </c>
      <c r="G1065" s="14">
        <f>265.9*(2/3*10)</f>
        <v>1772.6666666666663</v>
      </c>
      <c r="H1065" s="14">
        <f>65.7*(2/3*10)</f>
        <v>438</v>
      </c>
      <c r="I1065" s="14">
        <f>183*(2/3*10)</f>
        <v>1220</v>
      </c>
      <c r="K1065">
        <v>1062</v>
      </c>
      <c r="L1065">
        <f t="shared" si="16"/>
        <v>6</v>
      </c>
    </row>
    <row r="1066" spans="1:12" ht="16.5" x14ac:dyDescent="0.2">
      <c r="A1066" s="4" t="s">
        <v>220</v>
      </c>
      <c r="B1066">
        <v>2015</v>
      </c>
      <c r="C1066" s="14">
        <f>655.4*(2/3*10)</f>
        <v>4369.333333333333</v>
      </c>
      <c r="D1066" s="14">
        <f>193.7*(2/3*10)</f>
        <v>1291.333333333333</v>
      </c>
      <c r="E1066" s="14">
        <f>4376.4*(2/3*10)</f>
        <v>29175.999999999996</v>
      </c>
      <c r="F1066" s="14">
        <f>84.5*(2/3*10)</f>
        <v>563.33333333333326</v>
      </c>
      <c r="G1066" s="14">
        <f>268.6*(2/3*10)</f>
        <v>1790.6666666666667</v>
      </c>
      <c r="H1066" s="14">
        <f>69*(2/3*10)</f>
        <v>459.99999999999994</v>
      </c>
      <c r="I1066" s="14">
        <f>182.7*(2/3*10)</f>
        <v>1217.9999999999998</v>
      </c>
      <c r="K1066" s="15">
        <v>1063</v>
      </c>
      <c r="L1066">
        <f t="shared" si="16"/>
        <v>7</v>
      </c>
    </row>
    <row r="1067" spans="1:12" ht="16.5" x14ac:dyDescent="0.2">
      <c r="A1067" s="4" t="s">
        <v>220</v>
      </c>
      <c r="B1067">
        <v>2016</v>
      </c>
      <c r="C1067" s="14">
        <f>656.2*(2/3*10)</f>
        <v>4374.666666666667</v>
      </c>
      <c r="D1067" s="14">
        <f>191.2*(2/3*10)</f>
        <v>1274.6666666666665</v>
      </c>
      <c r="E1067" s="14">
        <f>4373.8*(2/3*10)</f>
        <v>29158.666666666664</v>
      </c>
      <c r="F1067" s="14">
        <f>83.7*(2/3*10)</f>
        <v>558</v>
      </c>
      <c r="G1067" s="14">
        <f>272.8*(2/3*10)</f>
        <v>1818.6666666666665</v>
      </c>
      <c r="H1067" s="14">
        <f>70*(2/3*10)</f>
        <v>466.66666666666663</v>
      </c>
      <c r="I1067" s="14">
        <f>182.3*(2/3*10)</f>
        <v>1215.3333333333333</v>
      </c>
      <c r="K1067">
        <v>1064</v>
      </c>
      <c r="L1067">
        <f t="shared" si="16"/>
        <v>0</v>
      </c>
    </row>
    <row r="1068" spans="1:12" ht="16.5" x14ac:dyDescent="0.2">
      <c r="A1068" s="4" t="s">
        <v>219</v>
      </c>
      <c r="B1068">
        <v>2009</v>
      </c>
      <c r="C1068" s="14">
        <f>663.9*(2/3*10)</f>
        <v>4425.9999999999991</v>
      </c>
      <c r="D1068" s="14">
        <f>39.9*(2/3*10)</f>
        <v>265.99999999999994</v>
      </c>
      <c r="E1068" s="14">
        <f>2609*(2/3*10)</f>
        <v>17393.333333333332</v>
      </c>
      <c r="F1068" s="14">
        <f>65.8*(2/3*10)</f>
        <v>438.66666666666663</v>
      </c>
      <c r="G1068" s="14">
        <f>152.5*(2/3*10)</f>
        <v>1016.6666666666666</v>
      </c>
      <c r="H1068" s="14">
        <f>40.7*(2/3*10)</f>
        <v>271.33333333333331</v>
      </c>
      <c r="I1068" s="14">
        <f>180.3*(2/3*10)</f>
        <v>1202</v>
      </c>
      <c r="K1068" s="15">
        <v>1065</v>
      </c>
      <c r="L1068">
        <f t="shared" si="16"/>
        <v>1</v>
      </c>
    </row>
    <row r="1069" spans="1:12" ht="16.5" x14ac:dyDescent="0.2">
      <c r="A1069" s="4" t="s">
        <v>219</v>
      </c>
      <c r="B1069">
        <v>2010</v>
      </c>
      <c r="C1069" s="14">
        <f>664*(2/3*10)</f>
        <v>4426.6666666666661</v>
      </c>
      <c r="D1069" s="14">
        <f>39.9*(2/3*10)</f>
        <v>265.99999999999994</v>
      </c>
      <c r="E1069" s="14">
        <f>2606.9*(2/3*10)</f>
        <v>17379.333333333332</v>
      </c>
      <c r="F1069" s="14">
        <f>65.2*(2/3*10)</f>
        <v>434.66666666666663</v>
      </c>
      <c r="G1069" s="14">
        <f>154.4*(2/3*10)</f>
        <v>1029.3333333333333</v>
      </c>
      <c r="H1069" s="14">
        <f>41.1*(2/3*10)</f>
        <v>274</v>
      </c>
      <c r="I1069" s="14">
        <f>180.2*(2/3*10)</f>
        <v>1201.3333333333333</v>
      </c>
      <c r="K1069">
        <v>1066</v>
      </c>
      <c r="L1069">
        <f t="shared" si="16"/>
        <v>2</v>
      </c>
    </row>
    <row r="1070" spans="1:12" ht="16.5" x14ac:dyDescent="0.2">
      <c r="A1070" s="4" t="s">
        <v>219</v>
      </c>
      <c r="B1070">
        <v>2011</v>
      </c>
      <c r="C1070" s="14">
        <f>664.1*(2/3*10)</f>
        <v>4427.333333333333</v>
      </c>
      <c r="D1070" s="14">
        <f>39.7*(2/3*10)</f>
        <v>264.66666666666669</v>
      </c>
      <c r="E1070" s="14">
        <f>2603.1*(2/3*10)</f>
        <v>17353.999999999996</v>
      </c>
      <c r="F1070" s="14">
        <f>65.2*(2/3*10)</f>
        <v>434.66666666666663</v>
      </c>
      <c r="G1070" s="14">
        <f>156.1*(2/3*10)</f>
        <v>1040.6666666666663</v>
      </c>
      <c r="H1070" s="14">
        <f>43.1*(2/3*10)</f>
        <v>287.33333333333331</v>
      </c>
      <c r="I1070" s="14">
        <f>180*(2/3*10)</f>
        <v>1200</v>
      </c>
      <c r="K1070">
        <v>1067</v>
      </c>
      <c r="L1070">
        <f t="shared" si="16"/>
        <v>3</v>
      </c>
    </row>
    <row r="1071" spans="1:12" ht="16.5" x14ac:dyDescent="0.2">
      <c r="A1071" s="4" t="s">
        <v>219</v>
      </c>
      <c r="B1071">
        <v>2012</v>
      </c>
      <c r="C1071" s="14">
        <f>664.4*(2/3*10)</f>
        <v>4429.333333333333</v>
      </c>
      <c r="D1071" s="14">
        <f>39.5*(2/3*10)</f>
        <v>263.33333333333331</v>
      </c>
      <c r="E1071" s="14">
        <f>2598.8*(2/3*10)</f>
        <v>17325.333333333332</v>
      </c>
      <c r="F1071" s="14">
        <f>66.3*(2/3*10)</f>
        <v>441.99999999999994</v>
      </c>
      <c r="G1071" s="14">
        <f>158.9*(2/3*10)</f>
        <v>1059.333333333333</v>
      </c>
      <c r="H1071" s="14">
        <f>43.5*(2/3*10)</f>
        <v>290</v>
      </c>
      <c r="I1071" s="14">
        <f>180*(2/3*10)</f>
        <v>1200</v>
      </c>
      <c r="K1071" s="15">
        <v>1068</v>
      </c>
      <c r="L1071">
        <f t="shared" si="16"/>
        <v>4</v>
      </c>
    </row>
    <row r="1072" spans="1:12" ht="16.5" x14ac:dyDescent="0.2">
      <c r="A1072" s="4" t="s">
        <v>219</v>
      </c>
      <c r="B1072">
        <v>2013</v>
      </c>
      <c r="C1072" s="14">
        <f>664.2*(2/3*10)</f>
        <v>4428</v>
      </c>
      <c r="D1072" s="14">
        <f>39.4*(2/3*10)</f>
        <v>262.66666666666663</v>
      </c>
      <c r="E1072" s="14">
        <f>2597.5*(2/3*10)</f>
        <v>17316.666666666664</v>
      </c>
      <c r="F1072" s="14">
        <f>64.7*(2/3*10)</f>
        <v>431.33333333333331</v>
      </c>
      <c r="G1072" s="14">
        <f>161.6*(2/3*10)</f>
        <v>1077.3333333333333</v>
      </c>
      <c r="H1072" s="14">
        <f>43.8*(2/3*10)</f>
        <v>291.99999999999994</v>
      </c>
      <c r="I1072" s="14">
        <f>179.8*(2/3*10)</f>
        <v>1198.6666666666667</v>
      </c>
      <c r="K1072">
        <v>1069</v>
      </c>
      <c r="L1072">
        <f t="shared" si="16"/>
        <v>5</v>
      </c>
    </row>
    <row r="1073" spans="1:12" ht="16.5" x14ac:dyDescent="0.2">
      <c r="A1073" s="4" t="s">
        <v>219</v>
      </c>
      <c r="B1073">
        <v>2014</v>
      </c>
      <c r="C1073" s="14">
        <f>665.5*(2/3*10)</f>
        <v>4436.6666666666661</v>
      </c>
      <c r="D1073" s="14">
        <f>39.2*(2/3*10)</f>
        <v>261.33333333333331</v>
      </c>
      <c r="E1073" s="14">
        <f>2594.4*(2/3*10)</f>
        <v>17296</v>
      </c>
      <c r="F1073" s="14">
        <f>63.5*(2/3*10)</f>
        <v>423.33333333333331</v>
      </c>
      <c r="G1073" s="14">
        <f>164.2*(2/3*10)</f>
        <v>1094.6666666666667</v>
      </c>
      <c r="H1073" s="14">
        <f>44.2*(2/3*10)</f>
        <v>294.66666666666669</v>
      </c>
      <c r="I1073" s="14">
        <f>179.6*(2/3*10)</f>
        <v>1197.3333333333333</v>
      </c>
      <c r="K1073" s="15">
        <v>1070</v>
      </c>
      <c r="L1073">
        <f t="shared" si="16"/>
        <v>6</v>
      </c>
    </row>
    <row r="1074" spans="1:12" ht="16.5" x14ac:dyDescent="0.2">
      <c r="A1074" s="4" t="s">
        <v>219</v>
      </c>
      <c r="B1074">
        <v>2015</v>
      </c>
      <c r="C1074" s="14">
        <f>665.5*(2/3*10)</f>
        <v>4436.6666666666661</v>
      </c>
      <c r="D1074" s="14">
        <f>39*(2/3*10)</f>
        <v>260</v>
      </c>
      <c r="E1074" s="14">
        <f>2592.9*(2/3*10)</f>
        <v>17286</v>
      </c>
      <c r="F1074" s="14">
        <f>62.4*(2/3*10)</f>
        <v>415.99999999999994</v>
      </c>
      <c r="G1074" s="14">
        <f>166.7*(2/3*10)</f>
        <v>1111.3333333333333</v>
      </c>
      <c r="H1074" s="14">
        <f>44.7*(2/3*10)</f>
        <v>298</v>
      </c>
      <c r="I1074" s="14">
        <f>179.3*(2/3*10)</f>
        <v>1195.3333333333333</v>
      </c>
      <c r="K1074">
        <v>1071</v>
      </c>
      <c r="L1074">
        <f t="shared" si="16"/>
        <v>7</v>
      </c>
    </row>
    <row r="1075" spans="1:12" ht="16.5" x14ac:dyDescent="0.2">
      <c r="A1075" s="4" t="s">
        <v>219</v>
      </c>
      <c r="B1075">
        <v>2016</v>
      </c>
      <c r="C1075" s="14">
        <f>665.8*(2/3*10)</f>
        <v>4438.6666666666661</v>
      </c>
      <c r="D1075" s="14">
        <f>38.9*(2/3*10)</f>
        <v>259.33333333333331</v>
      </c>
      <c r="E1075" s="14">
        <f>2590.4*(2/3*10)</f>
        <v>17269.333333333332</v>
      </c>
      <c r="F1075" s="14">
        <f>62*(2/3*10)</f>
        <v>413.33333333333331</v>
      </c>
      <c r="G1075" s="14">
        <f>168.2*(2/3*10)</f>
        <v>1121.3333333333333</v>
      </c>
      <c r="H1075" s="14">
        <f>45.7*(2/3*10)</f>
        <v>304.66666666666669</v>
      </c>
      <c r="I1075" s="14">
        <f>179.1*(2/3*10)</f>
        <v>1193.9999999999998</v>
      </c>
      <c r="K1075">
        <v>1072</v>
      </c>
      <c r="L1075">
        <f t="shared" si="16"/>
        <v>0</v>
      </c>
    </row>
    <row r="1076" spans="1:12" ht="16.5" x14ac:dyDescent="0.2">
      <c r="A1076" s="4" t="s">
        <v>218</v>
      </c>
      <c r="B1076">
        <v>2009</v>
      </c>
      <c r="C1076" s="14">
        <f>713.3*(2/3*10)</f>
        <v>4755.333333333333</v>
      </c>
      <c r="D1076" s="14">
        <f>40.2*(2/3*10)</f>
        <v>268</v>
      </c>
      <c r="E1076" s="14">
        <f>1575*(2/3*10)</f>
        <v>10499.999999999998</v>
      </c>
      <c r="F1076" s="14">
        <f>51.7*(2/3*10)</f>
        <v>344.66666666666663</v>
      </c>
      <c r="G1076" s="14">
        <f>160.9*(2/3*10)</f>
        <v>1072.6666666666665</v>
      </c>
      <c r="H1076" s="14">
        <f>41.3*(2/3*10)</f>
        <v>275.33333333333331</v>
      </c>
      <c r="I1076" s="14">
        <f>174.1*(2/3*10)</f>
        <v>1160.6666666666665</v>
      </c>
      <c r="K1076" s="15">
        <v>1073</v>
      </c>
      <c r="L1076">
        <f t="shared" si="16"/>
        <v>1</v>
      </c>
    </row>
    <row r="1077" spans="1:12" ht="16.5" x14ac:dyDescent="0.2">
      <c r="A1077" s="4" t="s">
        <v>218</v>
      </c>
      <c r="B1077">
        <v>2010</v>
      </c>
      <c r="C1077" s="14">
        <f>712.3*(2/3*10)</f>
        <v>4748.6666666666661</v>
      </c>
      <c r="D1077" s="14">
        <f>39.8*(2/3*10)</f>
        <v>265.33333333333331</v>
      </c>
      <c r="E1077" s="14">
        <f>1570.7*(2/3*10)</f>
        <v>10471.333333333332</v>
      </c>
      <c r="F1077" s="14">
        <f>50.8*(2/3*10)</f>
        <v>338.66666666666663</v>
      </c>
      <c r="G1077" s="14">
        <f>165.5*(2/3*10)</f>
        <v>1103.3333333333333</v>
      </c>
      <c r="H1077" s="14">
        <f>43.5*(2/3*10)</f>
        <v>290</v>
      </c>
      <c r="I1077" s="14">
        <f>173.8*(2/3*10)</f>
        <v>1158.6666666666667</v>
      </c>
      <c r="K1077">
        <v>1074</v>
      </c>
      <c r="L1077">
        <f t="shared" si="16"/>
        <v>2</v>
      </c>
    </row>
    <row r="1078" spans="1:12" ht="16.5" x14ac:dyDescent="0.2">
      <c r="A1078" s="4" t="s">
        <v>218</v>
      </c>
      <c r="B1078">
        <v>2011</v>
      </c>
      <c r="C1078" s="14">
        <f>712.3*(2/3*10)</f>
        <v>4748.6666666666661</v>
      </c>
      <c r="D1078" s="14">
        <f>39.5*(2/3*10)</f>
        <v>263.33333333333331</v>
      </c>
      <c r="E1078" s="14">
        <f>1565.8*(2/3*10)</f>
        <v>10438.666666666666</v>
      </c>
      <c r="F1078" s="14">
        <f>50.9*(2/3*10)</f>
        <v>339.33333333333331</v>
      </c>
      <c r="G1078" s="14">
        <f>169*(2/3*10)</f>
        <v>1126.6666666666665</v>
      </c>
      <c r="H1078" s="14">
        <f>44.6*(2/3*10)</f>
        <v>297.33333333333331</v>
      </c>
      <c r="I1078" s="14">
        <f>174.1*(2/3*10)</f>
        <v>1160.6666666666665</v>
      </c>
      <c r="K1078" s="15">
        <v>1075</v>
      </c>
      <c r="L1078">
        <f t="shared" si="16"/>
        <v>3</v>
      </c>
    </row>
    <row r="1079" spans="1:12" ht="16.5" x14ac:dyDescent="0.2">
      <c r="A1079" s="4" t="s">
        <v>218</v>
      </c>
      <c r="B1079">
        <v>2012</v>
      </c>
      <c r="C1079" s="14">
        <f>713.3*(2/3*10)</f>
        <v>4755.333333333333</v>
      </c>
      <c r="D1079" s="14">
        <f>39.1*(2/3*10)</f>
        <v>260.66666666666663</v>
      </c>
      <c r="E1079" s="14">
        <f>1562.4*(2/3*10)</f>
        <v>10416</v>
      </c>
      <c r="F1079" s="14">
        <f>50.6*(2/3*10)</f>
        <v>337.33333333333331</v>
      </c>
      <c r="G1079" s="14">
        <f>172.2*(2/3*10)</f>
        <v>1147.9999999999998</v>
      </c>
      <c r="H1079" s="14">
        <f>44.8*(2/3*10)</f>
        <v>298.66666666666663</v>
      </c>
      <c r="I1079" s="14">
        <f>173.6*(2/3*10)</f>
        <v>1157.3333333333333</v>
      </c>
      <c r="K1079">
        <v>1076</v>
      </c>
      <c r="L1079">
        <f t="shared" si="16"/>
        <v>4</v>
      </c>
    </row>
    <row r="1080" spans="1:12" ht="16.5" x14ac:dyDescent="0.2">
      <c r="A1080" s="4" t="s">
        <v>218</v>
      </c>
      <c r="B1080">
        <v>2013</v>
      </c>
      <c r="C1080" s="14">
        <f>715.8*(2/3*10)</f>
        <v>4771.9999999999991</v>
      </c>
      <c r="D1080" s="14">
        <f>38.8*(2/3*10)</f>
        <v>258.66666666666663</v>
      </c>
      <c r="E1080" s="14">
        <f>1560.9*(2/3*10)</f>
        <v>10406</v>
      </c>
      <c r="F1080" s="14">
        <f>47.3*(2/3*10)</f>
        <v>315.33333333333331</v>
      </c>
      <c r="G1080" s="14">
        <f>174.1*(2/3*10)</f>
        <v>1160.6666666666665</v>
      </c>
      <c r="H1080" s="14">
        <f>45.9*(2/3*10)</f>
        <v>305.99999999999994</v>
      </c>
      <c r="I1080" s="14">
        <f>172.9*(2/3*10)</f>
        <v>1152.6666666666665</v>
      </c>
      <c r="K1080">
        <v>1077</v>
      </c>
      <c r="L1080">
        <f t="shared" si="16"/>
        <v>5</v>
      </c>
    </row>
    <row r="1081" spans="1:12" ht="16.5" x14ac:dyDescent="0.2">
      <c r="A1081" s="4" t="s">
        <v>218</v>
      </c>
      <c r="B1081">
        <v>2014</v>
      </c>
      <c r="C1081" s="14">
        <f>715*(2/3*10)</f>
        <v>4766.6666666666661</v>
      </c>
      <c r="D1081" s="14">
        <f>38.6*(2/3*10)</f>
        <v>257.33333333333331</v>
      </c>
      <c r="E1081" s="14">
        <f>1557.1*(2/3*10)</f>
        <v>10380.666666666664</v>
      </c>
      <c r="F1081" s="14">
        <f>46*(2/3*10)</f>
        <v>306.66666666666663</v>
      </c>
      <c r="G1081" s="14">
        <f>178*(2/3*10)</f>
        <v>1186.6666666666665</v>
      </c>
      <c r="H1081" s="14">
        <f>48.6*(2/3*10)</f>
        <v>324</v>
      </c>
      <c r="I1081" s="14">
        <f>172.5*(2/3*10)</f>
        <v>1150</v>
      </c>
      <c r="K1081" s="15">
        <v>1078</v>
      </c>
      <c r="L1081">
        <f t="shared" si="16"/>
        <v>6</v>
      </c>
    </row>
    <row r="1082" spans="1:12" ht="16.5" x14ac:dyDescent="0.2">
      <c r="A1082" s="4" t="s">
        <v>218</v>
      </c>
      <c r="B1082">
        <v>2015</v>
      </c>
      <c r="C1082" s="14">
        <f>714.9*(2/3*10)</f>
        <v>4765.9999999999991</v>
      </c>
      <c r="D1082" s="14">
        <f>38.3*(2/3*10)</f>
        <v>255.33333333333329</v>
      </c>
      <c r="E1082" s="14">
        <f>1554.1*(2/3*10)</f>
        <v>10360.666666666664</v>
      </c>
      <c r="F1082" s="14">
        <f>45.2*(2/3*10)</f>
        <v>301.33333333333331</v>
      </c>
      <c r="G1082" s="14">
        <f>180.9*(2/3*10)</f>
        <v>1206</v>
      </c>
      <c r="H1082" s="14">
        <f>50.1*(2/3*10)</f>
        <v>334</v>
      </c>
      <c r="I1082" s="14">
        <f>172.1*(2/3*10)</f>
        <v>1147.3333333333333</v>
      </c>
      <c r="K1082">
        <v>1079</v>
      </c>
      <c r="L1082">
        <f t="shared" si="16"/>
        <v>7</v>
      </c>
    </row>
    <row r="1083" spans="1:12" ht="16.5" x14ac:dyDescent="0.2">
      <c r="A1083" s="4" t="s">
        <v>218</v>
      </c>
      <c r="B1083">
        <v>2016</v>
      </c>
      <c r="C1083" s="14">
        <f>715.5*(2/3*10)</f>
        <v>4770</v>
      </c>
      <c r="D1083" s="14">
        <f>38*(2/3*10)</f>
        <v>253.33333333333331</v>
      </c>
      <c r="E1083" s="14">
        <f>1550.3*(2/3*10)</f>
        <v>10335.333333333332</v>
      </c>
      <c r="F1083" s="14">
        <f>44.6*(2/3*10)</f>
        <v>297.33333333333331</v>
      </c>
      <c r="G1083" s="14">
        <f>184.5*(2/3*10)</f>
        <v>1230</v>
      </c>
      <c r="H1083" s="14">
        <f>51.1*(2/3*10)</f>
        <v>340.66666666666663</v>
      </c>
      <c r="I1083" s="14">
        <f>171.8*(2/3*10)</f>
        <v>1145.3333333333333</v>
      </c>
      <c r="K1083" s="15">
        <v>1080</v>
      </c>
      <c r="L1083">
        <f t="shared" si="16"/>
        <v>0</v>
      </c>
    </row>
    <row r="1084" spans="1:12" ht="16.5" x14ac:dyDescent="0.2">
      <c r="A1084" s="4" t="s">
        <v>217</v>
      </c>
      <c r="B1084">
        <v>2009</v>
      </c>
      <c r="C1084" s="14">
        <f>513.7*(2/3*10)</f>
        <v>3424.6666666666665</v>
      </c>
      <c r="D1084" s="14">
        <f>128.5*(2/3*10)</f>
        <v>856.66666666666663</v>
      </c>
      <c r="E1084" s="14">
        <f>1810.4*(2/3*10)</f>
        <v>12069.333333333332</v>
      </c>
      <c r="F1084" s="14">
        <f>59.4*(2/3*10)</f>
        <v>395.99999999999994</v>
      </c>
      <c r="G1084" s="14">
        <f>102*(2/3*10)</f>
        <v>680</v>
      </c>
      <c r="H1084" s="14">
        <f>34.1*(2/3*10)</f>
        <v>227.33333333333331</v>
      </c>
      <c r="I1084" s="14">
        <f>138.1*(2/3*10)</f>
        <v>920.66666666666652</v>
      </c>
      <c r="K1084">
        <v>1081</v>
      </c>
      <c r="L1084">
        <f t="shared" si="16"/>
        <v>1</v>
      </c>
    </row>
    <row r="1085" spans="1:12" ht="16.5" x14ac:dyDescent="0.2">
      <c r="A1085" s="4" t="s">
        <v>217</v>
      </c>
      <c r="B1085">
        <v>2010</v>
      </c>
      <c r="C1085" s="14">
        <f>511.9*(2/3*10)</f>
        <v>3412.6666666666661</v>
      </c>
      <c r="D1085" s="14">
        <f>128.4*(2/3*10)</f>
        <v>856</v>
      </c>
      <c r="E1085" s="14">
        <f>1808.8*(2/3*10)</f>
        <v>12058.666666666666</v>
      </c>
      <c r="F1085" s="14">
        <f>58.3*(2/3*10)</f>
        <v>388.66666666666663</v>
      </c>
      <c r="G1085" s="14">
        <f>103.8*(2/3*10)</f>
        <v>692</v>
      </c>
      <c r="H1085" s="14">
        <f>34.8*(2/3*10)</f>
        <v>231.99999999999997</v>
      </c>
      <c r="I1085" s="14">
        <f>138.1*(2/3*10)</f>
        <v>920.66666666666652</v>
      </c>
      <c r="K1085">
        <v>1082</v>
      </c>
      <c r="L1085">
        <f t="shared" si="16"/>
        <v>2</v>
      </c>
    </row>
    <row r="1086" spans="1:12" ht="16.5" x14ac:dyDescent="0.2">
      <c r="A1086" s="4" t="s">
        <v>217</v>
      </c>
      <c r="B1086">
        <v>2011</v>
      </c>
      <c r="C1086" s="14">
        <f>513.1*(2/3*10)</f>
        <v>3420.6666666666665</v>
      </c>
      <c r="D1086" s="14">
        <f>128*(2/3*10)</f>
        <v>853.33333333333326</v>
      </c>
      <c r="E1086" s="14">
        <f>1805.8*(2/3*10)</f>
        <v>12038.666666666666</v>
      </c>
      <c r="F1086" s="14">
        <f>57.6*(2/3*10)</f>
        <v>384</v>
      </c>
      <c r="G1086" s="14">
        <f>107*(2/3*10)</f>
        <v>713.33333333333326</v>
      </c>
      <c r="H1086" s="14">
        <f>36*(2/3*10)</f>
        <v>239.99999999999997</v>
      </c>
      <c r="I1086" s="14">
        <f>137.8*(2/3*10)</f>
        <v>918.66666666666663</v>
      </c>
      <c r="K1086" s="15">
        <v>1083</v>
      </c>
      <c r="L1086">
        <f t="shared" si="16"/>
        <v>3</v>
      </c>
    </row>
    <row r="1087" spans="1:12" ht="16.5" x14ac:dyDescent="0.2">
      <c r="A1087" s="4" t="s">
        <v>217</v>
      </c>
      <c r="B1087">
        <v>2012</v>
      </c>
      <c r="C1087" s="14">
        <f>513.2*(2/3*10)</f>
        <v>3421.3333333333335</v>
      </c>
      <c r="D1087" s="14">
        <f>127.8*(2/3*10)</f>
        <v>851.99999999999989</v>
      </c>
      <c r="E1087" s="14">
        <f>1803.9*(2/3*10)</f>
        <v>12026</v>
      </c>
      <c r="F1087" s="14">
        <f>57.3*(2/3*10)</f>
        <v>381.99999999999994</v>
      </c>
      <c r="G1087" s="14">
        <f>109.2*(2/3*10)</f>
        <v>727.99999999999989</v>
      </c>
      <c r="H1087" s="14">
        <f>36.1*(2/3*10)</f>
        <v>240.66666666666666</v>
      </c>
      <c r="I1087" s="14">
        <f>137.7*(2/3*10)</f>
        <v>917.99999999999989</v>
      </c>
      <c r="K1087">
        <v>1084</v>
      </c>
      <c r="L1087">
        <f t="shared" si="16"/>
        <v>4</v>
      </c>
    </row>
    <row r="1088" spans="1:12" ht="16.5" x14ac:dyDescent="0.2">
      <c r="A1088" s="4" t="s">
        <v>217</v>
      </c>
      <c r="B1088">
        <v>2013</v>
      </c>
      <c r="C1088" s="14">
        <f>513*(2/3*10)</f>
        <v>3419.9999999999995</v>
      </c>
      <c r="D1088" s="14">
        <f>127.3*(2/3*10)</f>
        <v>848.66666666666663</v>
      </c>
      <c r="E1088" s="14">
        <f>1802.8*(2/3*10)</f>
        <v>12018.666666666666</v>
      </c>
      <c r="F1088" s="14">
        <f>56.3*(2/3*10)</f>
        <v>375.33333333333326</v>
      </c>
      <c r="G1088" s="14">
        <f>111.8*(2/3*10)</f>
        <v>745.33333333333326</v>
      </c>
      <c r="H1088" s="14">
        <f>36.6*(2/3*10)</f>
        <v>244</v>
      </c>
      <c r="I1088" s="14">
        <f>137.5*(2/3*10)</f>
        <v>916.66666666666663</v>
      </c>
      <c r="K1088" s="15">
        <v>1085</v>
      </c>
      <c r="L1088">
        <f t="shared" ref="L1088:L1151" si="17">MOD(K1088,8)</f>
        <v>5</v>
      </c>
    </row>
    <row r="1089" spans="1:12" ht="16.5" x14ac:dyDescent="0.2">
      <c r="A1089" s="4" t="s">
        <v>217</v>
      </c>
      <c r="B1089">
        <v>2014</v>
      </c>
      <c r="C1089" s="14">
        <f>512.7*(2/3*10)</f>
        <v>3418</v>
      </c>
      <c r="D1089" s="14">
        <f>126.9*(2/3*10)</f>
        <v>846</v>
      </c>
      <c r="E1089" s="14">
        <f>1799.7*(2/3*10)</f>
        <v>11998</v>
      </c>
      <c r="F1089" s="14">
        <f>56*(2/3*10)</f>
        <v>373.33333333333331</v>
      </c>
      <c r="G1089" s="14">
        <f>114.4*(2/3*10)</f>
        <v>762.66666666666652</v>
      </c>
      <c r="H1089" s="14">
        <f>38.1*(2/3*10)</f>
        <v>254</v>
      </c>
      <c r="I1089" s="14">
        <f>137.4*(2/3*10)</f>
        <v>916</v>
      </c>
      <c r="K1089">
        <v>1086</v>
      </c>
      <c r="L1089">
        <f t="shared" si="17"/>
        <v>6</v>
      </c>
    </row>
    <row r="1090" spans="1:12" ht="16.5" x14ac:dyDescent="0.2">
      <c r="A1090" s="4" t="s">
        <v>217</v>
      </c>
      <c r="B1090">
        <v>2015</v>
      </c>
      <c r="C1090" s="14">
        <f>512.8*(2/3*10)</f>
        <v>3418.6666666666661</v>
      </c>
      <c r="D1090" s="14">
        <f>126.5*(2/3*10)</f>
        <v>843.33333333333326</v>
      </c>
      <c r="E1090" s="14">
        <f>1798.2*(2/3*10)</f>
        <v>11988</v>
      </c>
      <c r="F1090" s="14">
        <f>55.1*(2/3*10)</f>
        <v>367.33333333333331</v>
      </c>
      <c r="G1090" s="14">
        <f>116.6*(2/3*10)</f>
        <v>777.33333333333326</v>
      </c>
      <c r="H1090" s="14">
        <f>38.8*(2/3*10)</f>
        <v>258.66666666666663</v>
      </c>
      <c r="I1090" s="14">
        <f>137.2*(2/3*10)</f>
        <v>914.66666666666652</v>
      </c>
      <c r="K1090">
        <v>1087</v>
      </c>
      <c r="L1090">
        <f t="shared" si="17"/>
        <v>7</v>
      </c>
    </row>
    <row r="1091" spans="1:12" ht="16.5" x14ac:dyDescent="0.2">
      <c r="A1091" s="4" t="s">
        <v>217</v>
      </c>
      <c r="B1091">
        <v>2016</v>
      </c>
      <c r="C1091" s="14">
        <f>512.7*(2/3*10)</f>
        <v>3418</v>
      </c>
      <c r="D1091" s="14">
        <f>126.1*(2/3*10)</f>
        <v>840.66666666666652</v>
      </c>
      <c r="E1091" s="14">
        <f>1796.8*(2/3*10)</f>
        <v>11978.666666666666</v>
      </c>
      <c r="F1091" s="14">
        <f>54.6*(2/3*10)</f>
        <v>364</v>
      </c>
      <c r="G1091" s="14">
        <f>118.7*(2/3*10)</f>
        <v>791.33333333333326</v>
      </c>
      <c r="H1091" s="14">
        <f>38.8*(2/3*10)</f>
        <v>258.66666666666663</v>
      </c>
      <c r="I1091" s="14">
        <f>137*(2/3*10)</f>
        <v>913.33333333333326</v>
      </c>
      <c r="K1091" s="15">
        <v>1088</v>
      </c>
      <c r="L1091">
        <f t="shared" si="17"/>
        <v>0</v>
      </c>
    </row>
    <row r="1092" spans="1:12" ht="16.5" x14ac:dyDescent="0.2">
      <c r="A1092" s="4" t="s">
        <v>216</v>
      </c>
      <c r="B1092">
        <v>2009</v>
      </c>
      <c r="C1092" s="14">
        <f>688*(2/3*10)</f>
        <v>4586.6666666666661</v>
      </c>
      <c r="D1092" s="14">
        <f>29*(2/3*10)</f>
        <v>193.33333333333331</v>
      </c>
      <c r="E1092" s="14">
        <f>1990.4*(2/3*10)</f>
        <v>13269.333333333332</v>
      </c>
      <c r="F1092" s="14">
        <f>67.6*(2/3*10)</f>
        <v>450.66666666666657</v>
      </c>
      <c r="G1092" s="14">
        <f>178.4*(2/3*10)</f>
        <v>1189.3333333333333</v>
      </c>
      <c r="H1092" s="14">
        <f>43.5*(2/3*10)</f>
        <v>290</v>
      </c>
      <c r="I1092" s="14">
        <f>353.8*(2/3*10)</f>
        <v>2358.6666666666665</v>
      </c>
      <c r="K1092">
        <v>1089</v>
      </c>
      <c r="L1092">
        <f t="shared" si="17"/>
        <v>1</v>
      </c>
    </row>
    <row r="1093" spans="1:12" ht="16.5" x14ac:dyDescent="0.2">
      <c r="A1093" s="4" t="s">
        <v>216</v>
      </c>
      <c r="B1093">
        <v>2010</v>
      </c>
      <c r="C1093" s="14">
        <f>687.4*(2/3*10)</f>
        <v>4582.6666666666661</v>
      </c>
      <c r="D1093" s="14">
        <f>28.9*(2/3*10)</f>
        <v>192.66666666666663</v>
      </c>
      <c r="E1093" s="14">
        <f>1988.1*(2/3*10)</f>
        <v>13253.999999999998</v>
      </c>
      <c r="F1093" s="14">
        <f>65.4*(2/3*10)</f>
        <v>436</v>
      </c>
      <c r="G1093" s="14">
        <f>181.1*(2/3*10)</f>
        <v>1207.3333333333333</v>
      </c>
      <c r="H1093" s="14">
        <f>45.7*(2/3*10)</f>
        <v>304.66666666666669</v>
      </c>
      <c r="I1093" s="14">
        <f>353.3*(2/3*10)</f>
        <v>2355.333333333333</v>
      </c>
      <c r="K1093" s="15">
        <v>1090</v>
      </c>
      <c r="L1093">
        <f t="shared" si="17"/>
        <v>2</v>
      </c>
    </row>
    <row r="1094" spans="1:12" ht="16.5" x14ac:dyDescent="0.2">
      <c r="A1094" s="4" t="s">
        <v>216</v>
      </c>
      <c r="B1094">
        <v>2011</v>
      </c>
      <c r="C1094" s="14">
        <f>687.2*(2/3*10)</f>
        <v>4581.333333333333</v>
      </c>
      <c r="D1094" s="14">
        <f>28.8*(2/3*10)</f>
        <v>192</v>
      </c>
      <c r="E1094" s="14">
        <f>1986.1*(2/3*10)</f>
        <v>13240.666666666664</v>
      </c>
      <c r="F1094" s="14">
        <f>65.2*(2/3*10)</f>
        <v>434.66666666666663</v>
      </c>
      <c r="G1094" s="14">
        <f>183.8*(2/3*10)</f>
        <v>1225.333333333333</v>
      </c>
      <c r="H1094" s="14">
        <f>46*(2/3*10)</f>
        <v>306.66666666666663</v>
      </c>
      <c r="I1094" s="14">
        <f>352.6*(2/3*10)</f>
        <v>2350.6666666666665</v>
      </c>
      <c r="K1094">
        <v>1091</v>
      </c>
      <c r="L1094">
        <f t="shared" si="17"/>
        <v>3</v>
      </c>
    </row>
    <row r="1095" spans="1:12" ht="16.5" x14ac:dyDescent="0.2">
      <c r="A1095" s="4" t="s">
        <v>216</v>
      </c>
      <c r="B1095">
        <v>2012</v>
      </c>
      <c r="C1095" s="14">
        <f>687.1*(2/3*10)</f>
        <v>4580.6666666666661</v>
      </c>
      <c r="D1095" s="14">
        <f>28.5*(2/3*10)</f>
        <v>189.99999999999997</v>
      </c>
      <c r="E1095" s="14">
        <f>1982.4*(2/3*10)</f>
        <v>13216</v>
      </c>
      <c r="F1095" s="14">
        <f>66.7*(2/3*10)</f>
        <v>444.66666666666663</v>
      </c>
      <c r="G1095" s="14">
        <f>187*(2/3*10)</f>
        <v>1246.6666666666665</v>
      </c>
      <c r="H1095" s="14">
        <f>46.6*(2/3*10)</f>
        <v>310.66666666666663</v>
      </c>
      <c r="I1095" s="14">
        <f>351.5*(2/3*10)</f>
        <v>2343.333333333333</v>
      </c>
      <c r="K1095">
        <v>1092</v>
      </c>
      <c r="L1095">
        <f t="shared" si="17"/>
        <v>4</v>
      </c>
    </row>
    <row r="1096" spans="1:12" ht="16.5" x14ac:dyDescent="0.2">
      <c r="A1096" s="4" t="s">
        <v>216</v>
      </c>
      <c r="B1096">
        <v>2013</v>
      </c>
      <c r="C1096" s="14">
        <f>688.2*(2/3*10)</f>
        <v>4588</v>
      </c>
      <c r="D1096" s="14">
        <f>28.4*(2/3*10)</f>
        <v>189.33333333333331</v>
      </c>
      <c r="E1096" s="14">
        <f>1981.4*(2/3*10)</f>
        <v>13209.333333333332</v>
      </c>
      <c r="F1096" s="14">
        <f>65.5*(2/3*10)</f>
        <v>436.66666666666663</v>
      </c>
      <c r="G1096" s="14">
        <f>189.1*(2/3*10)</f>
        <v>1260.6666666666665</v>
      </c>
      <c r="H1096" s="14">
        <f>47*(2/3*10)</f>
        <v>313.33333333333331</v>
      </c>
      <c r="I1096" s="14">
        <f>350.3*(2/3*10)</f>
        <v>2335.333333333333</v>
      </c>
      <c r="K1096" s="15">
        <v>1093</v>
      </c>
      <c r="L1096">
        <f t="shared" si="17"/>
        <v>5</v>
      </c>
    </row>
    <row r="1097" spans="1:12" ht="16.5" x14ac:dyDescent="0.2">
      <c r="A1097" s="4" t="s">
        <v>216</v>
      </c>
      <c r="B1097">
        <v>2014</v>
      </c>
      <c r="C1097" s="14">
        <f>688.6*(2/3*10)</f>
        <v>4590.6666666666661</v>
      </c>
      <c r="D1097" s="14">
        <f>28.3*(2/3*10)</f>
        <v>188.66666666666666</v>
      </c>
      <c r="E1097" s="14">
        <f>1979.6*(2/3*10)</f>
        <v>13197.333333333332</v>
      </c>
      <c r="F1097" s="14">
        <f>64.1*(2/3*10)</f>
        <v>427.33333333333326</v>
      </c>
      <c r="G1097" s="14">
        <f>192.1*(2/3*10)</f>
        <v>1280.6666666666665</v>
      </c>
      <c r="H1097" s="14">
        <f>48.3*(2/3*10)</f>
        <v>321.99999999999994</v>
      </c>
      <c r="I1097" s="14">
        <f>348.9*(2/3*10)</f>
        <v>2325.9999999999995</v>
      </c>
      <c r="K1097">
        <v>1094</v>
      </c>
      <c r="L1097">
        <f t="shared" si="17"/>
        <v>6</v>
      </c>
    </row>
    <row r="1098" spans="1:12" ht="16.5" x14ac:dyDescent="0.2">
      <c r="A1098" s="4" t="s">
        <v>216</v>
      </c>
      <c r="B1098">
        <v>2015</v>
      </c>
      <c r="C1098" s="14">
        <f>688.3*(2/3*10)</f>
        <v>4588.6666666666661</v>
      </c>
      <c r="D1098" s="14">
        <f>28.1*(2/3*10)</f>
        <v>187.33333333333331</v>
      </c>
      <c r="E1098" s="14">
        <f>1976.2*(2/3*10)</f>
        <v>13174.666666666666</v>
      </c>
      <c r="F1098" s="14">
        <f>63.5*(2/3*10)</f>
        <v>423.33333333333331</v>
      </c>
      <c r="G1098" s="14">
        <f>196.9*(2/3*10)</f>
        <v>1312.6666666666663</v>
      </c>
      <c r="H1098" s="14">
        <f>49.2*(2/3*10)</f>
        <v>328</v>
      </c>
      <c r="I1098" s="14">
        <f>348*(2/3*10)</f>
        <v>2320</v>
      </c>
      <c r="K1098" s="15">
        <v>1095</v>
      </c>
      <c r="L1098">
        <f t="shared" si="17"/>
        <v>7</v>
      </c>
    </row>
    <row r="1099" spans="1:12" ht="16.5" x14ac:dyDescent="0.2">
      <c r="A1099" s="4" t="s">
        <v>216</v>
      </c>
      <c r="B1099">
        <v>2016</v>
      </c>
      <c r="C1099" s="14">
        <f>687.5*(2/3*10)</f>
        <v>4583.333333333333</v>
      </c>
      <c r="D1099" s="14">
        <f>28*(2/3*10)</f>
        <v>186.66666666666666</v>
      </c>
      <c r="E1099" s="14">
        <f>1974.7*(2/3*10)</f>
        <v>13164.666666666666</v>
      </c>
      <c r="F1099" s="14">
        <f>62.7*(2/3*10)</f>
        <v>418</v>
      </c>
      <c r="G1099" s="14">
        <f>198.9*(2/3*10)</f>
        <v>1326</v>
      </c>
      <c r="H1099" s="14">
        <f>49.4*(2/3*10)</f>
        <v>329.33333333333331</v>
      </c>
      <c r="I1099" s="14">
        <f>347.7*(2/3*10)</f>
        <v>2317.9999999999995</v>
      </c>
      <c r="K1099">
        <v>1096</v>
      </c>
      <c r="L1099">
        <f t="shared" si="17"/>
        <v>0</v>
      </c>
    </row>
    <row r="1100" spans="1:12" ht="16.5" x14ac:dyDescent="0.2">
      <c r="A1100" s="4" t="s">
        <v>215</v>
      </c>
      <c r="B1100">
        <v>2009</v>
      </c>
      <c r="C1100" s="14">
        <f>544.4*(2/3*10)</f>
        <v>3629.333333333333</v>
      </c>
      <c r="D1100" s="14">
        <f>40.4*(2/3*10)</f>
        <v>269.33333333333331</v>
      </c>
      <c r="E1100" s="14">
        <f>130.8*(2/3*10)</f>
        <v>872</v>
      </c>
      <c r="F1100" s="14">
        <f>88.5*(2/3*10)</f>
        <v>590</v>
      </c>
      <c r="G1100" s="14">
        <f>197.2*(2/3*10)</f>
        <v>1314.6666666666667</v>
      </c>
      <c r="H1100" s="14">
        <f>42*(2/3*10)</f>
        <v>280</v>
      </c>
      <c r="I1100" s="14">
        <f>76.8*(2/3*10)</f>
        <v>511.99999999999994</v>
      </c>
      <c r="K1100">
        <v>1097</v>
      </c>
      <c r="L1100">
        <f t="shared" si="17"/>
        <v>1</v>
      </c>
    </row>
    <row r="1101" spans="1:12" ht="16.5" x14ac:dyDescent="0.2">
      <c r="A1101" s="4" t="s">
        <v>215</v>
      </c>
      <c r="B1101">
        <v>2010</v>
      </c>
      <c r="C1101" s="14">
        <f>543.5*(2/3*10)</f>
        <v>3623.333333333333</v>
      </c>
      <c r="D1101" s="14">
        <f>40.2*(2/3*10)</f>
        <v>268</v>
      </c>
      <c r="E1101" s="14">
        <f>130*(2/3*10)</f>
        <v>866.66666666666663</v>
      </c>
      <c r="F1101" s="14">
        <f>88.3*(2/3*10)</f>
        <v>588.66666666666663</v>
      </c>
      <c r="G1101" s="14">
        <f>199.3*(2/3*10)</f>
        <v>1328.6666666666665</v>
      </c>
      <c r="H1101" s="14">
        <f>42.3*(2/3*10)</f>
        <v>281.99999999999994</v>
      </c>
      <c r="I1101" s="14">
        <f>76.8*(2/3*10)</f>
        <v>511.99999999999994</v>
      </c>
      <c r="K1101" s="15">
        <v>1098</v>
      </c>
      <c r="L1101">
        <f t="shared" si="17"/>
        <v>2</v>
      </c>
    </row>
    <row r="1102" spans="1:12" ht="16.5" x14ac:dyDescent="0.2">
      <c r="A1102" s="4" t="s">
        <v>215</v>
      </c>
      <c r="B1102">
        <v>2011</v>
      </c>
      <c r="C1102" s="14">
        <f>542.2*(2/3*10)</f>
        <v>3614.6666666666665</v>
      </c>
      <c r="D1102" s="14">
        <f>40*(2/3*10)</f>
        <v>266.66666666666663</v>
      </c>
      <c r="E1102" s="14">
        <f>129.1*(2/3*10)</f>
        <v>860.66666666666652</v>
      </c>
      <c r="F1102" s="14">
        <f>87.6*(2/3*10)</f>
        <v>583.99999999999989</v>
      </c>
      <c r="G1102" s="14">
        <f>202.4*(2/3*10)</f>
        <v>1349.3333333333333</v>
      </c>
      <c r="H1102" s="14">
        <f>42.4*(2/3*10)</f>
        <v>282.66666666666663</v>
      </c>
      <c r="I1102" s="14">
        <f>77*(2/3*10)</f>
        <v>513.33333333333326</v>
      </c>
      <c r="K1102">
        <v>1099</v>
      </c>
      <c r="L1102">
        <f t="shared" si="17"/>
        <v>3</v>
      </c>
    </row>
    <row r="1103" spans="1:12" ht="16.5" x14ac:dyDescent="0.2">
      <c r="A1103" s="4" t="s">
        <v>215</v>
      </c>
      <c r="B1103">
        <v>2012</v>
      </c>
      <c r="C1103" s="14">
        <f>540.4*(2/3*10)</f>
        <v>3602.6666666666661</v>
      </c>
      <c r="D1103" s="14">
        <f>39.7*(2/3*10)</f>
        <v>264.66666666666669</v>
      </c>
      <c r="E1103" s="14">
        <f>128.5*(2/3*10)</f>
        <v>856.66666666666663</v>
      </c>
      <c r="F1103" s="14">
        <f>87.3*(2/3*10)</f>
        <v>581.99999999999989</v>
      </c>
      <c r="G1103" s="14">
        <f>205.2*(2/3*10)</f>
        <v>1368</v>
      </c>
      <c r="H1103" s="14">
        <f>43.1*(2/3*10)</f>
        <v>287.33333333333331</v>
      </c>
      <c r="I1103" s="14">
        <f>76.9*(2/3*10)</f>
        <v>512.66666666666663</v>
      </c>
      <c r="K1103" s="15">
        <v>1100</v>
      </c>
      <c r="L1103">
        <f t="shared" si="17"/>
        <v>4</v>
      </c>
    </row>
    <row r="1104" spans="1:12" ht="16.5" x14ac:dyDescent="0.2">
      <c r="A1104" s="4" t="s">
        <v>215</v>
      </c>
      <c r="B1104">
        <v>2013</v>
      </c>
      <c r="C1104" s="14">
        <f>541.5*(2/3*10)</f>
        <v>3609.9999999999995</v>
      </c>
      <c r="D1104" s="14">
        <f>39.4*(2/3*10)</f>
        <v>262.66666666666663</v>
      </c>
      <c r="E1104" s="14">
        <f>127.7*(2/3*10)</f>
        <v>851.33333333333326</v>
      </c>
      <c r="F1104" s="14">
        <f>86.3*(2/3*10)</f>
        <v>575.33333333333326</v>
      </c>
      <c r="G1104" s="14">
        <f>206.8*(2/3*10)</f>
        <v>1378.6666666666665</v>
      </c>
      <c r="H1104" s="14">
        <f>43.1*(2/3*10)</f>
        <v>287.33333333333331</v>
      </c>
      <c r="I1104" s="14">
        <f>76.7*(2/3*10)</f>
        <v>511.33333333333331</v>
      </c>
      <c r="K1104">
        <v>1101</v>
      </c>
      <c r="L1104">
        <f t="shared" si="17"/>
        <v>5</v>
      </c>
    </row>
    <row r="1105" spans="1:12" ht="16.5" x14ac:dyDescent="0.2">
      <c r="A1105" s="4" t="s">
        <v>215</v>
      </c>
      <c r="B1105">
        <v>2014</v>
      </c>
      <c r="C1105" s="14">
        <f>539.6*(2/3*10)</f>
        <v>3597.333333333333</v>
      </c>
      <c r="D1105" s="14">
        <f>39.2*(2/3*10)</f>
        <v>261.33333333333331</v>
      </c>
      <c r="E1105" s="14">
        <f>127.4*(2/3*10)</f>
        <v>849.33333333333326</v>
      </c>
      <c r="F1105" s="14">
        <f>86.1*(2/3*10)</f>
        <v>573.99999999999989</v>
      </c>
      <c r="G1105" s="14">
        <f>208.6*(2/3*10)</f>
        <v>1390.6666666666665</v>
      </c>
      <c r="H1105" s="14">
        <f>43.6*(2/3*10)</f>
        <v>290.66666666666663</v>
      </c>
      <c r="I1105" s="14">
        <f>76.5*(2/3*10)</f>
        <v>509.99999999999994</v>
      </c>
      <c r="K1105">
        <v>1102</v>
      </c>
      <c r="L1105">
        <f t="shared" si="17"/>
        <v>6</v>
      </c>
    </row>
    <row r="1106" spans="1:12" ht="16.5" x14ac:dyDescent="0.2">
      <c r="A1106" s="4" t="s">
        <v>215</v>
      </c>
      <c r="B1106">
        <v>2015</v>
      </c>
      <c r="C1106" s="14">
        <f>537.9*(2/3*10)</f>
        <v>3585.9999999999995</v>
      </c>
      <c r="D1106" s="14">
        <f>39.1*(2/3*10)</f>
        <v>260.66666666666663</v>
      </c>
      <c r="E1106" s="14">
        <f>127*(2/3*10)</f>
        <v>846.66666666666663</v>
      </c>
      <c r="F1106" s="14">
        <f>85.9*(2/3*10)</f>
        <v>572.66666666666663</v>
      </c>
      <c r="G1106" s="14">
        <f>210.9*(2/3*10)</f>
        <v>1405.9999999999998</v>
      </c>
      <c r="H1106" s="14">
        <f>43.7*(2/3*10)</f>
        <v>291.33333333333331</v>
      </c>
      <c r="I1106" s="14">
        <f>76.4*(2/3*10)</f>
        <v>509.33333333333331</v>
      </c>
      <c r="K1106" s="15">
        <v>1103</v>
      </c>
      <c r="L1106">
        <f t="shared" si="17"/>
        <v>7</v>
      </c>
    </row>
    <row r="1107" spans="1:12" ht="16.5" x14ac:dyDescent="0.2">
      <c r="A1107" s="4" t="s">
        <v>215</v>
      </c>
      <c r="B1107">
        <v>2016</v>
      </c>
      <c r="C1107" s="14">
        <f>536.4*(2/3*10)</f>
        <v>3575.9999999999995</v>
      </c>
      <c r="D1107" s="14">
        <f>38.9*(2/3*10)</f>
        <v>259.33333333333331</v>
      </c>
      <c r="E1107" s="14">
        <f>126.7*(2/3*10)</f>
        <v>844.66666666666663</v>
      </c>
      <c r="F1107" s="14">
        <f>85.7*(2/3*10)</f>
        <v>571.33333333333326</v>
      </c>
      <c r="G1107" s="14">
        <f>212.8*(2/3*10)</f>
        <v>1418.6666666666665</v>
      </c>
      <c r="H1107" s="14">
        <f>44*(2/3*10)</f>
        <v>293.33333333333331</v>
      </c>
      <c r="I1107" s="14">
        <f>76.3*(2/3*10)</f>
        <v>508.66666666666663</v>
      </c>
      <c r="K1107">
        <v>1104</v>
      </c>
      <c r="L1107">
        <f t="shared" si="17"/>
        <v>0</v>
      </c>
    </row>
    <row r="1108" spans="1:12" ht="16.5" x14ac:dyDescent="0.2">
      <c r="A1108" s="4" t="s">
        <v>214</v>
      </c>
      <c r="B1108">
        <v>2009</v>
      </c>
      <c r="C1108" s="14">
        <f>802.5*(2/3*10)</f>
        <v>5349.9999999999991</v>
      </c>
      <c r="D1108" s="14">
        <f>59.4*(2/3*10)</f>
        <v>395.99999999999994</v>
      </c>
      <c r="E1108" s="14">
        <f>186.8*(2/3*10)</f>
        <v>1245.3333333333333</v>
      </c>
      <c r="F1108" s="14">
        <f>35.1*(2/3*10)</f>
        <v>234</v>
      </c>
      <c r="G1108" s="14">
        <f>265.8*(2/3*10)</f>
        <v>1772</v>
      </c>
      <c r="H1108" s="14">
        <f>80.7*(2/3*10)</f>
        <v>538</v>
      </c>
      <c r="I1108" s="14">
        <f>176.9*(2/3*10)</f>
        <v>1179.3333333333333</v>
      </c>
      <c r="K1108" s="15">
        <v>1105</v>
      </c>
      <c r="L1108">
        <f t="shared" si="17"/>
        <v>1</v>
      </c>
    </row>
    <row r="1109" spans="1:12" ht="16.5" x14ac:dyDescent="0.2">
      <c r="A1109" s="4" t="s">
        <v>214</v>
      </c>
      <c r="B1109">
        <v>2010</v>
      </c>
      <c r="C1109" s="14">
        <f>799.6*(2/3*10)</f>
        <v>5330.6666666666661</v>
      </c>
      <c r="D1109" s="14">
        <f>59*(2/3*10)</f>
        <v>393.33333333333331</v>
      </c>
      <c r="E1109" s="14">
        <f>186*(2/3*10)</f>
        <v>1240</v>
      </c>
      <c r="F1109" s="14">
        <f>34.3*(2/3*10)</f>
        <v>228.66666666666663</v>
      </c>
      <c r="G1109" s="14">
        <f>270.5*(2/3*10)</f>
        <v>1803.3333333333333</v>
      </c>
      <c r="H1109" s="14">
        <f>81.2*(2/3*10)</f>
        <v>541.33333333333326</v>
      </c>
      <c r="I1109" s="14">
        <f>176.2*(2/3*10)</f>
        <v>1174.6666666666665</v>
      </c>
      <c r="K1109">
        <v>1106</v>
      </c>
      <c r="L1109">
        <f t="shared" si="17"/>
        <v>2</v>
      </c>
    </row>
    <row r="1110" spans="1:12" ht="16.5" x14ac:dyDescent="0.2">
      <c r="A1110" s="4" t="s">
        <v>214</v>
      </c>
      <c r="B1110">
        <v>2011</v>
      </c>
      <c r="C1110" s="14">
        <f>796*(2/3*10)</f>
        <v>5306.6666666666661</v>
      </c>
      <c r="D1110" s="14">
        <f>58.4*(2/3*10)</f>
        <v>389.33333333333331</v>
      </c>
      <c r="E1110" s="14">
        <f>185.2*(2/3*10)</f>
        <v>1234.6666666666665</v>
      </c>
      <c r="F1110" s="14">
        <f>33.2*(2/3*10)</f>
        <v>221.33333333333334</v>
      </c>
      <c r="G1110" s="14">
        <f>274.7*(2/3*10)</f>
        <v>1831.333333333333</v>
      </c>
      <c r="H1110" s="14">
        <f>83.2*(2/3*10)</f>
        <v>554.66666666666663</v>
      </c>
      <c r="I1110" s="14">
        <f>175.3*(2/3*10)</f>
        <v>1168.6666666666667</v>
      </c>
      <c r="K1110">
        <v>1107</v>
      </c>
      <c r="L1110">
        <f t="shared" si="17"/>
        <v>3</v>
      </c>
    </row>
    <row r="1111" spans="1:12" ht="16.5" x14ac:dyDescent="0.2">
      <c r="A1111" s="4" t="s">
        <v>214</v>
      </c>
      <c r="B1111">
        <v>2012</v>
      </c>
      <c r="C1111" s="14">
        <f>792.1*(2/3*10)</f>
        <v>5280.6666666666661</v>
      </c>
      <c r="D1111" s="14">
        <f>57.9*(2/3*10)</f>
        <v>385.99999999999994</v>
      </c>
      <c r="E1111" s="14">
        <f>184.5*(2/3*10)</f>
        <v>1230</v>
      </c>
      <c r="F1111" s="14">
        <f>32.7*(2/3*10)</f>
        <v>218</v>
      </c>
      <c r="G1111" s="14">
        <f>281.1*(2/3*10)</f>
        <v>1873.9999999999995</v>
      </c>
      <c r="H1111" s="14">
        <f>83.4*(2/3*10)</f>
        <v>556</v>
      </c>
      <c r="I1111" s="14">
        <f>174.6*(2/3*10)</f>
        <v>1163.9999999999998</v>
      </c>
      <c r="K1111" s="15">
        <v>1108</v>
      </c>
      <c r="L1111">
        <f t="shared" si="17"/>
        <v>4</v>
      </c>
    </row>
    <row r="1112" spans="1:12" ht="16.5" x14ac:dyDescent="0.2">
      <c r="A1112" s="4" t="s">
        <v>214</v>
      </c>
      <c r="B1112">
        <v>2013</v>
      </c>
      <c r="C1112" s="14">
        <f>788.3*(2/3*10)</f>
        <v>5255.3333333333321</v>
      </c>
      <c r="D1112" s="14">
        <f>57.4*(2/3*10)</f>
        <v>382.66666666666663</v>
      </c>
      <c r="E1112" s="14">
        <f>183.7*(2/3*10)</f>
        <v>1224.6666666666665</v>
      </c>
      <c r="F1112" s="14">
        <f>32.2*(2/3*10)</f>
        <v>214.66666666666666</v>
      </c>
      <c r="G1112" s="14">
        <f>286.7*(2/3*10)</f>
        <v>1911.3333333333335</v>
      </c>
      <c r="H1112" s="14">
        <f>83.6*(2/3*10)</f>
        <v>557.33333333333326</v>
      </c>
      <c r="I1112" s="14">
        <f>173.9*(2/3*10)</f>
        <v>1159.3333333333333</v>
      </c>
      <c r="K1112">
        <v>1109</v>
      </c>
      <c r="L1112">
        <f t="shared" si="17"/>
        <v>5</v>
      </c>
    </row>
    <row r="1113" spans="1:12" ht="16.5" x14ac:dyDescent="0.2">
      <c r="A1113" s="4" t="s">
        <v>214</v>
      </c>
      <c r="B1113">
        <v>2014</v>
      </c>
      <c r="C1113" s="14">
        <f>784.4*(2/3*10)</f>
        <v>5229.333333333333</v>
      </c>
      <c r="D1113" s="14">
        <f>57*(2/3*10)</f>
        <v>379.99999999999994</v>
      </c>
      <c r="E1113" s="14">
        <f>183.2*(2/3*10)</f>
        <v>1221.3333333333333</v>
      </c>
      <c r="F1113" s="14">
        <f>32*(2/3*10)</f>
        <v>213.33333333333331</v>
      </c>
      <c r="G1113" s="14">
        <f>291.8*(2/3*10)</f>
        <v>1945.3333333333333</v>
      </c>
      <c r="H1113" s="14">
        <f>84*(2/3*10)</f>
        <v>560</v>
      </c>
      <c r="I1113" s="14">
        <f>173.2*(2/3*10)</f>
        <v>1154.6666666666665</v>
      </c>
      <c r="K1113" s="15">
        <v>1110</v>
      </c>
      <c r="L1113">
        <f t="shared" si="17"/>
        <v>6</v>
      </c>
    </row>
    <row r="1114" spans="1:12" ht="16.5" x14ac:dyDescent="0.2">
      <c r="A1114" s="4" t="s">
        <v>214</v>
      </c>
      <c r="B1114">
        <v>2015</v>
      </c>
      <c r="C1114" s="14">
        <f>781.3*(2/3*10)</f>
        <v>5208.6666666666661</v>
      </c>
      <c r="D1114" s="14">
        <f>56.7*(2/3*10)</f>
        <v>378</v>
      </c>
      <c r="E1114" s="14">
        <f>182.5*(2/3*10)</f>
        <v>1216.6666666666665</v>
      </c>
      <c r="F1114" s="14">
        <f>31.7*(2/3*10)</f>
        <v>211.33333333333331</v>
      </c>
      <c r="G1114" s="14">
        <f>296.9*(2/3*10)</f>
        <v>1979.333333333333</v>
      </c>
      <c r="H1114" s="14">
        <f>84.6*(2/3*10)</f>
        <v>563.99999999999989</v>
      </c>
      <c r="I1114" s="14">
        <f>173.1*(2/3*10)</f>
        <v>1153.9999999999998</v>
      </c>
      <c r="K1114">
        <v>1111</v>
      </c>
      <c r="L1114">
        <f t="shared" si="17"/>
        <v>7</v>
      </c>
    </row>
    <row r="1115" spans="1:12" ht="16.5" x14ac:dyDescent="0.2">
      <c r="A1115" s="4" t="s">
        <v>214</v>
      </c>
      <c r="B1115">
        <v>2016</v>
      </c>
      <c r="C1115" s="14">
        <f>778.8*(2/3*10)</f>
        <v>5191.9999999999991</v>
      </c>
      <c r="D1115" s="14">
        <f>56.4*(2/3*10)</f>
        <v>375.99999999999994</v>
      </c>
      <c r="E1115" s="14">
        <f>182*(2/3*10)</f>
        <v>1213.3333333333333</v>
      </c>
      <c r="F1115" s="14">
        <f>31.6*(2/3*10)</f>
        <v>210.66666666666666</v>
      </c>
      <c r="G1115" s="14">
        <f>300.3*(2/3*10)</f>
        <v>2002.0000000000002</v>
      </c>
      <c r="H1115" s="14">
        <f>85.1*(2/3*10)</f>
        <v>567.33333333333326</v>
      </c>
      <c r="I1115" s="14">
        <f>172.8*(2/3*10)</f>
        <v>1152</v>
      </c>
      <c r="K1115">
        <v>1112</v>
      </c>
      <c r="L1115">
        <f t="shared" si="17"/>
        <v>0</v>
      </c>
    </row>
    <row r="1116" spans="1:12" ht="16.5" x14ac:dyDescent="0.2">
      <c r="A1116" s="4" t="s">
        <v>213</v>
      </c>
      <c r="B1116">
        <v>2009</v>
      </c>
      <c r="C1116" s="14">
        <f>319.2*(2/3*10)</f>
        <v>2127.9999999999995</v>
      </c>
      <c r="D1116" s="14">
        <f>88.6*(2/3*10)</f>
        <v>590.66666666666663</v>
      </c>
      <c r="E1116" s="14">
        <f>157.6*(2/3*10)</f>
        <v>1050.6666666666665</v>
      </c>
      <c r="F1116" s="14">
        <f>59.4*(2/3*10)</f>
        <v>395.99999999999994</v>
      </c>
      <c r="G1116" s="14">
        <f>143.3*(2/3*10)</f>
        <v>955.33333333333337</v>
      </c>
      <c r="H1116" s="14">
        <f>30*(2/3*10)</f>
        <v>199.99999999999997</v>
      </c>
      <c r="I1116" s="14">
        <f>37.9*(2/3*10)</f>
        <v>252.66666666666663</v>
      </c>
      <c r="K1116" s="15">
        <v>1113</v>
      </c>
      <c r="L1116">
        <f t="shared" si="17"/>
        <v>1</v>
      </c>
    </row>
    <row r="1117" spans="1:12" ht="16.5" x14ac:dyDescent="0.2">
      <c r="A1117" s="4" t="s">
        <v>213</v>
      </c>
      <c r="B1117">
        <v>2010</v>
      </c>
      <c r="C1117" s="14">
        <f>318.4*(2/3*10)</f>
        <v>2122.6666666666665</v>
      </c>
      <c r="D1117" s="14">
        <f>88.5*(2/3*10)</f>
        <v>590</v>
      </c>
      <c r="E1117" s="14">
        <f>157.4*(2/3*10)</f>
        <v>1049.3333333333333</v>
      </c>
      <c r="F1117" s="14">
        <f>58.7*(2/3*10)</f>
        <v>391.33333333333331</v>
      </c>
      <c r="G1117" s="14">
        <f>145*(2/3*10)</f>
        <v>966.66666666666663</v>
      </c>
      <c r="H1117" s="14">
        <f>30.3*(2/3*10)</f>
        <v>202</v>
      </c>
      <c r="I1117" s="14">
        <f>37.8*(2/3*10)</f>
        <v>251.99999999999997</v>
      </c>
      <c r="K1117">
        <v>1114</v>
      </c>
      <c r="L1117">
        <f t="shared" si="17"/>
        <v>2</v>
      </c>
    </row>
    <row r="1118" spans="1:12" ht="16.5" x14ac:dyDescent="0.2">
      <c r="A1118" s="4" t="s">
        <v>213</v>
      </c>
      <c r="B1118">
        <v>2011</v>
      </c>
      <c r="C1118" s="14">
        <f>317.6*(2/3*10)</f>
        <v>2117.3333333333335</v>
      </c>
      <c r="D1118" s="14">
        <f>88.3*(2/3*10)</f>
        <v>588.66666666666663</v>
      </c>
      <c r="E1118" s="14">
        <f>157.1*(2/3*10)</f>
        <v>1047.3333333333333</v>
      </c>
      <c r="F1118" s="14">
        <f>58*(2/3*10)</f>
        <v>386.66666666666663</v>
      </c>
      <c r="G1118" s="14">
        <f>146.3*(2/3*10)</f>
        <v>975.33333333333314</v>
      </c>
      <c r="H1118" s="14">
        <f>30.5*(2/3*10)</f>
        <v>203.33333333333331</v>
      </c>
      <c r="I1118" s="14">
        <f>38.1*(2/3*10)</f>
        <v>254</v>
      </c>
      <c r="K1118" s="15">
        <v>1115</v>
      </c>
      <c r="L1118">
        <f t="shared" si="17"/>
        <v>3</v>
      </c>
    </row>
    <row r="1119" spans="1:12" ht="16.5" x14ac:dyDescent="0.2">
      <c r="A1119" s="4" t="s">
        <v>213</v>
      </c>
      <c r="B1119">
        <v>2012</v>
      </c>
      <c r="C1119" s="14">
        <f>316.7*(2/3*10)</f>
        <v>2111.333333333333</v>
      </c>
      <c r="D1119" s="14">
        <f>88.1*(2/3*10)</f>
        <v>587.33333333333326</v>
      </c>
      <c r="E1119" s="14">
        <f>157*(2/3*10)</f>
        <v>1046.6666666666665</v>
      </c>
      <c r="F1119" s="14">
        <f>57.3*(2/3*10)</f>
        <v>381.99999999999994</v>
      </c>
      <c r="G1119" s="14">
        <f>148.3*(2/3*10)</f>
        <v>988.66666666666652</v>
      </c>
      <c r="H1119" s="14">
        <f>30.7*(2/3*10)</f>
        <v>204.66666666666666</v>
      </c>
      <c r="I1119" s="14">
        <f>38.1*(2/3*10)</f>
        <v>254</v>
      </c>
      <c r="K1119">
        <v>1116</v>
      </c>
      <c r="L1119">
        <f t="shared" si="17"/>
        <v>4</v>
      </c>
    </row>
    <row r="1120" spans="1:12" ht="16.5" x14ac:dyDescent="0.2">
      <c r="A1120" s="4" t="s">
        <v>213</v>
      </c>
      <c r="B1120">
        <v>2013</v>
      </c>
      <c r="C1120" s="14">
        <f>315.7*(2/3*10)</f>
        <v>2104.6666666666665</v>
      </c>
      <c r="D1120" s="14">
        <f>88.2*(2/3*10)</f>
        <v>588</v>
      </c>
      <c r="E1120" s="14">
        <f>156.9*(2/3*10)</f>
        <v>1046</v>
      </c>
      <c r="F1120" s="14">
        <f>56.6*(2/3*10)</f>
        <v>377.33333333333331</v>
      </c>
      <c r="G1120" s="14">
        <f>150*(2/3*10)</f>
        <v>999.99999999999989</v>
      </c>
      <c r="H1120" s="14">
        <f>30.8*(2/3*10)</f>
        <v>205.33333333333331</v>
      </c>
      <c r="I1120" s="14">
        <f>38*(2/3*10)</f>
        <v>253.33333333333331</v>
      </c>
      <c r="K1120">
        <v>1117</v>
      </c>
      <c r="L1120">
        <f t="shared" si="17"/>
        <v>5</v>
      </c>
    </row>
    <row r="1121" spans="1:12" ht="16.5" x14ac:dyDescent="0.2">
      <c r="A1121" s="4" t="s">
        <v>213</v>
      </c>
      <c r="B1121">
        <v>2014</v>
      </c>
      <c r="C1121" s="14">
        <f>314.7*(2/3*10)</f>
        <v>2097.9999999999995</v>
      </c>
      <c r="D1121" s="14">
        <f>88*(2/3*10)</f>
        <v>586.66666666666663</v>
      </c>
      <c r="E1121" s="14">
        <f>156.6*(2/3*10)</f>
        <v>1043.9999999999998</v>
      </c>
      <c r="F1121" s="14">
        <f>56.4*(2/3*10)</f>
        <v>375.99999999999994</v>
      </c>
      <c r="G1121" s="14">
        <f>151.4*(2/3*10)</f>
        <v>1009.3333333333333</v>
      </c>
      <c r="H1121" s="14">
        <f>31.1*(2/3*10)</f>
        <v>207.33333333333331</v>
      </c>
      <c r="I1121" s="14">
        <f>38*(2/3*10)</f>
        <v>253.33333333333331</v>
      </c>
      <c r="K1121" s="15">
        <v>1118</v>
      </c>
      <c r="L1121">
        <f t="shared" si="17"/>
        <v>6</v>
      </c>
    </row>
    <row r="1122" spans="1:12" ht="16.5" x14ac:dyDescent="0.2">
      <c r="A1122" s="4" t="s">
        <v>213</v>
      </c>
      <c r="B1122">
        <v>2015</v>
      </c>
      <c r="C1122" s="14">
        <f>314*(2/3*10)</f>
        <v>2093.333333333333</v>
      </c>
      <c r="D1122" s="14">
        <f>88*(2/3*10)</f>
        <v>586.66666666666663</v>
      </c>
      <c r="E1122" s="14">
        <f>156.5*(2/3*10)</f>
        <v>1043.3333333333333</v>
      </c>
      <c r="F1122" s="14">
        <f>56.2*(2/3*10)</f>
        <v>374.66666666666663</v>
      </c>
      <c r="G1122" s="14">
        <f>152.4*(2/3*10)</f>
        <v>1016</v>
      </c>
      <c r="H1122" s="14">
        <f>31.1*(2/3*10)</f>
        <v>207.33333333333331</v>
      </c>
      <c r="I1122" s="14">
        <f>37.9*(2/3*10)</f>
        <v>252.66666666666663</v>
      </c>
      <c r="K1122">
        <v>1119</v>
      </c>
      <c r="L1122">
        <f t="shared" si="17"/>
        <v>7</v>
      </c>
    </row>
    <row r="1123" spans="1:12" ht="16.5" x14ac:dyDescent="0.2">
      <c r="A1123" s="4" t="s">
        <v>213</v>
      </c>
      <c r="B1123">
        <v>2016</v>
      </c>
      <c r="C1123" s="14">
        <f>313*(2/3*10)</f>
        <v>2086.6666666666665</v>
      </c>
      <c r="D1123" s="14">
        <f>87.8*(2/3*10)</f>
        <v>585.33333333333326</v>
      </c>
      <c r="E1123" s="14">
        <f>156.1*(2/3*10)</f>
        <v>1040.6666666666665</v>
      </c>
      <c r="F1123" s="14">
        <f>56.1*(2/3*10)</f>
        <v>374</v>
      </c>
      <c r="G1123" s="14">
        <f>153.7*(2/3*10)</f>
        <v>1024.6666666666665</v>
      </c>
      <c r="H1123" s="14">
        <f>31.6*(2/3*10)</f>
        <v>210.66666666666666</v>
      </c>
      <c r="I1123" s="14">
        <f>37.9*(2/3*10)</f>
        <v>252.66666666666663</v>
      </c>
      <c r="K1123" s="15">
        <v>1120</v>
      </c>
      <c r="L1123">
        <f t="shared" si="17"/>
        <v>0</v>
      </c>
    </row>
    <row r="1124" spans="1:12" ht="16.5" x14ac:dyDescent="0.2">
      <c r="A1124" s="4" t="s">
        <v>212</v>
      </c>
      <c r="B1124">
        <v>2009</v>
      </c>
      <c r="C1124" s="14">
        <f>358*(2/3*10)</f>
        <v>2386.6666666666665</v>
      </c>
      <c r="D1124" s="14">
        <f>23*(2/3*10)</f>
        <v>153.33333333333331</v>
      </c>
      <c r="E1124" s="14">
        <f>58.2*(2/3*10)</f>
        <v>388</v>
      </c>
      <c r="F1124" s="14">
        <f>25.2*(2/3*10)</f>
        <v>167.99999999999997</v>
      </c>
      <c r="G1124" s="14">
        <f>102.7*(2/3*10)</f>
        <v>684.66666666666663</v>
      </c>
      <c r="H1124" s="14">
        <f>31.7*(2/3*10)</f>
        <v>211.33333333333331</v>
      </c>
      <c r="I1124" s="14">
        <f>41.7*(2/3*10)</f>
        <v>278</v>
      </c>
      <c r="K1124">
        <v>1121</v>
      </c>
      <c r="L1124">
        <f t="shared" si="17"/>
        <v>1</v>
      </c>
    </row>
    <row r="1125" spans="1:12" ht="16.5" x14ac:dyDescent="0.2">
      <c r="A1125" s="4" t="s">
        <v>212</v>
      </c>
      <c r="B1125">
        <v>2010</v>
      </c>
      <c r="C1125" s="14">
        <f>356.9*(2/3*10)</f>
        <v>2379.333333333333</v>
      </c>
      <c r="D1125" s="14">
        <f>22.6*(2/3*10)</f>
        <v>150.66666666666666</v>
      </c>
      <c r="E1125" s="14">
        <f>58*(2/3*10)</f>
        <v>386.66666666666663</v>
      </c>
      <c r="F1125" s="14">
        <f>25.2*(2/3*10)</f>
        <v>167.99999999999997</v>
      </c>
      <c r="G1125" s="14">
        <f>103.8*(2/3*10)</f>
        <v>691.99999999999989</v>
      </c>
      <c r="H1125" s="14">
        <f>32.4*(2/3*10)</f>
        <v>215.99999999999997</v>
      </c>
      <c r="I1125" s="14">
        <f>41.5*(2/3*10)</f>
        <v>276.66666666666663</v>
      </c>
      <c r="K1125">
        <v>1122</v>
      </c>
      <c r="L1125">
        <f t="shared" si="17"/>
        <v>2</v>
      </c>
    </row>
    <row r="1126" spans="1:12" ht="16.5" x14ac:dyDescent="0.2">
      <c r="A1126" s="4" t="s">
        <v>212</v>
      </c>
      <c r="B1126">
        <v>2011</v>
      </c>
      <c r="C1126" s="14">
        <f>356.4*(2/3*10)</f>
        <v>2375.9999999999995</v>
      </c>
      <c r="D1126" s="14">
        <f>22.4*(2/3*10)</f>
        <v>149.33333333333331</v>
      </c>
      <c r="E1126" s="14">
        <f>57.7*(2/3*10)</f>
        <v>384.66666666666663</v>
      </c>
      <c r="F1126" s="14">
        <f>24.9*(2/3*10)</f>
        <v>165.99999999999997</v>
      </c>
      <c r="G1126" s="14">
        <f>105.2*(2/3*10)</f>
        <v>701.33333333333314</v>
      </c>
      <c r="H1126" s="14">
        <f>32.6*(2/3*10)</f>
        <v>217.33333333333331</v>
      </c>
      <c r="I1126" s="14">
        <f>41.4*(2/3*10)</f>
        <v>275.99999999999994</v>
      </c>
      <c r="K1126" s="15">
        <v>1123</v>
      </c>
      <c r="L1126">
        <f t="shared" si="17"/>
        <v>3</v>
      </c>
    </row>
    <row r="1127" spans="1:12" ht="16.5" x14ac:dyDescent="0.2">
      <c r="A1127" s="4" t="s">
        <v>212</v>
      </c>
      <c r="B1127">
        <v>2012</v>
      </c>
      <c r="C1127" s="14">
        <f>355.8*(2/3*10)</f>
        <v>2372</v>
      </c>
      <c r="D1127" s="14">
        <f>22.3*(2/3*10)</f>
        <v>148.66666666666666</v>
      </c>
      <c r="E1127" s="14">
        <f>57.6*(2/3*10)</f>
        <v>384</v>
      </c>
      <c r="F1127" s="14">
        <f>24.7*(2/3*10)</f>
        <v>164.66666666666666</v>
      </c>
      <c r="G1127" s="14">
        <f>106.3*(2/3*10)</f>
        <v>708.66666666666663</v>
      </c>
      <c r="H1127" s="14">
        <f>32.8*(2/3*10)</f>
        <v>218.66666666666663</v>
      </c>
      <c r="I1127" s="14">
        <f>41.2*(2/3*10)</f>
        <v>274.66666666666669</v>
      </c>
      <c r="K1127">
        <v>1124</v>
      </c>
      <c r="L1127">
        <f t="shared" si="17"/>
        <v>4</v>
      </c>
    </row>
    <row r="1128" spans="1:12" ht="16.5" x14ac:dyDescent="0.2">
      <c r="A1128" s="4" t="s">
        <v>212</v>
      </c>
      <c r="B1128">
        <v>2013</v>
      </c>
      <c r="C1128" s="14">
        <f>355.8*(2/3*10)</f>
        <v>2372</v>
      </c>
      <c r="D1128" s="14">
        <f>22.2*(2/3*10)</f>
        <v>147.99999999999997</v>
      </c>
      <c r="E1128" s="14">
        <f>57.5*(2/3*10)</f>
        <v>383.33333333333331</v>
      </c>
      <c r="F1128" s="14">
        <f>24.3*(2/3*10)</f>
        <v>162</v>
      </c>
      <c r="G1128" s="14">
        <f>106.9*(2/3*10)</f>
        <v>712.66666666666663</v>
      </c>
      <c r="H1128" s="14">
        <f>32.8*(2/3*10)</f>
        <v>218.66666666666663</v>
      </c>
      <c r="I1128" s="14">
        <f>41.1*(2/3*10)</f>
        <v>274</v>
      </c>
      <c r="K1128" s="15">
        <v>1125</v>
      </c>
      <c r="L1128">
        <f t="shared" si="17"/>
        <v>5</v>
      </c>
    </row>
    <row r="1129" spans="1:12" ht="16.5" x14ac:dyDescent="0.2">
      <c r="A1129" s="4" t="s">
        <v>212</v>
      </c>
      <c r="B1129">
        <v>2014</v>
      </c>
      <c r="C1129" s="14">
        <f>355.4*(2/3*10)</f>
        <v>2369.333333333333</v>
      </c>
      <c r="D1129" s="14">
        <f>22.1*(2/3*10)</f>
        <v>147.33333333333334</v>
      </c>
      <c r="E1129" s="14">
        <f>57.4*(2/3*10)</f>
        <v>382.66666666666663</v>
      </c>
      <c r="F1129" s="14">
        <f>24*(2/3*10)</f>
        <v>160</v>
      </c>
      <c r="G1129" s="14">
        <f>107.9*(2/3*10)</f>
        <v>719.33333333333326</v>
      </c>
      <c r="H1129" s="14">
        <f>33*(2/3*10)</f>
        <v>219.99999999999997</v>
      </c>
      <c r="I1129" s="14">
        <f>41*(2/3*10)</f>
        <v>273.33333333333331</v>
      </c>
      <c r="K1129">
        <v>1126</v>
      </c>
      <c r="L1129">
        <f t="shared" si="17"/>
        <v>6</v>
      </c>
    </row>
    <row r="1130" spans="1:12" ht="16.5" x14ac:dyDescent="0.2">
      <c r="A1130" s="4" t="s">
        <v>212</v>
      </c>
      <c r="B1130">
        <v>2015</v>
      </c>
      <c r="C1130" s="14">
        <f>354.9*(2/3*10)</f>
        <v>2365.9999999999995</v>
      </c>
      <c r="D1130" s="14">
        <f>22*(2/3*10)</f>
        <v>146.66666666666666</v>
      </c>
      <c r="E1130" s="14">
        <f>57.2*(2/3*10)</f>
        <v>381.33333333333331</v>
      </c>
      <c r="F1130" s="14">
        <f>24*(2/3*10)</f>
        <v>160</v>
      </c>
      <c r="G1130" s="14">
        <f>108.8*(2/3*10)</f>
        <v>725.33333333333337</v>
      </c>
      <c r="H1130" s="14">
        <f>33*(2/3*10)</f>
        <v>219.99999999999997</v>
      </c>
      <c r="I1130" s="14">
        <f>40.8*(2/3*10)</f>
        <v>271.99999999999994</v>
      </c>
      <c r="K1130">
        <v>1127</v>
      </c>
      <c r="L1130">
        <f t="shared" si="17"/>
        <v>7</v>
      </c>
    </row>
    <row r="1131" spans="1:12" ht="16.5" x14ac:dyDescent="0.2">
      <c r="A1131" s="4" t="s">
        <v>212</v>
      </c>
      <c r="B1131">
        <v>2016</v>
      </c>
      <c r="C1131" s="14">
        <f>354.5*(2/3*10)</f>
        <v>2363.333333333333</v>
      </c>
      <c r="D1131" s="14">
        <f>22*(2/3*10)</f>
        <v>146.66666666666666</v>
      </c>
      <c r="E1131" s="14">
        <f>57.1*(2/3*10)</f>
        <v>380.66666666666663</v>
      </c>
      <c r="F1131" s="14">
        <f>23.9*(2/3*10)</f>
        <v>159.33333333333331</v>
      </c>
      <c r="G1131" s="14">
        <f>109.5*(2/3*10)</f>
        <v>729.99999999999989</v>
      </c>
      <c r="H1131" s="14">
        <f>33.2*(2/3*10)</f>
        <v>221.33333333333334</v>
      </c>
      <c r="I1131" s="14">
        <f>41.1*(2/3*10)</f>
        <v>274</v>
      </c>
      <c r="K1131" s="15">
        <v>1128</v>
      </c>
      <c r="L1131">
        <f t="shared" si="17"/>
        <v>0</v>
      </c>
    </row>
    <row r="1132" spans="1:12" ht="16.5" x14ac:dyDescent="0.2">
      <c r="A1132" s="4" t="s">
        <v>211</v>
      </c>
      <c r="B1132">
        <v>2009</v>
      </c>
      <c r="C1132" s="14">
        <f>333.8*(2/3*10)</f>
        <v>2225.333333333333</v>
      </c>
      <c r="D1132" s="14">
        <f>6.7*(2/3*10)</f>
        <v>44.666666666666664</v>
      </c>
      <c r="E1132" s="14">
        <f>34.8*(2/3*10)</f>
        <v>231.99999999999997</v>
      </c>
      <c r="F1132" s="14">
        <f>22.3*(2/3*10)</f>
        <v>148.66666666666666</v>
      </c>
      <c r="G1132" s="14">
        <f>117.6*(2/3*10)</f>
        <v>783.99999999999989</v>
      </c>
      <c r="H1132" s="14">
        <f>33.4*(2/3*10)</f>
        <v>222.66666666666663</v>
      </c>
      <c r="I1132" s="14">
        <f>483*(2/3*10)</f>
        <v>3219.9999999999995</v>
      </c>
      <c r="K1132">
        <v>1129</v>
      </c>
      <c r="L1132">
        <f t="shared" si="17"/>
        <v>1</v>
      </c>
    </row>
    <row r="1133" spans="1:12" ht="16.5" x14ac:dyDescent="0.2">
      <c r="A1133" s="4" t="s">
        <v>211</v>
      </c>
      <c r="B1133">
        <v>2010</v>
      </c>
      <c r="C1133" s="14">
        <f>333.6*(2/3*10)</f>
        <v>2224</v>
      </c>
      <c r="D1133" s="14">
        <f>6.6*(2/3*10)</f>
        <v>43.999999999999993</v>
      </c>
      <c r="E1133" s="14">
        <f>34.2*(2/3*10)</f>
        <v>228</v>
      </c>
      <c r="F1133" s="14">
        <f>22*(2/3*10)</f>
        <v>146.66666666666666</v>
      </c>
      <c r="G1133" s="14">
        <f>121.9*(2/3*10)</f>
        <v>812.66666666666652</v>
      </c>
      <c r="H1133" s="14">
        <f>33.9*(2/3*10)</f>
        <v>225.99999999999997</v>
      </c>
      <c r="I1133" s="14">
        <f>481.9*(2/3*10)</f>
        <v>3212.6666666666661</v>
      </c>
      <c r="K1133" s="15">
        <v>1130</v>
      </c>
      <c r="L1133">
        <f t="shared" si="17"/>
        <v>2</v>
      </c>
    </row>
    <row r="1134" spans="1:12" ht="16.5" x14ac:dyDescent="0.2">
      <c r="A1134" s="4" t="s">
        <v>211</v>
      </c>
      <c r="B1134">
        <v>2011</v>
      </c>
      <c r="C1134" s="14">
        <f>334.2*(2/3*10)</f>
        <v>2227.9999999999995</v>
      </c>
      <c r="D1134" s="14">
        <f>6.5*(2/3*10)</f>
        <v>43.333333333333329</v>
      </c>
      <c r="E1134" s="14">
        <f>34.2*(2/3*10)</f>
        <v>228</v>
      </c>
      <c r="F1134" s="14">
        <f>21.5*(2/3*10)</f>
        <v>143.33333333333331</v>
      </c>
      <c r="G1134" s="14">
        <f>125.6*(2/3*10)</f>
        <v>837.33333333333326</v>
      </c>
      <c r="H1134" s="14">
        <f>34.8*(2/3*10)</f>
        <v>231.99999999999997</v>
      </c>
      <c r="I1134" s="14">
        <f>481.2*(2/3*10)</f>
        <v>3207.9999999999995</v>
      </c>
      <c r="K1134">
        <v>1131</v>
      </c>
      <c r="L1134">
        <f t="shared" si="17"/>
        <v>3</v>
      </c>
    </row>
    <row r="1135" spans="1:12" ht="16.5" x14ac:dyDescent="0.2">
      <c r="A1135" s="4" t="s">
        <v>211</v>
      </c>
      <c r="B1135">
        <v>2012</v>
      </c>
      <c r="C1135" s="14">
        <f>335.2*(2/3*10)</f>
        <v>2234.6666666666665</v>
      </c>
      <c r="D1135" s="14">
        <f>6.2*(2/3*10)</f>
        <v>41.333333333333329</v>
      </c>
      <c r="E1135" s="14">
        <f>34.2*(2/3*10)</f>
        <v>228</v>
      </c>
      <c r="F1135" s="14">
        <f>21.5*(2/3*10)</f>
        <v>143.33333333333331</v>
      </c>
      <c r="G1135" s="14">
        <f>128.8*(2/3*10)</f>
        <v>858.66666666666663</v>
      </c>
      <c r="H1135" s="14">
        <f>35.4*(2/3*10)</f>
        <v>235.99999999999997</v>
      </c>
      <c r="I1135" s="14">
        <f>480.1*(2/3*10)</f>
        <v>3200.6666666666665</v>
      </c>
      <c r="K1135">
        <v>1132</v>
      </c>
      <c r="L1135">
        <f t="shared" si="17"/>
        <v>4</v>
      </c>
    </row>
    <row r="1136" spans="1:12" ht="16.5" x14ac:dyDescent="0.2">
      <c r="A1136" s="4" t="s">
        <v>211</v>
      </c>
      <c r="B1136">
        <v>2013</v>
      </c>
      <c r="C1136" s="14">
        <f>335.2*(2/3*10)</f>
        <v>2234.6666666666665</v>
      </c>
      <c r="D1136" s="14">
        <f>6.5*(2/3*10)</f>
        <v>43.333333333333329</v>
      </c>
      <c r="E1136" s="14">
        <f>34.3*(2/3*10)</f>
        <v>228.66666666666663</v>
      </c>
      <c r="F1136" s="14">
        <f>21.3*(2/3*10)</f>
        <v>142</v>
      </c>
      <c r="G1136" s="14">
        <f>132.4*(2/3*10)</f>
        <v>882.66666666666663</v>
      </c>
      <c r="H1136" s="14">
        <f>35.9*(2/3*10)</f>
        <v>239.33333333333331</v>
      </c>
      <c r="I1136" s="14">
        <f>478.2*(2/3*10)</f>
        <v>3187.9999999999995</v>
      </c>
      <c r="K1136" s="15">
        <v>1133</v>
      </c>
      <c r="L1136">
        <f t="shared" si="17"/>
        <v>5</v>
      </c>
    </row>
    <row r="1137" spans="1:12" ht="16.5" x14ac:dyDescent="0.2">
      <c r="A1137" s="4" t="s">
        <v>211</v>
      </c>
      <c r="B1137">
        <v>2014</v>
      </c>
      <c r="C1137" s="14">
        <f>334.5*(2/3*10)</f>
        <v>2230</v>
      </c>
      <c r="D1137" s="14">
        <f>6.5*(2/3*10)</f>
        <v>43.333333333333329</v>
      </c>
      <c r="E1137" s="14">
        <f>34.2*(2/3*10)</f>
        <v>228</v>
      </c>
      <c r="F1137" s="14">
        <f>21.3*(2/3*10)</f>
        <v>142</v>
      </c>
      <c r="G1137" s="14">
        <f>135.2*(2/3*10)</f>
        <v>901.33333333333314</v>
      </c>
      <c r="H1137" s="14">
        <f>36.5*(2/3*10)</f>
        <v>243.33333333333331</v>
      </c>
      <c r="I1137" s="14">
        <f>477.4*(2/3*10)</f>
        <v>3182.6666666666661</v>
      </c>
      <c r="K1137">
        <v>1134</v>
      </c>
      <c r="L1137">
        <f t="shared" si="17"/>
        <v>6</v>
      </c>
    </row>
    <row r="1138" spans="1:12" ht="16.5" x14ac:dyDescent="0.2">
      <c r="A1138" s="4" t="s">
        <v>211</v>
      </c>
      <c r="B1138">
        <v>2015</v>
      </c>
      <c r="C1138" s="14">
        <f>338.5*(2/3*10)</f>
        <v>2256.6666666666665</v>
      </c>
      <c r="D1138" s="14">
        <f>6.4*(2/3*10)</f>
        <v>42.666666666666664</v>
      </c>
      <c r="E1138" s="14">
        <f>34.1*(2/3*10)</f>
        <v>227.33333333333331</v>
      </c>
      <c r="F1138" s="14">
        <f>21.3*(2/3*10)</f>
        <v>142</v>
      </c>
      <c r="G1138" s="14">
        <f>137.2*(2/3*10)</f>
        <v>914.66666666666674</v>
      </c>
      <c r="H1138" s="14">
        <f>36.7*(2/3*10)</f>
        <v>244.66666666666666</v>
      </c>
      <c r="I1138" s="14">
        <f>476.3*(2/3*10)</f>
        <v>3175.333333333333</v>
      </c>
      <c r="K1138" s="15">
        <v>1135</v>
      </c>
      <c r="L1138">
        <f t="shared" si="17"/>
        <v>7</v>
      </c>
    </row>
    <row r="1139" spans="1:12" ht="16.5" x14ac:dyDescent="0.2">
      <c r="A1139" s="4" t="s">
        <v>211</v>
      </c>
      <c r="B1139">
        <v>2016</v>
      </c>
      <c r="C1139" s="14">
        <f>342.3*(2/3*10)</f>
        <v>2282</v>
      </c>
      <c r="D1139" s="14">
        <f>6.4*(2/3*10)</f>
        <v>42.666666666666664</v>
      </c>
      <c r="E1139" s="14">
        <f>34.1*(2/3*10)</f>
        <v>227.33333333333331</v>
      </c>
      <c r="F1139" s="14">
        <f>21.3*(2/3*10)</f>
        <v>142</v>
      </c>
      <c r="G1139" s="14">
        <f>138.1*(2/3*10)</f>
        <v>920.66666666666652</v>
      </c>
      <c r="H1139" s="14">
        <f>37*(2/3*10)</f>
        <v>246.66666666666666</v>
      </c>
      <c r="I1139" s="14">
        <f>475.4*(2/3*10)</f>
        <v>3169.333333333333</v>
      </c>
      <c r="K1139">
        <v>1136</v>
      </c>
      <c r="L1139">
        <f t="shared" si="17"/>
        <v>0</v>
      </c>
    </row>
    <row r="1140" spans="1:12" ht="16.5" x14ac:dyDescent="0.2">
      <c r="A1140" s="4" t="s">
        <v>210</v>
      </c>
      <c r="B1140">
        <v>2009</v>
      </c>
      <c r="C1140" s="14">
        <f>675.7*(2/3*10)</f>
        <v>4504.666666666667</v>
      </c>
      <c r="D1140" s="14">
        <f>358.7*(2/3*10)</f>
        <v>2391.333333333333</v>
      </c>
      <c r="E1140" s="14">
        <f>334*(2/3*10)</f>
        <v>2226.6666666666665</v>
      </c>
      <c r="F1140" s="14">
        <f>97.2*(2/3*10)</f>
        <v>648</v>
      </c>
      <c r="G1140" s="14">
        <f>232.5*(2/3*10)</f>
        <v>1549.9999999999998</v>
      </c>
      <c r="H1140" s="14">
        <f>73.6*(2/3*10)</f>
        <v>490.66666666666657</v>
      </c>
      <c r="I1140" s="14">
        <f>137.6*(2/3*10)</f>
        <v>917.33333333333326</v>
      </c>
      <c r="K1140">
        <v>1137</v>
      </c>
      <c r="L1140">
        <f t="shared" si="17"/>
        <v>1</v>
      </c>
    </row>
    <row r="1141" spans="1:12" ht="16.5" x14ac:dyDescent="0.2">
      <c r="A1141" s="4" t="s">
        <v>210</v>
      </c>
      <c r="B1141">
        <v>2010</v>
      </c>
      <c r="C1141" s="14">
        <f>673.2*(2/3*10)</f>
        <v>4488</v>
      </c>
      <c r="D1141" s="14">
        <f>356.1*(2/3*10)</f>
        <v>2374</v>
      </c>
      <c r="E1141" s="14">
        <f>333.2*(2/3*10)</f>
        <v>2221.333333333333</v>
      </c>
      <c r="F1141" s="14">
        <f>96.2*(2/3*10)</f>
        <v>641.33333333333326</v>
      </c>
      <c r="G1141" s="14">
        <f>239*(2/3*10)</f>
        <v>1593.3333333333333</v>
      </c>
      <c r="H1141" s="14">
        <f>74.7*(2/3*10)</f>
        <v>498</v>
      </c>
      <c r="I1141" s="14">
        <f>136.6*(2/3*10)</f>
        <v>910.66666666666652</v>
      </c>
      <c r="K1141" s="15">
        <v>1138</v>
      </c>
      <c r="L1141">
        <f t="shared" si="17"/>
        <v>2</v>
      </c>
    </row>
    <row r="1142" spans="1:12" ht="16.5" x14ac:dyDescent="0.2">
      <c r="A1142" s="4" t="s">
        <v>210</v>
      </c>
      <c r="B1142">
        <v>2011</v>
      </c>
      <c r="C1142" s="14">
        <f>671.1*(2/3*10)</f>
        <v>4474</v>
      </c>
      <c r="D1142" s="14">
        <f>354*(2/3*10)</f>
        <v>2360</v>
      </c>
      <c r="E1142" s="14">
        <f>332.5*(2/3*10)</f>
        <v>2216.6666666666665</v>
      </c>
      <c r="F1142" s="14">
        <f>94.8*(2/3*10)</f>
        <v>631.99999999999989</v>
      </c>
      <c r="G1142" s="14">
        <f>244.1*(2/3*10)</f>
        <v>1627.3333333333333</v>
      </c>
      <c r="H1142" s="14">
        <f>76*(2/3*10)</f>
        <v>506.66666666666663</v>
      </c>
      <c r="I1142" s="14">
        <f>133.4*(2/3*10)</f>
        <v>889.33333333333326</v>
      </c>
      <c r="K1142">
        <v>1139</v>
      </c>
      <c r="L1142">
        <f t="shared" si="17"/>
        <v>3</v>
      </c>
    </row>
    <row r="1143" spans="1:12" ht="16.5" x14ac:dyDescent="0.2">
      <c r="A1143" s="4" t="s">
        <v>210</v>
      </c>
      <c r="B1143">
        <v>2012</v>
      </c>
      <c r="C1143" s="14">
        <f>670.3*(2/3*10)</f>
        <v>4468.6666666666661</v>
      </c>
      <c r="D1143" s="14">
        <f>352.4*(2/3*10)</f>
        <v>2349.333333333333</v>
      </c>
      <c r="E1143" s="14">
        <f>332.1*(2/3*10)</f>
        <v>2214</v>
      </c>
      <c r="F1143" s="14">
        <f>93.9*(2/3*10)</f>
        <v>626</v>
      </c>
      <c r="G1143" s="14">
        <f>247.3*(2/3*10)</f>
        <v>1648.6666666666665</v>
      </c>
      <c r="H1143" s="14">
        <f>76.6*(2/3*10)</f>
        <v>510.66666666666657</v>
      </c>
      <c r="I1143" s="14">
        <f>133.1*(2/3*10)</f>
        <v>887.33333333333326</v>
      </c>
      <c r="K1143" s="15">
        <v>1140</v>
      </c>
      <c r="L1143">
        <f t="shared" si="17"/>
        <v>4</v>
      </c>
    </row>
    <row r="1144" spans="1:12" ht="16.5" x14ac:dyDescent="0.2">
      <c r="A1144" s="4" t="s">
        <v>210</v>
      </c>
      <c r="B1144">
        <v>2013</v>
      </c>
      <c r="C1144" s="14">
        <f>670*(2/3*10)</f>
        <v>4466.6666666666661</v>
      </c>
      <c r="D1144" s="14">
        <f>350.8*(2/3*10)</f>
        <v>2338.6666666666665</v>
      </c>
      <c r="E1144" s="14">
        <f>331.3*(2/3*10)</f>
        <v>2208.6666666666665</v>
      </c>
      <c r="F1144" s="14">
        <f>92.6*(2/3*10)</f>
        <v>617.33333333333326</v>
      </c>
      <c r="G1144" s="14">
        <f>250.3*(2/3*10)</f>
        <v>1668.6666666666665</v>
      </c>
      <c r="H1144" s="14">
        <f>77.6*(2/3*10)</f>
        <v>517.33333333333326</v>
      </c>
      <c r="I1144" s="14">
        <f>132.8*(2/3*10)</f>
        <v>885.33333333333337</v>
      </c>
      <c r="K1144">
        <v>1141</v>
      </c>
      <c r="L1144">
        <f t="shared" si="17"/>
        <v>5</v>
      </c>
    </row>
    <row r="1145" spans="1:12" ht="16.5" x14ac:dyDescent="0.2">
      <c r="A1145" s="4" t="s">
        <v>210</v>
      </c>
      <c r="B1145">
        <v>2014</v>
      </c>
      <c r="C1145" s="14">
        <f>669.1*(2/3*10)</f>
        <v>4460.6666666666661</v>
      </c>
      <c r="D1145" s="14">
        <f>349.2*(2/3*10)</f>
        <v>2327.9999999999995</v>
      </c>
      <c r="E1145" s="14">
        <f>330.9*(2/3*10)</f>
        <v>2205.9999999999995</v>
      </c>
      <c r="F1145" s="14">
        <f>92.2*(2/3*10)</f>
        <v>614.66666666666663</v>
      </c>
      <c r="G1145" s="14">
        <f>252.8*(2/3*10)</f>
        <v>1685.333333333333</v>
      </c>
      <c r="H1145" s="14">
        <f>78.3*(2/3*10)</f>
        <v>521.99999999999989</v>
      </c>
      <c r="I1145" s="14">
        <f>132.5*(2/3*10)</f>
        <v>883.33333333333326</v>
      </c>
      <c r="K1145">
        <v>1142</v>
      </c>
      <c r="L1145">
        <f t="shared" si="17"/>
        <v>6</v>
      </c>
    </row>
    <row r="1146" spans="1:12" ht="16.5" x14ac:dyDescent="0.2">
      <c r="A1146" s="4" t="s">
        <v>210</v>
      </c>
      <c r="B1146">
        <v>2015</v>
      </c>
      <c r="C1146" s="14">
        <f>668.1*(2/3*10)</f>
        <v>4454</v>
      </c>
      <c r="D1146" s="14">
        <f>348.2*(2/3*10)</f>
        <v>2321.333333333333</v>
      </c>
      <c r="E1146" s="14">
        <f>330.5*(2/3*10)</f>
        <v>2203.333333333333</v>
      </c>
      <c r="F1146" s="14">
        <f>91.8*(2/3*10)</f>
        <v>611.99999999999989</v>
      </c>
      <c r="G1146" s="14">
        <f>255.2*(2/3*10)</f>
        <v>1701.3333333333333</v>
      </c>
      <c r="H1146" s="14">
        <f>78.8*(2/3*10)</f>
        <v>525.33333333333326</v>
      </c>
      <c r="I1146" s="14">
        <f>132.3*(2/3*10)</f>
        <v>882</v>
      </c>
      <c r="K1146" s="15">
        <v>1143</v>
      </c>
      <c r="L1146">
        <f t="shared" si="17"/>
        <v>7</v>
      </c>
    </row>
    <row r="1147" spans="1:12" ht="16.5" x14ac:dyDescent="0.2">
      <c r="A1147" s="4" t="s">
        <v>210</v>
      </c>
      <c r="B1147">
        <v>2016</v>
      </c>
      <c r="C1147" s="14">
        <f>668.4*(2/3*10)</f>
        <v>4455.9999999999991</v>
      </c>
      <c r="D1147" s="14">
        <f>346.4*(2/3*10)</f>
        <v>2309.333333333333</v>
      </c>
      <c r="E1147" s="14">
        <f>330.1*(2/3*10)</f>
        <v>2200.6666666666665</v>
      </c>
      <c r="F1147" s="14">
        <f>91.4*(2/3*10)</f>
        <v>609.33333333333337</v>
      </c>
      <c r="G1147" s="14">
        <f>256.9*(2/3*10)</f>
        <v>1712.6666666666663</v>
      </c>
      <c r="H1147" s="14">
        <f>79.5*(2/3*10)</f>
        <v>530</v>
      </c>
      <c r="I1147" s="14">
        <f>132.1*(2/3*10)</f>
        <v>880.66666666666652</v>
      </c>
      <c r="K1147">
        <v>1144</v>
      </c>
      <c r="L1147">
        <f t="shared" si="17"/>
        <v>0</v>
      </c>
    </row>
    <row r="1148" spans="1:12" ht="16.5" x14ac:dyDescent="0.2">
      <c r="A1148" s="4" t="s">
        <v>209</v>
      </c>
      <c r="B1148">
        <v>2009</v>
      </c>
      <c r="C1148" s="14">
        <f>1202.2*(2/3*10)</f>
        <v>8014.6666666666661</v>
      </c>
      <c r="D1148" s="14">
        <f>91*(2/3*10)</f>
        <v>606.66666666666663</v>
      </c>
      <c r="E1148" s="14">
        <f>184.2*(2/3*10)</f>
        <v>1227.9999999999998</v>
      </c>
      <c r="F1148" s="14">
        <f>87.5*(2/3*10)</f>
        <v>583.33333333333326</v>
      </c>
      <c r="G1148" s="14">
        <f>358.8*(2/3*10)</f>
        <v>2391.9999999999995</v>
      </c>
      <c r="H1148" s="14">
        <f>91.3*(2/3*10)</f>
        <v>608.66666666666663</v>
      </c>
      <c r="I1148" s="14">
        <f>231*(2/3*10)</f>
        <v>1539.9999999999998</v>
      </c>
      <c r="K1148" s="15">
        <v>1145</v>
      </c>
      <c r="L1148">
        <f t="shared" si="17"/>
        <v>1</v>
      </c>
    </row>
    <row r="1149" spans="1:12" ht="16.5" x14ac:dyDescent="0.2">
      <c r="A1149" s="4" t="s">
        <v>209</v>
      </c>
      <c r="B1149">
        <v>2010</v>
      </c>
      <c r="C1149" s="14">
        <f>1201.2*(2/3*10)</f>
        <v>8008</v>
      </c>
      <c r="D1149" s="14">
        <f>89.8*(2/3*10)</f>
        <v>598.66666666666663</v>
      </c>
      <c r="E1149" s="14">
        <f>183.4*(2/3*10)</f>
        <v>1222.6666666666665</v>
      </c>
      <c r="F1149" s="14">
        <f>86*(2/3*10)</f>
        <v>573.33333333333326</v>
      </c>
      <c r="G1149" s="14">
        <f>362.1*(2/3*10)</f>
        <v>2414</v>
      </c>
      <c r="H1149" s="14">
        <f>92.6*(2/3*10)</f>
        <v>617.33333333333326</v>
      </c>
      <c r="I1149" s="14">
        <f>230.7*(2/3*10)</f>
        <v>1537.9999999999998</v>
      </c>
      <c r="K1149">
        <v>1146</v>
      </c>
      <c r="L1149">
        <f t="shared" si="17"/>
        <v>2</v>
      </c>
    </row>
    <row r="1150" spans="1:12" ht="16.5" x14ac:dyDescent="0.2">
      <c r="A1150" s="4" t="s">
        <v>209</v>
      </c>
      <c r="B1150">
        <v>2011</v>
      </c>
      <c r="C1150" s="14">
        <f>1199.8*(2/3*10)</f>
        <v>7998.6666666666661</v>
      </c>
      <c r="D1150" s="14">
        <f>89.1*(2/3*10)</f>
        <v>593.99999999999989</v>
      </c>
      <c r="E1150" s="14">
        <f>182.6*(2/3*10)</f>
        <v>1217.3333333333333</v>
      </c>
      <c r="F1150" s="14">
        <f>85*(2/3*10)</f>
        <v>566.66666666666663</v>
      </c>
      <c r="G1150" s="14">
        <f>365*(2/3*10)</f>
        <v>2433.333333333333</v>
      </c>
      <c r="H1150" s="14">
        <f>92.8*(2/3*10)</f>
        <v>618.66666666666663</v>
      </c>
      <c r="I1150" s="14">
        <f>230*(2/3*10)</f>
        <v>1533.3333333333333</v>
      </c>
      <c r="K1150">
        <v>1147</v>
      </c>
      <c r="L1150">
        <f t="shared" si="17"/>
        <v>3</v>
      </c>
    </row>
    <row r="1151" spans="1:12" ht="16.5" x14ac:dyDescent="0.2">
      <c r="A1151" s="4" t="s">
        <v>209</v>
      </c>
      <c r="B1151">
        <v>2012</v>
      </c>
      <c r="C1151" s="14">
        <f>1197.5*(2/3*10)</f>
        <v>7983.333333333333</v>
      </c>
      <c r="D1151" s="14">
        <f>88.7*(2/3*10)</f>
        <v>591.33333333333326</v>
      </c>
      <c r="E1151" s="14">
        <f>182.1*(2/3*10)</f>
        <v>1213.9999999999998</v>
      </c>
      <c r="F1151" s="14">
        <f>83.9*(2/3*10)</f>
        <v>559.33333333333337</v>
      </c>
      <c r="G1151" s="14">
        <f>368.6*(2/3*10)</f>
        <v>2457.3333333333335</v>
      </c>
      <c r="H1151" s="14">
        <f>93.6*(2/3*10)</f>
        <v>623.99999999999989</v>
      </c>
      <c r="I1151" s="14">
        <f>229.6*(2/3*10)</f>
        <v>1530.6666666666665</v>
      </c>
      <c r="K1151" s="15">
        <v>1148</v>
      </c>
      <c r="L1151">
        <f t="shared" si="17"/>
        <v>4</v>
      </c>
    </row>
    <row r="1152" spans="1:12" ht="16.5" x14ac:dyDescent="0.2">
      <c r="A1152" s="4" t="s">
        <v>209</v>
      </c>
      <c r="B1152">
        <v>2013</v>
      </c>
      <c r="C1152" s="14">
        <f>1196*(2/3*10)</f>
        <v>7973.333333333333</v>
      </c>
      <c r="D1152" s="14">
        <f>88.5*(2/3*10)</f>
        <v>590</v>
      </c>
      <c r="E1152" s="14">
        <f>181.7*(2/3*10)</f>
        <v>1211.3333333333333</v>
      </c>
      <c r="F1152" s="14">
        <f>82.6*(2/3*10)</f>
        <v>550.66666666666663</v>
      </c>
      <c r="G1152" s="14">
        <f>371.3*(2/3*10)</f>
        <v>2475.3333333333335</v>
      </c>
      <c r="H1152" s="14">
        <f>93.9*(2/3*10)</f>
        <v>626</v>
      </c>
      <c r="I1152" s="14">
        <f>229.8*(2/3*10)</f>
        <v>1532</v>
      </c>
      <c r="K1152">
        <v>1149</v>
      </c>
      <c r="L1152">
        <f t="shared" ref="L1152:L1215" si="18">MOD(K1152,8)</f>
        <v>5</v>
      </c>
    </row>
    <row r="1153" spans="1:12" ht="16.5" x14ac:dyDescent="0.2">
      <c r="A1153" s="4" t="s">
        <v>209</v>
      </c>
      <c r="B1153">
        <v>2014</v>
      </c>
      <c r="C1153" s="14">
        <f>1193.8*(2/3*10)</f>
        <v>7958.6666666666661</v>
      </c>
      <c r="D1153" s="14">
        <f>87.8*(2/3*10)</f>
        <v>585.33333333333326</v>
      </c>
      <c r="E1153" s="14">
        <f>181.2*(2/3*10)</f>
        <v>1207.9999999999998</v>
      </c>
      <c r="F1153" s="14">
        <f>81.6*(2/3*10)</f>
        <v>543.99999999999989</v>
      </c>
      <c r="G1153" s="14">
        <f>374.3*(2/3*10)</f>
        <v>2495.333333333333</v>
      </c>
      <c r="H1153" s="14">
        <f>94.5*(2/3*10)</f>
        <v>630</v>
      </c>
      <c r="I1153" s="14">
        <f>229.5*(2/3*10)</f>
        <v>1529.9999999999998</v>
      </c>
      <c r="K1153" s="15">
        <v>1150</v>
      </c>
      <c r="L1153">
        <f t="shared" si="18"/>
        <v>6</v>
      </c>
    </row>
    <row r="1154" spans="1:12" ht="16.5" x14ac:dyDescent="0.2">
      <c r="A1154" s="4" t="s">
        <v>209</v>
      </c>
      <c r="B1154">
        <v>2015</v>
      </c>
      <c r="C1154" s="14">
        <f>1192.1*(2/3*10)</f>
        <v>7947.3333333333321</v>
      </c>
      <c r="D1154" s="14">
        <f>87.3*(2/3*10)</f>
        <v>581.99999999999989</v>
      </c>
      <c r="E1154" s="14">
        <f>180.9*(2/3*10)</f>
        <v>1206</v>
      </c>
      <c r="F1154" s="14">
        <f>81.2*(2/3*10)</f>
        <v>541.33333333333326</v>
      </c>
      <c r="G1154" s="14">
        <f>376.5*(2/3*10)</f>
        <v>2510</v>
      </c>
      <c r="H1154" s="14">
        <f>95*(2/3*10)</f>
        <v>633.33333333333326</v>
      </c>
      <c r="I1154" s="14">
        <f>229.7*(2/3*10)</f>
        <v>1531.333333333333</v>
      </c>
      <c r="K1154">
        <v>1151</v>
      </c>
      <c r="L1154">
        <f t="shared" si="18"/>
        <v>7</v>
      </c>
    </row>
    <row r="1155" spans="1:12" ht="16.5" x14ac:dyDescent="0.2">
      <c r="A1155" s="4" t="s">
        <v>209</v>
      </c>
      <c r="B1155">
        <v>2016</v>
      </c>
      <c r="C1155" s="14">
        <f>1192.2*(2/3*10)</f>
        <v>7948</v>
      </c>
      <c r="D1155" s="14">
        <f>87.1*(2/3*10)</f>
        <v>580.66666666666663</v>
      </c>
      <c r="E1155" s="14">
        <f>180.5*(2/3*10)</f>
        <v>1203.3333333333333</v>
      </c>
      <c r="F1155" s="14">
        <f>79.1*(2/3*10)</f>
        <v>527.33333333333326</v>
      </c>
      <c r="G1155" s="14">
        <f>378.6*(2/3*10)</f>
        <v>2524</v>
      </c>
      <c r="H1155" s="14">
        <f>96*(2/3*10)</f>
        <v>640</v>
      </c>
      <c r="I1155" s="14">
        <f>229.4*(2/3*10)</f>
        <v>1529.3333333333333</v>
      </c>
      <c r="K1155">
        <v>1152</v>
      </c>
      <c r="L1155">
        <f t="shared" si="18"/>
        <v>0</v>
      </c>
    </row>
    <row r="1156" spans="1:12" ht="16.5" x14ac:dyDescent="0.2">
      <c r="A1156" s="4" t="s">
        <v>208</v>
      </c>
      <c r="B1156">
        <v>2009</v>
      </c>
      <c r="C1156" s="14">
        <f>917.7*(2/3*10)</f>
        <v>6118</v>
      </c>
      <c r="D1156" s="14">
        <f>14.8*(2/3*10)</f>
        <v>98.666666666666657</v>
      </c>
      <c r="E1156" s="14">
        <f>96.7*(2/3*10)</f>
        <v>644.66666666666663</v>
      </c>
      <c r="F1156" s="14">
        <f>11.3*(2/3*10)</f>
        <v>75.333333333333329</v>
      </c>
      <c r="G1156" s="14">
        <f>217.7*(2/3*10)</f>
        <v>1451.3333333333333</v>
      </c>
      <c r="H1156" s="14">
        <f>66*(2/3*10)</f>
        <v>439.99999999999994</v>
      </c>
      <c r="I1156" s="14">
        <f>290.1*(2/3*10)</f>
        <v>1934</v>
      </c>
      <c r="K1156" s="15">
        <v>1153</v>
      </c>
      <c r="L1156">
        <f t="shared" si="18"/>
        <v>1</v>
      </c>
    </row>
    <row r="1157" spans="1:12" ht="16.5" x14ac:dyDescent="0.2">
      <c r="A1157" s="4" t="s">
        <v>208</v>
      </c>
      <c r="B1157">
        <v>2010</v>
      </c>
      <c r="C1157" s="14">
        <f>917*(2/3*10)</f>
        <v>6113.333333333333</v>
      </c>
      <c r="D1157" s="14">
        <f>14.6*(2/3*10)</f>
        <v>97.333333333333329</v>
      </c>
      <c r="E1157" s="14">
        <f>93.8*(2/3*10)</f>
        <v>625.33333333333326</v>
      </c>
      <c r="F1157" s="14">
        <f>11.2*(2/3*10)</f>
        <v>74.666666666666657</v>
      </c>
      <c r="G1157" s="14">
        <f>221.3*(2/3*10)</f>
        <v>1475.3333333333333</v>
      </c>
      <c r="H1157" s="14">
        <f>66.9*(2/3*10)</f>
        <v>446</v>
      </c>
      <c r="I1157" s="14">
        <f>288.9*(2/3*10)</f>
        <v>1925.9999999999998</v>
      </c>
      <c r="K1157">
        <v>1154</v>
      </c>
      <c r="L1157">
        <f t="shared" si="18"/>
        <v>2</v>
      </c>
    </row>
    <row r="1158" spans="1:12" ht="16.5" x14ac:dyDescent="0.2">
      <c r="A1158" s="4" t="s">
        <v>208</v>
      </c>
      <c r="B1158">
        <v>2011</v>
      </c>
      <c r="C1158" s="14">
        <f>916.5*(2/3*10)</f>
        <v>6109.9999999999991</v>
      </c>
      <c r="D1158" s="14">
        <f>14.4*(2/3*10)</f>
        <v>96</v>
      </c>
      <c r="E1158" s="14">
        <f>93*(2/3*10)</f>
        <v>620</v>
      </c>
      <c r="F1158" s="14">
        <f>11.2*(2/3*10)</f>
        <v>74.666666666666657</v>
      </c>
      <c r="G1158" s="14">
        <f>222.5*(2/3*10)</f>
        <v>1483.333333333333</v>
      </c>
      <c r="H1158" s="14">
        <f>67*(2/3*10)</f>
        <v>446.66666666666663</v>
      </c>
      <c r="I1158" s="14">
        <f>288.7*(2/3*10)</f>
        <v>1924.6666666666665</v>
      </c>
      <c r="K1158" s="15">
        <v>1155</v>
      </c>
      <c r="L1158">
        <f t="shared" si="18"/>
        <v>3</v>
      </c>
    </row>
    <row r="1159" spans="1:12" ht="16.5" x14ac:dyDescent="0.2">
      <c r="A1159" s="4" t="s">
        <v>208</v>
      </c>
      <c r="B1159">
        <v>2012</v>
      </c>
      <c r="C1159" s="14">
        <f>914.7*(2/3*10)</f>
        <v>6098</v>
      </c>
      <c r="D1159" s="14">
        <f>14.1*(2/3*10)</f>
        <v>93.999999999999986</v>
      </c>
      <c r="E1159" s="14">
        <f>92.2*(2/3*10)</f>
        <v>614.66666666666663</v>
      </c>
      <c r="F1159" s="14">
        <f>11.1*(2/3*10)</f>
        <v>73.999999999999986</v>
      </c>
      <c r="G1159" s="14">
        <f>224.9*(2/3*10)</f>
        <v>1499.3333333333333</v>
      </c>
      <c r="H1159" s="14">
        <f>67.7*(2/3*10)</f>
        <v>451.33333333333331</v>
      </c>
      <c r="I1159" s="14">
        <f>288.3*(2/3*10)</f>
        <v>1922</v>
      </c>
      <c r="K1159">
        <v>1156</v>
      </c>
      <c r="L1159">
        <f t="shared" si="18"/>
        <v>4</v>
      </c>
    </row>
    <row r="1160" spans="1:12" ht="16.5" x14ac:dyDescent="0.2">
      <c r="A1160" s="4" t="s">
        <v>208</v>
      </c>
      <c r="B1160">
        <v>2013</v>
      </c>
      <c r="C1160" s="14">
        <f>913.9*(2/3*10)</f>
        <v>6092.6666666666661</v>
      </c>
      <c r="D1160" s="14">
        <f>14.1*(2/3*10)</f>
        <v>93.999999999999986</v>
      </c>
      <c r="E1160" s="14">
        <f>91.5*(2/3*10)</f>
        <v>610</v>
      </c>
      <c r="F1160" s="14">
        <f>11.1*(2/3*10)</f>
        <v>73.999999999999986</v>
      </c>
      <c r="G1160" s="14">
        <f>225.5*(2/3*10)</f>
        <v>1503.333333333333</v>
      </c>
      <c r="H1160" s="14">
        <f>67.9*(2/3*10)</f>
        <v>452.66666666666669</v>
      </c>
      <c r="I1160" s="14">
        <f>288.2*(2/3*10)</f>
        <v>1921.333333333333</v>
      </c>
      <c r="K1160">
        <v>1157</v>
      </c>
      <c r="L1160">
        <f t="shared" si="18"/>
        <v>5</v>
      </c>
    </row>
    <row r="1161" spans="1:12" ht="16.5" x14ac:dyDescent="0.2">
      <c r="A1161" s="4" t="s">
        <v>208</v>
      </c>
      <c r="B1161">
        <v>2014</v>
      </c>
      <c r="C1161" s="14">
        <f>911.7*(2/3*10)</f>
        <v>6078</v>
      </c>
      <c r="D1161" s="14">
        <f>14.1*(2/3*10)</f>
        <v>93.999999999999986</v>
      </c>
      <c r="E1161" s="14">
        <f>90.7*(2/3*10)</f>
        <v>604.66666666666663</v>
      </c>
      <c r="F1161" s="14">
        <f>10.8*(2/3*10)</f>
        <v>72</v>
      </c>
      <c r="G1161" s="14">
        <f>227.5*(2/3*10)</f>
        <v>1516.6666666666663</v>
      </c>
      <c r="H1161" s="14">
        <f>68.6*(2/3*10)</f>
        <v>457.33333333333326</v>
      </c>
      <c r="I1161" s="14">
        <f>287.7*(2/3*10)</f>
        <v>1917.9999999999998</v>
      </c>
      <c r="K1161" s="15">
        <v>1158</v>
      </c>
      <c r="L1161">
        <f t="shared" si="18"/>
        <v>6</v>
      </c>
    </row>
    <row r="1162" spans="1:12" ht="16.5" x14ac:dyDescent="0.2">
      <c r="A1162" s="4" t="s">
        <v>208</v>
      </c>
      <c r="B1162">
        <v>2015</v>
      </c>
      <c r="C1162" s="14">
        <f>909.5*(2/3*10)</f>
        <v>6063.333333333333</v>
      </c>
      <c r="D1162" s="14">
        <f>14*(2/3*10)</f>
        <v>93.333333333333329</v>
      </c>
      <c r="E1162" s="14">
        <f>90.4*(2/3*10)</f>
        <v>602.66666666666663</v>
      </c>
      <c r="F1162" s="14">
        <f>10.9*(2/3*10)</f>
        <v>72.666666666666657</v>
      </c>
      <c r="G1162" s="14">
        <f>230.1*(2/3*10)</f>
        <v>1533.9999999999998</v>
      </c>
      <c r="H1162" s="14">
        <f>69.2*(2/3*10)</f>
        <v>461.33333333333331</v>
      </c>
      <c r="I1162" s="14">
        <f>286.7*(2/3*10)</f>
        <v>1911.333333333333</v>
      </c>
      <c r="K1162">
        <v>1159</v>
      </c>
      <c r="L1162">
        <f t="shared" si="18"/>
        <v>7</v>
      </c>
    </row>
    <row r="1163" spans="1:12" ht="16.5" x14ac:dyDescent="0.2">
      <c r="A1163" s="4" t="s">
        <v>208</v>
      </c>
      <c r="B1163">
        <v>2016</v>
      </c>
      <c r="C1163" s="14">
        <f>907.9*(2/3*10)</f>
        <v>6052.6666666666661</v>
      </c>
      <c r="D1163" s="14">
        <f>14*(2/3*10)</f>
        <v>93.333333333333329</v>
      </c>
      <c r="E1163" s="14">
        <f>89.9*(2/3*10)</f>
        <v>599.33333333333337</v>
      </c>
      <c r="F1163" s="14">
        <f>10.9*(2/3*10)</f>
        <v>72.666666666666657</v>
      </c>
      <c r="G1163" s="14">
        <f>232*(2/3*10)</f>
        <v>1546.6666666666665</v>
      </c>
      <c r="H1163" s="14">
        <f>69.5*(2/3*10)</f>
        <v>463.33333333333331</v>
      </c>
      <c r="I1163" s="14">
        <f>286.2*(2/3*10)</f>
        <v>1907.9999999999998</v>
      </c>
      <c r="K1163" s="15">
        <v>1160</v>
      </c>
      <c r="L1163">
        <f t="shared" si="18"/>
        <v>0</v>
      </c>
    </row>
    <row r="1164" spans="1:12" ht="16.5" x14ac:dyDescent="0.2">
      <c r="A1164" s="4" t="s">
        <v>207</v>
      </c>
      <c r="B1164">
        <v>2009</v>
      </c>
      <c r="C1164" s="14">
        <f>547.3*(2/3*10)</f>
        <v>3648.6666666666661</v>
      </c>
      <c r="D1164" s="14">
        <f>62.2*(2/3*10)</f>
        <v>414.66666666666663</v>
      </c>
      <c r="E1164" s="14">
        <f>170.8*(2/3*10)</f>
        <v>1138.6666666666667</v>
      </c>
      <c r="F1164" s="14">
        <f>34.3*(2/3*10)</f>
        <v>228.66666666666663</v>
      </c>
      <c r="G1164" s="14">
        <f>155.1*(2/3*10)</f>
        <v>1033.9999999999998</v>
      </c>
      <c r="H1164" s="14">
        <f>41.8*(2/3*10)</f>
        <v>278.66666666666663</v>
      </c>
      <c r="I1164" s="14">
        <f>89.7*(2/3*10)</f>
        <v>598</v>
      </c>
      <c r="K1164">
        <v>1161</v>
      </c>
      <c r="L1164">
        <f t="shared" si="18"/>
        <v>1</v>
      </c>
    </row>
    <row r="1165" spans="1:12" ht="16.5" x14ac:dyDescent="0.2">
      <c r="A1165" s="4" t="s">
        <v>207</v>
      </c>
      <c r="B1165">
        <v>2010</v>
      </c>
      <c r="C1165" s="14">
        <f>547.3*(2/3*10)</f>
        <v>3648.6666666666661</v>
      </c>
      <c r="D1165" s="14">
        <f>61.7*(2/3*10)</f>
        <v>411.33333333333331</v>
      </c>
      <c r="E1165" s="14">
        <f>169.1*(2/3*10)</f>
        <v>1127.3333333333333</v>
      </c>
      <c r="F1165" s="14">
        <f>34.1*(2/3*10)</f>
        <v>227.33333333333331</v>
      </c>
      <c r="G1165" s="14">
        <f>157.5*(2/3*10)</f>
        <v>1050</v>
      </c>
      <c r="H1165" s="14">
        <f>42.2*(2/3*10)</f>
        <v>281.33333333333331</v>
      </c>
      <c r="I1165" s="14">
        <f>89.5*(2/3*10)</f>
        <v>596.66666666666663</v>
      </c>
      <c r="K1165">
        <v>1162</v>
      </c>
      <c r="L1165">
        <f t="shared" si="18"/>
        <v>2</v>
      </c>
    </row>
    <row r="1166" spans="1:12" ht="16.5" x14ac:dyDescent="0.2">
      <c r="A1166" s="4" t="s">
        <v>207</v>
      </c>
      <c r="B1166">
        <v>2011</v>
      </c>
      <c r="C1166" s="14">
        <f>547.6*(2/3*10)</f>
        <v>3650.6666666666665</v>
      </c>
      <c r="D1166" s="14">
        <f>61.2*(2/3*10)</f>
        <v>408</v>
      </c>
      <c r="E1166" s="14">
        <f>167.8*(2/3*10)</f>
        <v>1118.6666666666667</v>
      </c>
      <c r="F1166" s="14">
        <f>34.1*(2/3*10)</f>
        <v>227.33333333333331</v>
      </c>
      <c r="G1166" s="14">
        <f>159.2*(2/3*10)</f>
        <v>1061.3333333333333</v>
      </c>
      <c r="H1166" s="14">
        <f>42.4*(2/3*10)</f>
        <v>282.66666666666663</v>
      </c>
      <c r="I1166" s="14">
        <f>89.3*(2/3*10)</f>
        <v>595.33333333333326</v>
      </c>
      <c r="K1166" s="15">
        <v>1163</v>
      </c>
      <c r="L1166">
        <f t="shared" si="18"/>
        <v>3</v>
      </c>
    </row>
    <row r="1167" spans="1:12" ht="16.5" x14ac:dyDescent="0.2">
      <c r="A1167" s="4" t="s">
        <v>207</v>
      </c>
      <c r="B1167">
        <v>2012</v>
      </c>
      <c r="C1167" s="14">
        <f>547.1*(2/3*10)</f>
        <v>3647.333333333333</v>
      </c>
      <c r="D1167" s="14">
        <f>60.8*(2/3*10)</f>
        <v>405.33333333333326</v>
      </c>
      <c r="E1167" s="14">
        <f>166.9*(2/3*10)</f>
        <v>1112.6666666666665</v>
      </c>
      <c r="F1167" s="14">
        <f>33.9*(2/3*10)</f>
        <v>225.99999999999997</v>
      </c>
      <c r="G1167" s="14">
        <f>161.2*(2/3*10)</f>
        <v>1074.6666666666665</v>
      </c>
      <c r="H1167" s="14">
        <f>42.9*(2/3*10)</f>
        <v>285.99999999999994</v>
      </c>
      <c r="I1167" s="14">
        <f>89.1*(2/3*10)</f>
        <v>593.99999999999989</v>
      </c>
      <c r="K1167">
        <v>1164</v>
      </c>
      <c r="L1167">
        <f t="shared" si="18"/>
        <v>4</v>
      </c>
    </row>
    <row r="1168" spans="1:12" ht="16.5" x14ac:dyDescent="0.2">
      <c r="A1168" s="4" t="s">
        <v>207</v>
      </c>
      <c r="B1168">
        <v>2013</v>
      </c>
      <c r="C1168" s="14">
        <f>546.8*(2/3*10)</f>
        <v>3645.3333333333326</v>
      </c>
      <c r="D1168" s="14">
        <f>60.6*(2/3*10)</f>
        <v>404</v>
      </c>
      <c r="E1168" s="14">
        <f>166.1*(2/3*10)</f>
        <v>1107.3333333333333</v>
      </c>
      <c r="F1168" s="14">
        <f>33.6*(2/3*10)</f>
        <v>224</v>
      </c>
      <c r="G1168" s="14">
        <f>162.3*(2/3*10)</f>
        <v>1082</v>
      </c>
      <c r="H1168" s="14">
        <f>43.5*(2/3*10)</f>
        <v>290</v>
      </c>
      <c r="I1168" s="14">
        <f>89*(2/3*10)</f>
        <v>593.33333333333326</v>
      </c>
      <c r="K1168" s="15">
        <v>1165</v>
      </c>
      <c r="L1168">
        <f t="shared" si="18"/>
        <v>5</v>
      </c>
    </row>
    <row r="1169" spans="1:12" ht="16.5" x14ac:dyDescent="0.2">
      <c r="A1169" s="4" t="s">
        <v>207</v>
      </c>
      <c r="B1169">
        <v>2014</v>
      </c>
      <c r="C1169" s="14">
        <f>546.2*(2/3*10)</f>
        <v>3641.3333333333335</v>
      </c>
      <c r="D1169" s="14">
        <f>60.1*(2/3*10)</f>
        <v>400.66666666666663</v>
      </c>
      <c r="E1169" s="14">
        <f>165.5*(2/3*10)</f>
        <v>1103.3333333333333</v>
      </c>
      <c r="F1169" s="14">
        <f>33.4*(2/3*10)</f>
        <v>222.66666666666663</v>
      </c>
      <c r="G1169" s="14">
        <f>164*(2/3*10)</f>
        <v>1093.3333333333333</v>
      </c>
      <c r="H1169" s="14">
        <f>43.8*(2/3*10)</f>
        <v>291.99999999999994</v>
      </c>
      <c r="I1169" s="14">
        <f>88.8*(2/3*10)</f>
        <v>591.99999999999989</v>
      </c>
      <c r="K1169">
        <v>1166</v>
      </c>
      <c r="L1169">
        <f t="shared" si="18"/>
        <v>6</v>
      </c>
    </row>
    <row r="1170" spans="1:12" ht="16.5" x14ac:dyDescent="0.2">
      <c r="A1170" s="4" t="s">
        <v>207</v>
      </c>
      <c r="B1170">
        <v>2015</v>
      </c>
      <c r="C1170" s="14">
        <f>546*(2/3*10)</f>
        <v>3639.9999999999995</v>
      </c>
      <c r="D1170" s="14">
        <f>59.9*(2/3*10)</f>
        <v>399.33333333333331</v>
      </c>
      <c r="E1170" s="14">
        <f>164.5*(2/3*10)</f>
        <v>1096.6666666666665</v>
      </c>
      <c r="F1170" s="14">
        <f>33.3*(2/3*10)</f>
        <v>221.99999999999997</v>
      </c>
      <c r="G1170" s="14">
        <f>165.8*(2/3*10)</f>
        <v>1105.3333333333333</v>
      </c>
      <c r="H1170" s="14">
        <f>43.9*(2/3*10)</f>
        <v>292.66666666666663</v>
      </c>
      <c r="I1170" s="14">
        <f>88.7*(2/3*10)</f>
        <v>591.33333333333326</v>
      </c>
      <c r="K1170">
        <v>1167</v>
      </c>
      <c r="L1170">
        <f t="shared" si="18"/>
        <v>7</v>
      </c>
    </row>
    <row r="1171" spans="1:12" ht="16.5" x14ac:dyDescent="0.2">
      <c r="A1171" s="4" t="s">
        <v>207</v>
      </c>
      <c r="B1171">
        <v>2016</v>
      </c>
      <c r="C1171" s="14">
        <f>546*(2/3*10)</f>
        <v>3639.9999999999995</v>
      </c>
      <c r="D1171" s="14">
        <f>59.5*(2/3*10)</f>
        <v>396.66666666666663</v>
      </c>
      <c r="E1171" s="14">
        <f>163.7*(2/3*10)</f>
        <v>1091.3333333333333</v>
      </c>
      <c r="F1171" s="14">
        <f>33.2*(2/3*10)</f>
        <v>221.33333333333334</v>
      </c>
      <c r="G1171" s="14">
        <f>166.6*(2/3*10)</f>
        <v>1110.6666666666665</v>
      </c>
      <c r="H1171" s="14">
        <f>44.3*(2/3*10)</f>
        <v>295.33333333333331</v>
      </c>
      <c r="I1171" s="14">
        <f>88.5*(2/3*10)</f>
        <v>590</v>
      </c>
      <c r="K1171" s="15">
        <v>1168</v>
      </c>
      <c r="L1171">
        <f t="shared" si="18"/>
        <v>0</v>
      </c>
    </row>
    <row r="1172" spans="1:12" ht="16.5" x14ac:dyDescent="0.2">
      <c r="A1172" s="4" t="s">
        <v>206</v>
      </c>
      <c r="B1172">
        <v>2009</v>
      </c>
      <c r="C1172" s="14">
        <f>295.5*(2/3*10)</f>
        <v>1969.9999999999998</v>
      </c>
      <c r="D1172" s="14">
        <f>55.2*(2/3*10)</f>
        <v>368</v>
      </c>
      <c r="E1172" s="14">
        <f>164.2*(2/3*10)</f>
        <v>1094.6666666666665</v>
      </c>
      <c r="F1172" s="14">
        <f>27.7*(2/3*10)</f>
        <v>184.66666666666666</v>
      </c>
      <c r="G1172" s="14">
        <f>104.1*(2/3*10)</f>
        <v>693.99999999999989</v>
      </c>
      <c r="H1172" s="14">
        <f>36.4*(2/3*10)</f>
        <v>242.66666666666663</v>
      </c>
      <c r="I1172" s="14">
        <f>91.9*(2/3*10)</f>
        <v>612.66666666666663</v>
      </c>
      <c r="K1172">
        <v>1169</v>
      </c>
      <c r="L1172">
        <f t="shared" si="18"/>
        <v>1</v>
      </c>
    </row>
    <row r="1173" spans="1:12" ht="16.5" x14ac:dyDescent="0.2">
      <c r="A1173" s="4" t="s">
        <v>206</v>
      </c>
      <c r="B1173">
        <v>2010</v>
      </c>
      <c r="C1173" s="14">
        <f>295.1*(2/3*10)</f>
        <v>1967.3333333333333</v>
      </c>
      <c r="D1173" s="14">
        <f>55*(2/3*10)</f>
        <v>366.66666666666663</v>
      </c>
      <c r="E1173" s="14">
        <f>163.9*(2/3*10)</f>
        <v>1092.6666666666665</v>
      </c>
      <c r="F1173" s="14">
        <f>26.8*(2/3*10)</f>
        <v>178.66666666666666</v>
      </c>
      <c r="G1173" s="14">
        <f>106.2*(2/3*10)</f>
        <v>708</v>
      </c>
      <c r="H1173" s="14">
        <f>36.8*(2/3*10)</f>
        <v>245.33333333333329</v>
      </c>
      <c r="I1173" s="14">
        <f>91.6*(2/3*10)</f>
        <v>610.66666666666663</v>
      </c>
      <c r="K1173" s="15">
        <v>1170</v>
      </c>
      <c r="L1173">
        <f t="shared" si="18"/>
        <v>2</v>
      </c>
    </row>
    <row r="1174" spans="1:12" ht="16.5" x14ac:dyDescent="0.2">
      <c r="A1174" s="4" t="s">
        <v>206</v>
      </c>
      <c r="B1174">
        <v>2011</v>
      </c>
      <c r="C1174" s="14">
        <f>294.5*(2/3*10)</f>
        <v>1963.3333333333333</v>
      </c>
      <c r="D1174" s="14">
        <f>54.7*(2/3*10)</f>
        <v>364.66666666666663</v>
      </c>
      <c r="E1174" s="14">
        <f>163.6*(2/3*10)</f>
        <v>1090.6666666666665</v>
      </c>
      <c r="F1174" s="14">
        <f>26.1*(2/3*10)</f>
        <v>174</v>
      </c>
      <c r="G1174" s="14">
        <f>108.3*(2/3*10)</f>
        <v>721.99999999999989</v>
      </c>
      <c r="H1174" s="14">
        <f>37*(2/3*10)</f>
        <v>246.66666666666666</v>
      </c>
      <c r="I1174" s="14">
        <f>91.3*(2/3*10)</f>
        <v>608.66666666666663</v>
      </c>
      <c r="K1174">
        <v>1171</v>
      </c>
      <c r="L1174">
        <f t="shared" si="18"/>
        <v>3</v>
      </c>
    </row>
    <row r="1175" spans="1:12" ht="16.5" x14ac:dyDescent="0.2">
      <c r="A1175" s="4" t="s">
        <v>206</v>
      </c>
      <c r="B1175">
        <v>2012</v>
      </c>
      <c r="C1175" s="14">
        <f>293.9*(2/3*10)</f>
        <v>1959.333333333333</v>
      </c>
      <c r="D1175" s="14">
        <f>54.4*(2/3*10)</f>
        <v>362.66666666666663</v>
      </c>
      <c r="E1175" s="14">
        <f>163.3*(2/3*10)</f>
        <v>1088.6666666666667</v>
      </c>
      <c r="F1175" s="14">
        <f>25.3*(2/3*10)</f>
        <v>168.66666666666666</v>
      </c>
      <c r="G1175" s="14">
        <f>110.4*(2/3*10)</f>
        <v>735.99999999999989</v>
      </c>
      <c r="H1175" s="14">
        <f>37.3*(2/3*10)</f>
        <v>248.66666666666663</v>
      </c>
      <c r="I1175" s="14">
        <f>91*(2/3*10)</f>
        <v>606.66666666666663</v>
      </c>
      <c r="K1175">
        <v>1172</v>
      </c>
      <c r="L1175">
        <f t="shared" si="18"/>
        <v>4</v>
      </c>
    </row>
    <row r="1176" spans="1:12" ht="16.5" x14ac:dyDescent="0.2">
      <c r="A1176" s="4" t="s">
        <v>206</v>
      </c>
      <c r="B1176">
        <v>2013</v>
      </c>
      <c r="C1176" s="14">
        <f>293.5*(2/3*10)</f>
        <v>1956.6666666666665</v>
      </c>
      <c r="D1176" s="14">
        <f>54.2*(2/3*10)</f>
        <v>361.33333333333331</v>
      </c>
      <c r="E1176" s="14">
        <f>162.9*(2/3*10)</f>
        <v>1086</v>
      </c>
      <c r="F1176" s="14">
        <f>24.6*(2/3*10)</f>
        <v>164</v>
      </c>
      <c r="G1176" s="14">
        <f>112.2*(2/3*10)</f>
        <v>748</v>
      </c>
      <c r="H1176" s="14">
        <f>37.3*(2/3*10)</f>
        <v>248.66666666666663</v>
      </c>
      <c r="I1176" s="14">
        <f>90.8*(2/3*10)</f>
        <v>605.33333333333326</v>
      </c>
      <c r="K1176" s="15">
        <v>1173</v>
      </c>
      <c r="L1176">
        <f t="shared" si="18"/>
        <v>5</v>
      </c>
    </row>
    <row r="1177" spans="1:12" ht="16.5" x14ac:dyDescent="0.2">
      <c r="A1177" s="4" t="s">
        <v>206</v>
      </c>
      <c r="B1177">
        <v>2014</v>
      </c>
      <c r="C1177" s="14">
        <f>292.3*(2/3*10)</f>
        <v>1948.6666666666665</v>
      </c>
      <c r="D1177" s="14">
        <f>53.8*(2/3*10)</f>
        <v>358.66666666666663</v>
      </c>
      <c r="E1177" s="14">
        <f>162.5*(2/3*10)</f>
        <v>1083.3333333333333</v>
      </c>
      <c r="F1177" s="14">
        <f>24.3*(2/3*10)</f>
        <v>162</v>
      </c>
      <c r="G1177" s="14">
        <f>113.9*(2/3*10)</f>
        <v>759.33333333333326</v>
      </c>
      <c r="H1177" s="14">
        <f>38.4*(2/3*10)</f>
        <v>255.99999999999997</v>
      </c>
      <c r="I1177" s="14">
        <f>90.3*(2/3*10)</f>
        <v>601.99999999999989</v>
      </c>
      <c r="K1177">
        <v>1174</v>
      </c>
      <c r="L1177">
        <f t="shared" si="18"/>
        <v>6</v>
      </c>
    </row>
    <row r="1178" spans="1:12" ht="16.5" x14ac:dyDescent="0.2">
      <c r="A1178" s="4" t="s">
        <v>206</v>
      </c>
      <c r="B1178">
        <v>2015</v>
      </c>
      <c r="C1178" s="14">
        <f>291.8*(2/3*10)</f>
        <v>1945.3333333333333</v>
      </c>
      <c r="D1178" s="14">
        <f>53.6*(2/3*10)</f>
        <v>357.33333333333331</v>
      </c>
      <c r="E1178" s="14">
        <f>162.3*(2/3*10)</f>
        <v>1082</v>
      </c>
      <c r="F1178" s="14">
        <f>23.9*(2/3*10)</f>
        <v>159.33333333333331</v>
      </c>
      <c r="G1178" s="14">
        <f>115.7*(2/3*10)</f>
        <v>771.33333333333326</v>
      </c>
      <c r="H1178" s="14">
        <f>38.6*(2/3*10)</f>
        <v>257.33333333333331</v>
      </c>
      <c r="I1178" s="14">
        <f>90.1*(2/3*10)</f>
        <v>600.66666666666663</v>
      </c>
      <c r="K1178" s="15">
        <v>1175</v>
      </c>
      <c r="L1178">
        <f t="shared" si="18"/>
        <v>7</v>
      </c>
    </row>
    <row r="1179" spans="1:12" ht="16.5" x14ac:dyDescent="0.2">
      <c r="A1179" s="4" t="s">
        <v>206</v>
      </c>
      <c r="B1179">
        <v>2016</v>
      </c>
      <c r="C1179" s="14">
        <f>292*(2/3*10)</f>
        <v>1946.6666666666665</v>
      </c>
      <c r="D1179" s="14">
        <f>53.2*(2/3*10)</f>
        <v>354.66666666666663</v>
      </c>
      <c r="E1179" s="14">
        <f>162.1*(2/3*10)</f>
        <v>1080.6666666666665</v>
      </c>
      <c r="F1179" s="14">
        <f>23.6*(2/3*10)</f>
        <v>157.33333333333334</v>
      </c>
      <c r="G1179" s="14">
        <f>116.7*(2/3*10)</f>
        <v>778</v>
      </c>
      <c r="H1179" s="14">
        <f>38.8*(2/3*10)</f>
        <v>258.66666666666663</v>
      </c>
      <c r="I1179" s="14">
        <f>89.9*(2/3*10)</f>
        <v>599.33333333333337</v>
      </c>
      <c r="K1179">
        <v>1176</v>
      </c>
      <c r="L1179">
        <f t="shared" si="18"/>
        <v>0</v>
      </c>
    </row>
    <row r="1180" spans="1:12" ht="16.5" x14ac:dyDescent="0.2">
      <c r="A1180" s="4" t="s">
        <v>205</v>
      </c>
      <c r="B1180">
        <v>2009</v>
      </c>
      <c r="C1180" s="14">
        <f>363.1*(2/3*10)</f>
        <v>2420.6666666666665</v>
      </c>
      <c r="D1180" s="14">
        <f>40.4*(2/3*10)</f>
        <v>269.33333333333331</v>
      </c>
      <c r="E1180" s="14">
        <f>118.1*(2/3*10)</f>
        <v>787.33333333333326</v>
      </c>
      <c r="F1180" s="14">
        <f>19.4*(2/3*10)</f>
        <v>129.33333333333331</v>
      </c>
      <c r="G1180" s="14">
        <f>90*(2/3*10)</f>
        <v>600</v>
      </c>
      <c r="H1180" s="14">
        <f>29.9*(2/3*10)</f>
        <v>199.33333333333331</v>
      </c>
      <c r="I1180" s="14">
        <f>53.9*(2/3*10)</f>
        <v>359.33333333333331</v>
      </c>
      <c r="K1180">
        <v>1177</v>
      </c>
      <c r="L1180">
        <f t="shared" si="18"/>
        <v>1</v>
      </c>
    </row>
    <row r="1181" spans="1:12" ht="16.5" x14ac:dyDescent="0.2">
      <c r="A1181" s="4" t="s">
        <v>205</v>
      </c>
      <c r="B1181">
        <v>2010</v>
      </c>
      <c r="C1181" s="14">
        <f>362.6*(2/3*10)</f>
        <v>2417.3333333333335</v>
      </c>
      <c r="D1181" s="14">
        <f>40.1*(2/3*10)</f>
        <v>267.33333333333331</v>
      </c>
      <c r="E1181" s="14">
        <f>117.5*(2/3*10)</f>
        <v>783.33333333333326</v>
      </c>
      <c r="F1181" s="14">
        <f>19*(2/3*10)</f>
        <v>126.66666666666666</v>
      </c>
      <c r="G1181" s="14">
        <f>91.4*(2/3*10)</f>
        <v>609.33333333333337</v>
      </c>
      <c r="H1181" s="14">
        <f>30.2*(2/3*10)</f>
        <v>201.33333333333331</v>
      </c>
      <c r="I1181" s="14">
        <f>53.8*(2/3*10)</f>
        <v>358.66666666666663</v>
      </c>
      <c r="K1181" s="15">
        <v>1178</v>
      </c>
      <c r="L1181">
        <f t="shared" si="18"/>
        <v>2</v>
      </c>
    </row>
    <row r="1182" spans="1:12" ht="16.5" x14ac:dyDescent="0.2">
      <c r="A1182" s="4" t="s">
        <v>205</v>
      </c>
      <c r="B1182">
        <v>2011</v>
      </c>
      <c r="C1182" s="14">
        <f>362.2*(2/3*10)</f>
        <v>2414.6666666666665</v>
      </c>
      <c r="D1182" s="14">
        <f>39.9*(2/3*10)</f>
        <v>265.99999999999994</v>
      </c>
      <c r="E1182" s="14">
        <f>116.9*(2/3*10)</f>
        <v>779.33333333333326</v>
      </c>
      <c r="F1182" s="14">
        <f>18.7*(2/3*10)</f>
        <v>124.66666666666666</v>
      </c>
      <c r="G1182" s="14">
        <f>93*(2/3*10)</f>
        <v>620</v>
      </c>
      <c r="H1182" s="14">
        <f>30.4*(2/3*10)</f>
        <v>202.66666666666663</v>
      </c>
      <c r="I1182" s="14">
        <f>53.8*(2/3*10)</f>
        <v>358.66666666666663</v>
      </c>
      <c r="K1182">
        <v>1179</v>
      </c>
      <c r="L1182">
        <f t="shared" si="18"/>
        <v>3</v>
      </c>
    </row>
    <row r="1183" spans="1:12" ht="16.5" x14ac:dyDescent="0.2">
      <c r="A1183" s="4" t="s">
        <v>205</v>
      </c>
      <c r="B1183">
        <v>2012</v>
      </c>
      <c r="C1183" s="14">
        <f>362.2*(2/3*10)</f>
        <v>2414.6666666666665</v>
      </c>
      <c r="D1183" s="14">
        <f>39.4*(2/3*10)</f>
        <v>262.66666666666663</v>
      </c>
      <c r="E1183" s="14">
        <f>116.1*(2/3*10)</f>
        <v>773.99999999999989</v>
      </c>
      <c r="F1183" s="14">
        <f>17.7*(2/3*10)</f>
        <v>117.99999999999999</v>
      </c>
      <c r="G1183" s="14">
        <f>95.6*(2/3*10)</f>
        <v>637.33333333333337</v>
      </c>
      <c r="H1183" s="14">
        <f>30.6*(2/3*10)</f>
        <v>204</v>
      </c>
      <c r="I1183" s="14">
        <f>53.6*(2/3*10)</f>
        <v>357.33333333333331</v>
      </c>
      <c r="K1183" s="15">
        <v>1180</v>
      </c>
      <c r="L1183">
        <f t="shared" si="18"/>
        <v>4</v>
      </c>
    </row>
    <row r="1184" spans="1:12" ht="16.5" x14ac:dyDescent="0.2">
      <c r="A1184" s="4" t="s">
        <v>205</v>
      </c>
      <c r="B1184">
        <v>2013</v>
      </c>
      <c r="C1184" s="14">
        <f>361*(2/3*10)</f>
        <v>2406.6666666666665</v>
      </c>
      <c r="D1184" s="14">
        <f>39.2*(2/3*10)</f>
        <v>261.33333333333331</v>
      </c>
      <c r="E1184" s="14">
        <f>115.8*(2/3*10)</f>
        <v>771.99999999999989</v>
      </c>
      <c r="F1184" s="14">
        <f>17.3*(2/3*10)</f>
        <v>115.33333333333333</v>
      </c>
      <c r="G1184" s="14">
        <f>97.6*(2/3*10)</f>
        <v>650.66666666666652</v>
      </c>
      <c r="H1184" s="14">
        <f>31*(2/3*10)</f>
        <v>206.66666666666666</v>
      </c>
      <c r="I1184" s="14">
        <f>53.5*(2/3*10)</f>
        <v>356.66666666666663</v>
      </c>
      <c r="K1184">
        <v>1181</v>
      </c>
      <c r="L1184">
        <f t="shared" si="18"/>
        <v>5</v>
      </c>
    </row>
    <row r="1185" spans="1:12" ht="16.5" x14ac:dyDescent="0.2">
      <c r="A1185" s="4" t="s">
        <v>205</v>
      </c>
      <c r="B1185">
        <v>2014</v>
      </c>
      <c r="C1185" s="14">
        <f>359.9*(2/3*10)</f>
        <v>2399.333333333333</v>
      </c>
      <c r="D1185" s="14">
        <f>39.1*(2/3*10)</f>
        <v>260.66666666666663</v>
      </c>
      <c r="E1185" s="14">
        <f>115.3*(2/3*10)</f>
        <v>768.66666666666663</v>
      </c>
      <c r="F1185" s="14">
        <f>17.1*(2/3*10)</f>
        <v>114</v>
      </c>
      <c r="G1185" s="14">
        <f>98.6*(2/3*10)</f>
        <v>657.33333333333326</v>
      </c>
      <c r="H1185" s="14">
        <f>31.3*(2/3*10)</f>
        <v>208.66666666666666</v>
      </c>
      <c r="I1185" s="14">
        <f>53.4*(2/3*10)</f>
        <v>355.99999999999994</v>
      </c>
      <c r="K1185">
        <v>1182</v>
      </c>
      <c r="L1185">
        <f t="shared" si="18"/>
        <v>6</v>
      </c>
    </row>
    <row r="1186" spans="1:12" ht="16.5" x14ac:dyDescent="0.2">
      <c r="A1186" s="4" t="s">
        <v>205</v>
      </c>
      <c r="B1186">
        <v>2015</v>
      </c>
      <c r="C1186" s="14">
        <f>358.6*(2/3*10)</f>
        <v>2390.6666666666665</v>
      </c>
      <c r="D1186" s="14">
        <f>38.9*(2/3*10)</f>
        <v>259.33333333333331</v>
      </c>
      <c r="E1186" s="14">
        <f>114.9*(2/3*10)</f>
        <v>766</v>
      </c>
      <c r="F1186" s="14">
        <f>17*(2/3*10)</f>
        <v>113.33333333333333</v>
      </c>
      <c r="G1186" s="14">
        <f>101*(2/3*10)</f>
        <v>673.33333333333326</v>
      </c>
      <c r="H1186" s="14">
        <f>31.7*(2/3*10)</f>
        <v>211.33333333333331</v>
      </c>
      <c r="I1186" s="14">
        <f>52.9*(2/3*10)</f>
        <v>352.66666666666663</v>
      </c>
      <c r="K1186" s="15">
        <v>1183</v>
      </c>
      <c r="L1186">
        <f t="shared" si="18"/>
        <v>7</v>
      </c>
    </row>
    <row r="1187" spans="1:12" ht="16.5" x14ac:dyDescent="0.2">
      <c r="A1187" s="4" t="s">
        <v>205</v>
      </c>
      <c r="B1187">
        <v>2016</v>
      </c>
      <c r="C1187" s="14">
        <f>357.9*(2/3*10)</f>
        <v>2385.9999999999995</v>
      </c>
      <c r="D1187" s="14">
        <f>38.7*(2/3*10)</f>
        <v>258</v>
      </c>
      <c r="E1187" s="14">
        <f>114.5*(2/3*10)</f>
        <v>763.33333333333326</v>
      </c>
      <c r="F1187" s="14">
        <f>16.8*(2/3*10)</f>
        <v>112</v>
      </c>
      <c r="G1187" s="14">
        <f>102.4*(2/3*10)</f>
        <v>682.66666666666663</v>
      </c>
      <c r="H1187" s="14">
        <f>32*(2/3*10)</f>
        <v>213.33333333333331</v>
      </c>
      <c r="I1187" s="14">
        <f>52.7*(2/3*10)</f>
        <v>351.33333333333331</v>
      </c>
      <c r="K1187">
        <v>1184</v>
      </c>
      <c r="L1187">
        <f t="shared" si="18"/>
        <v>0</v>
      </c>
    </row>
    <row r="1188" spans="1:12" ht="16.5" x14ac:dyDescent="0.2">
      <c r="A1188" s="4" t="s">
        <v>204</v>
      </c>
      <c r="B1188">
        <v>2009</v>
      </c>
      <c r="C1188" s="14">
        <f>108.5*(2/3*10)</f>
        <v>723.33333333333326</v>
      </c>
      <c r="D1188" s="14">
        <f>24.6*(2/3*10)</f>
        <v>164</v>
      </c>
      <c r="E1188" s="14">
        <f>56.5*(2/3*10)</f>
        <v>376.66666666666663</v>
      </c>
      <c r="F1188" s="14">
        <f>51.3*(2/3*10)</f>
        <v>341.99999999999994</v>
      </c>
      <c r="G1188" s="14">
        <f>46.7*(2/3*10)</f>
        <v>311.33333333333331</v>
      </c>
      <c r="H1188" s="14">
        <f>10.1*(2/3*10)</f>
        <v>67.333333333333329</v>
      </c>
      <c r="I1188" s="14">
        <f>16.1*(2/3*10)</f>
        <v>107.33333333333333</v>
      </c>
      <c r="K1188" s="15">
        <v>1185</v>
      </c>
      <c r="L1188">
        <f t="shared" si="18"/>
        <v>1</v>
      </c>
    </row>
    <row r="1189" spans="1:12" ht="16.5" x14ac:dyDescent="0.2">
      <c r="A1189" s="4" t="s">
        <v>204</v>
      </c>
      <c r="B1189">
        <v>2010</v>
      </c>
      <c r="C1189" s="14">
        <f>108.6*(2/3*10)</f>
        <v>723.99999999999989</v>
      </c>
      <c r="D1189" s="14">
        <f>24.5*(2/3*10)</f>
        <v>163.33333333333331</v>
      </c>
      <c r="E1189" s="14">
        <f>56.4*(2/3*10)</f>
        <v>375.99999999999994</v>
      </c>
      <c r="F1189" s="14">
        <f>50.8*(2/3*10)</f>
        <v>338.66666666666663</v>
      </c>
      <c r="G1189" s="14">
        <f>47.5*(2/3*10)</f>
        <v>316.66666666666663</v>
      </c>
      <c r="H1189" s="14">
        <f>10.2*(2/3*10)</f>
        <v>67.999999999999986</v>
      </c>
      <c r="I1189" s="14">
        <f>16.1*(2/3*10)</f>
        <v>107.33333333333333</v>
      </c>
      <c r="K1189">
        <v>1186</v>
      </c>
      <c r="L1189">
        <f t="shared" si="18"/>
        <v>2</v>
      </c>
    </row>
    <row r="1190" spans="1:12" ht="16.5" x14ac:dyDescent="0.2">
      <c r="A1190" s="4" t="s">
        <v>204</v>
      </c>
      <c r="B1190">
        <v>2011</v>
      </c>
      <c r="C1190" s="14">
        <f>108.6*(2/3*10)</f>
        <v>723.99999999999989</v>
      </c>
      <c r="D1190" s="14">
        <f>24.3*(2/3*10)</f>
        <v>162</v>
      </c>
      <c r="E1190" s="14">
        <f>56.3*(2/3*10)</f>
        <v>375.33333333333326</v>
      </c>
      <c r="F1190" s="14">
        <f>50.4*(2/3*10)</f>
        <v>335.99999999999994</v>
      </c>
      <c r="G1190" s="14">
        <f>48.1*(2/3*10)</f>
        <v>320.66666666666663</v>
      </c>
      <c r="H1190" s="14">
        <f>10.2*(2/3*10)</f>
        <v>67.999999999999986</v>
      </c>
      <c r="I1190" s="14">
        <f>16.1*(2/3*10)</f>
        <v>107.33333333333333</v>
      </c>
      <c r="K1190">
        <v>1187</v>
      </c>
      <c r="L1190">
        <f t="shared" si="18"/>
        <v>3</v>
      </c>
    </row>
    <row r="1191" spans="1:12" ht="16.5" x14ac:dyDescent="0.2">
      <c r="A1191" s="4" t="s">
        <v>204</v>
      </c>
      <c r="B1191">
        <v>2012</v>
      </c>
      <c r="C1191" s="14">
        <f>108.7*(2/3*10)</f>
        <v>724.66666666666663</v>
      </c>
      <c r="D1191" s="14">
        <f>24.1*(2/3*10)</f>
        <v>160.66666666666666</v>
      </c>
      <c r="E1191" s="14">
        <f>56.2*(2/3*10)</f>
        <v>374.66666666666663</v>
      </c>
      <c r="F1191" s="14">
        <f>49.7*(2/3*10)</f>
        <v>331.33333333333331</v>
      </c>
      <c r="G1191" s="14">
        <f>49.1*(2/3*10)</f>
        <v>327.33333333333331</v>
      </c>
      <c r="H1191" s="14">
        <f>10.2*(2/3*10)</f>
        <v>67.999999999999986</v>
      </c>
      <c r="I1191" s="14">
        <f>16*(2/3*10)</f>
        <v>106.66666666666666</v>
      </c>
      <c r="K1191" s="15">
        <v>1188</v>
      </c>
      <c r="L1191">
        <f t="shared" si="18"/>
        <v>4</v>
      </c>
    </row>
    <row r="1192" spans="1:12" ht="16.5" x14ac:dyDescent="0.2">
      <c r="A1192" s="4" t="s">
        <v>204</v>
      </c>
      <c r="B1192">
        <v>2013</v>
      </c>
      <c r="C1192" s="14">
        <f>108.9*(2/3*10)</f>
        <v>726</v>
      </c>
      <c r="D1192" s="14">
        <f>24*(2/3*10)</f>
        <v>160</v>
      </c>
      <c r="E1192" s="14">
        <f>56.2*(2/3*10)</f>
        <v>374.66666666666663</v>
      </c>
      <c r="F1192" s="14">
        <f>49.1*(2/3*10)</f>
        <v>327.33333333333331</v>
      </c>
      <c r="G1192" s="14">
        <f>49.6*(2/3*10)</f>
        <v>330.66666666666663</v>
      </c>
      <c r="H1192" s="14">
        <f>10.3*(2/3*10)</f>
        <v>68.666666666666671</v>
      </c>
      <c r="I1192" s="14">
        <f>16*(2/3*10)</f>
        <v>106.66666666666666</v>
      </c>
      <c r="K1192">
        <v>1189</v>
      </c>
      <c r="L1192">
        <f t="shared" si="18"/>
        <v>5</v>
      </c>
    </row>
    <row r="1193" spans="1:12" ht="16.5" x14ac:dyDescent="0.2">
      <c r="A1193" s="4" t="s">
        <v>204</v>
      </c>
      <c r="B1193">
        <v>2014</v>
      </c>
      <c r="C1193" s="14">
        <f>108.9*(2/3*10)</f>
        <v>726</v>
      </c>
      <c r="D1193" s="14">
        <f>23.8*(2/3*10)</f>
        <v>158.66666666666666</v>
      </c>
      <c r="E1193" s="14">
        <f>56.1*(2/3*10)</f>
        <v>374</v>
      </c>
      <c r="F1193" s="14">
        <f>48.6*(2/3*10)</f>
        <v>324</v>
      </c>
      <c r="G1193" s="14">
        <f>50.3*(2/3*10)</f>
        <v>335.33333333333331</v>
      </c>
      <c r="H1193" s="14">
        <f>10.6*(2/3*10)</f>
        <v>70.666666666666657</v>
      </c>
      <c r="I1193" s="14">
        <f>16*(2/3*10)</f>
        <v>106.66666666666666</v>
      </c>
      <c r="K1193" s="15">
        <v>1190</v>
      </c>
      <c r="L1193">
        <f t="shared" si="18"/>
        <v>6</v>
      </c>
    </row>
    <row r="1194" spans="1:12" ht="16.5" x14ac:dyDescent="0.2">
      <c r="A1194" s="4" t="s">
        <v>204</v>
      </c>
      <c r="B1194">
        <v>2015</v>
      </c>
      <c r="C1194" s="14">
        <f>108.8*(2/3*10)</f>
        <v>725.33333333333326</v>
      </c>
      <c r="D1194" s="14">
        <f>23.8*(2/3*10)</f>
        <v>158.66666666666666</v>
      </c>
      <c r="E1194" s="14">
        <f>56.1*(2/3*10)</f>
        <v>374</v>
      </c>
      <c r="F1194" s="14">
        <f>48.6*(2/3*10)</f>
        <v>324</v>
      </c>
      <c r="G1194" s="14">
        <f>50.3*(2/3*10)</f>
        <v>335.33333333333331</v>
      </c>
      <c r="H1194" s="14">
        <f>10.7*(2/3*10)</f>
        <v>71.333333333333329</v>
      </c>
      <c r="I1194" s="14">
        <f>16*(2/3*10)</f>
        <v>106.66666666666666</v>
      </c>
      <c r="K1194">
        <v>1191</v>
      </c>
      <c r="L1194">
        <f t="shared" si="18"/>
        <v>7</v>
      </c>
    </row>
    <row r="1195" spans="1:12" ht="16.5" x14ac:dyDescent="0.2">
      <c r="A1195" s="4" t="s">
        <v>204</v>
      </c>
      <c r="B1195">
        <v>2016</v>
      </c>
      <c r="C1195" s="14">
        <f>109.2*(2/3*10)</f>
        <v>728</v>
      </c>
      <c r="D1195" s="14">
        <f>23.7*(2/3*10)</f>
        <v>157.99999999999997</v>
      </c>
      <c r="E1195" s="14">
        <f>56*(2/3*10)</f>
        <v>373.33333333333331</v>
      </c>
      <c r="F1195" s="14">
        <f>48.3*(2/3*10)</f>
        <v>321.99999999999994</v>
      </c>
      <c r="G1195" s="14">
        <f>50.5*(2/3*10)</f>
        <v>336.66666666666663</v>
      </c>
      <c r="H1195" s="14">
        <f>10.8*(2/3*10)</f>
        <v>72</v>
      </c>
      <c r="I1195" s="14">
        <f>16*(2/3*10)</f>
        <v>106.66666666666666</v>
      </c>
      <c r="K1195">
        <v>1192</v>
      </c>
      <c r="L1195">
        <f t="shared" si="18"/>
        <v>0</v>
      </c>
    </row>
    <row r="1196" spans="1:12" ht="16.5" x14ac:dyDescent="0.2">
      <c r="A1196" s="4" t="s">
        <v>203</v>
      </c>
      <c r="B1196">
        <v>2009</v>
      </c>
      <c r="C1196" s="14">
        <f>1266.2*(2/3*10)</f>
        <v>8441.3333333333321</v>
      </c>
      <c r="D1196" s="14">
        <f>159.1*(2/3*10)</f>
        <v>1060.6666666666665</v>
      </c>
      <c r="E1196" s="14">
        <f>296*(2/3*10)</f>
        <v>1973.3333333333333</v>
      </c>
      <c r="F1196" s="14">
        <f>85.6*(2/3*10)</f>
        <v>570.66666666666663</v>
      </c>
      <c r="G1196" s="14">
        <f>333.8*(2/3*10)</f>
        <v>2225.333333333333</v>
      </c>
      <c r="H1196" s="14">
        <f>93.7*(2/3*10)</f>
        <v>624.66666666666663</v>
      </c>
      <c r="I1196" s="14">
        <f>152.9*(2/3*10)</f>
        <v>1019.3333333333333</v>
      </c>
      <c r="K1196" s="15">
        <v>1193</v>
      </c>
      <c r="L1196">
        <f t="shared" si="18"/>
        <v>1</v>
      </c>
    </row>
    <row r="1197" spans="1:12" ht="16.5" x14ac:dyDescent="0.2">
      <c r="A1197" s="4" t="s">
        <v>203</v>
      </c>
      <c r="B1197">
        <v>2010</v>
      </c>
      <c r="C1197" s="14">
        <f>1267.1*(2/3*10)</f>
        <v>8447.3333333333321</v>
      </c>
      <c r="D1197" s="14">
        <f>158.7*(2/3*10)</f>
        <v>1057.9999999999998</v>
      </c>
      <c r="E1197" s="14">
        <f>294.9*(2/3*10)</f>
        <v>1965.9999999999998</v>
      </c>
      <c r="F1197" s="14">
        <f>84.4*(2/3*10)</f>
        <v>562.66666666666663</v>
      </c>
      <c r="G1197" s="14">
        <f>336.6*(2/3*10)</f>
        <v>2244</v>
      </c>
      <c r="H1197" s="14">
        <f>94.5*(2/3*10)</f>
        <v>630</v>
      </c>
      <c r="I1197" s="14">
        <f>152.6*(2/3*10)</f>
        <v>1017.3333333333333</v>
      </c>
      <c r="K1197">
        <v>1194</v>
      </c>
      <c r="L1197">
        <f t="shared" si="18"/>
        <v>2</v>
      </c>
    </row>
    <row r="1198" spans="1:12" ht="16.5" x14ac:dyDescent="0.2">
      <c r="A1198" s="4" t="s">
        <v>203</v>
      </c>
      <c r="B1198">
        <v>2011</v>
      </c>
      <c r="C1198" s="14">
        <f>1267.1*(2/3*10)</f>
        <v>8447.3333333333321</v>
      </c>
      <c r="D1198" s="14">
        <f>157.1*(2/3*10)</f>
        <v>1047.3333333333333</v>
      </c>
      <c r="E1198" s="14">
        <f>293.1*(2/3*10)</f>
        <v>1954</v>
      </c>
      <c r="F1198" s="14">
        <f>83.9*(2/3*10)</f>
        <v>559.33333333333337</v>
      </c>
      <c r="G1198" s="14">
        <f>340.1*(2/3*10)</f>
        <v>2267.333333333333</v>
      </c>
      <c r="H1198" s="14">
        <f>95*(2/3*10)</f>
        <v>633.33333333333326</v>
      </c>
      <c r="I1198" s="14">
        <f>152.4*(2/3*10)</f>
        <v>1016</v>
      </c>
      <c r="K1198" s="15">
        <v>1195</v>
      </c>
      <c r="L1198">
        <f t="shared" si="18"/>
        <v>3</v>
      </c>
    </row>
    <row r="1199" spans="1:12" ht="16.5" x14ac:dyDescent="0.2">
      <c r="A1199" s="4" t="s">
        <v>203</v>
      </c>
      <c r="B1199">
        <v>2012</v>
      </c>
      <c r="C1199" s="14">
        <f>1265.6*(2/3*10)</f>
        <v>8437.3333333333321</v>
      </c>
      <c r="D1199" s="14">
        <f>156.4*(2/3*10)</f>
        <v>1042.6666666666665</v>
      </c>
      <c r="E1199" s="14">
        <f>291.8*(2/3*10)</f>
        <v>1945.3333333333333</v>
      </c>
      <c r="F1199" s="14">
        <f>83.4*(2/3*10)</f>
        <v>556</v>
      </c>
      <c r="G1199" s="14">
        <f>343.3*(2/3*10)</f>
        <v>2288.6666666666661</v>
      </c>
      <c r="H1199" s="14">
        <f>95.6*(2/3*10)</f>
        <v>637.33333333333326</v>
      </c>
      <c r="I1199" s="14">
        <f>152.5*(2/3*10)</f>
        <v>1016.6666666666666</v>
      </c>
      <c r="K1199">
        <v>1196</v>
      </c>
      <c r="L1199">
        <f t="shared" si="18"/>
        <v>4</v>
      </c>
    </row>
    <row r="1200" spans="1:12" ht="16.5" x14ac:dyDescent="0.2">
      <c r="A1200" s="4" t="s">
        <v>203</v>
      </c>
      <c r="B1200">
        <v>2013</v>
      </c>
      <c r="C1200" s="14">
        <f>1264.9*(2/3*10)</f>
        <v>8432.6666666666661</v>
      </c>
      <c r="D1200" s="14">
        <f>155.6*(2/3*10)</f>
        <v>1037.3333333333333</v>
      </c>
      <c r="E1200" s="14">
        <f>290.4*(2/3*10)</f>
        <v>1935.9999999999998</v>
      </c>
      <c r="F1200" s="14">
        <f>82.9*(2/3*10)</f>
        <v>552.66666666666663</v>
      </c>
      <c r="G1200" s="14">
        <f>345.9*(2/3*10)</f>
        <v>2306</v>
      </c>
      <c r="H1200" s="14">
        <f>96*(2/3*10)</f>
        <v>640</v>
      </c>
      <c r="I1200" s="14">
        <f>152.3*(2/3*10)</f>
        <v>1015.3333333333334</v>
      </c>
      <c r="K1200">
        <v>1197</v>
      </c>
      <c r="L1200">
        <f t="shared" si="18"/>
        <v>5</v>
      </c>
    </row>
    <row r="1201" spans="1:12" ht="16.5" x14ac:dyDescent="0.2">
      <c r="A1201" s="4" t="s">
        <v>203</v>
      </c>
      <c r="B1201">
        <v>2014</v>
      </c>
      <c r="C1201" s="14">
        <f>1262.3*(2/3*10)</f>
        <v>8415.3333333333321</v>
      </c>
      <c r="D1201" s="14">
        <f>154.6*(2/3*10)</f>
        <v>1030.6666666666665</v>
      </c>
      <c r="E1201" s="14">
        <f>288.7*(2/3*10)</f>
        <v>1924.6666666666665</v>
      </c>
      <c r="F1201" s="14">
        <f>82.6*(2/3*10)</f>
        <v>550.66666666666663</v>
      </c>
      <c r="G1201" s="14">
        <f>349.5*(2/3*10)</f>
        <v>2330</v>
      </c>
      <c r="H1201" s="14">
        <f>96.5*(2/3*10)</f>
        <v>643.33333333333326</v>
      </c>
      <c r="I1201" s="14">
        <f>152*(2/3*10)</f>
        <v>1013.3333333333333</v>
      </c>
      <c r="K1201" s="15">
        <v>1198</v>
      </c>
      <c r="L1201">
        <f t="shared" si="18"/>
        <v>6</v>
      </c>
    </row>
    <row r="1202" spans="1:12" ht="16.5" x14ac:dyDescent="0.2">
      <c r="A1202" s="4" t="s">
        <v>203</v>
      </c>
      <c r="B1202">
        <v>2015</v>
      </c>
      <c r="C1202" s="14">
        <f>1259.7*(2/3*10)</f>
        <v>8398</v>
      </c>
      <c r="D1202" s="14">
        <f>154.1*(2/3*10)</f>
        <v>1027.3333333333333</v>
      </c>
      <c r="E1202" s="14">
        <f>287.2*(2/3*10)</f>
        <v>1914.6666666666665</v>
      </c>
      <c r="F1202" s="14">
        <f>82.3*(2/3*10)</f>
        <v>548.66666666666663</v>
      </c>
      <c r="G1202" s="14">
        <f>353.1*(2/3*10)</f>
        <v>2354</v>
      </c>
      <c r="H1202" s="14">
        <f>97.3*(2/3*10)</f>
        <v>648.66666666666663</v>
      </c>
      <c r="I1202" s="14">
        <f>151.8*(2/3*10)</f>
        <v>1012</v>
      </c>
      <c r="K1202">
        <v>1199</v>
      </c>
      <c r="L1202">
        <f t="shared" si="18"/>
        <v>7</v>
      </c>
    </row>
    <row r="1203" spans="1:12" ht="16.5" x14ac:dyDescent="0.2">
      <c r="A1203" s="4" t="s">
        <v>203</v>
      </c>
      <c r="B1203">
        <v>2016</v>
      </c>
      <c r="C1203" s="14">
        <f>1257.4*(2/3*10)</f>
        <v>8382.6666666666661</v>
      </c>
      <c r="D1203" s="14">
        <f>153.3*(2/3*10)</f>
        <v>1022</v>
      </c>
      <c r="E1203" s="14">
        <f>286.1*(2/3*10)</f>
        <v>1907.3333333333333</v>
      </c>
      <c r="F1203" s="14">
        <f>81.9*(2/3*10)</f>
        <v>546</v>
      </c>
      <c r="G1203" s="14">
        <f>356.2*(2/3*10)</f>
        <v>2374.6666666666665</v>
      </c>
      <c r="H1203" s="14">
        <f>97.8*(2/3*10)</f>
        <v>651.99999999999989</v>
      </c>
      <c r="I1203" s="14">
        <f>151.8*(2/3*10)</f>
        <v>1012</v>
      </c>
      <c r="K1203" s="15">
        <v>1200</v>
      </c>
      <c r="L1203">
        <f t="shared" si="18"/>
        <v>0</v>
      </c>
    </row>
    <row r="1204" spans="1:12" ht="16.5" x14ac:dyDescent="0.2">
      <c r="A1204" s="4" t="s">
        <v>202</v>
      </c>
      <c r="B1204">
        <v>2009</v>
      </c>
      <c r="C1204" s="14">
        <f>966.1*(2/3*10)</f>
        <v>6440.6666666666661</v>
      </c>
      <c r="D1204" s="14">
        <f>22*(2/3*10)</f>
        <v>146.66666666666666</v>
      </c>
      <c r="E1204" s="14">
        <f>96.3*(2/3*10)</f>
        <v>641.99999999999989</v>
      </c>
      <c r="F1204" s="14">
        <f>16.1*(2/3*10)</f>
        <v>107.33333333333333</v>
      </c>
      <c r="G1204" s="14">
        <f>219.2*(2/3*10)</f>
        <v>1461.3333333333333</v>
      </c>
      <c r="H1204" s="14">
        <f>56.8*(2/3*10)</f>
        <v>378.66666666666663</v>
      </c>
      <c r="I1204" s="14">
        <f>134.8*(2/3*10)</f>
        <v>898.66666666666663</v>
      </c>
      <c r="K1204">
        <v>1201</v>
      </c>
      <c r="L1204">
        <f t="shared" si="18"/>
        <v>1</v>
      </c>
    </row>
    <row r="1205" spans="1:12" ht="16.5" x14ac:dyDescent="0.2">
      <c r="A1205" s="4" t="s">
        <v>202</v>
      </c>
      <c r="B1205">
        <v>2010</v>
      </c>
      <c r="C1205" s="14">
        <f>963.3*(2/3*10)</f>
        <v>6421.9999999999991</v>
      </c>
      <c r="D1205" s="14">
        <f>21.7*(2/3*10)</f>
        <v>144.66666666666666</v>
      </c>
      <c r="E1205" s="14">
        <f>95.6*(2/3*10)</f>
        <v>637.33333333333326</v>
      </c>
      <c r="F1205" s="14">
        <f>15.9*(2/3*10)</f>
        <v>106</v>
      </c>
      <c r="G1205" s="14">
        <f>223*(2/3*10)</f>
        <v>1486.6666666666667</v>
      </c>
      <c r="H1205" s="14">
        <f>57.7*(2/3*10)</f>
        <v>384.66666666666663</v>
      </c>
      <c r="I1205" s="14">
        <f>134.8*(2/3*10)</f>
        <v>898.66666666666663</v>
      </c>
      <c r="K1205">
        <v>1202</v>
      </c>
      <c r="L1205">
        <f t="shared" si="18"/>
        <v>2</v>
      </c>
    </row>
    <row r="1206" spans="1:12" ht="16.5" x14ac:dyDescent="0.2">
      <c r="A1206" s="4" t="s">
        <v>202</v>
      </c>
      <c r="B1206">
        <v>2011</v>
      </c>
      <c r="C1206" s="14">
        <f>960.6*(2/3*10)</f>
        <v>6404</v>
      </c>
      <c r="D1206" s="14">
        <f>21.5*(2/3*10)</f>
        <v>143.33333333333331</v>
      </c>
      <c r="E1206" s="14">
        <f>94.9*(2/3*10)</f>
        <v>632.66666666666663</v>
      </c>
      <c r="F1206" s="14">
        <f>15.2*(2/3*10)</f>
        <v>101.33333333333331</v>
      </c>
      <c r="G1206" s="14">
        <f>226.4*(2/3*10)</f>
        <v>1509.3333333333333</v>
      </c>
      <c r="H1206" s="14">
        <f>58.5*(2/3*10)</f>
        <v>389.99999999999994</v>
      </c>
      <c r="I1206" s="14">
        <f>135.1*(2/3*10)</f>
        <v>900.66666666666652</v>
      </c>
      <c r="K1206" s="15">
        <v>1203</v>
      </c>
      <c r="L1206">
        <f t="shared" si="18"/>
        <v>3</v>
      </c>
    </row>
    <row r="1207" spans="1:12" ht="16.5" x14ac:dyDescent="0.2">
      <c r="A1207" s="4" t="s">
        <v>202</v>
      </c>
      <c r="B1207">
        <v>2012</v>
      </c>
      <c r="C1207" s="14">
        <f>959.5*(2/3*10)</f>
        <v>6396.6666666666661</v>
      </c>
      <c r="D1207" s="14">
        <f>21.3*(2/3*10)</f>
        <v>142</v>
      </c>
      <c r="E1207" s="14">
        <f>94.5*(2/3*10)</f>
        <v>630</v>
      </c>
      <c r="F1207" s="14">
        <f>15*(2/3*10)</f>
        <v>99.999999999999986</v>
      </c>
      <c r="G1207" s="14">
        <f>229.1*(2/3*10)</f>
        <v>1527.3333333333333</v>
      </c>
      <c r="H1207" s="14">
        <f>59.5*(2/3*10)</f>
        <v>396.66666666666663</v>
      </c>
      <c r="I1207" s="14">
        <f>134.8*(2/3*10)</f>
        <v>898.66666666666663</v>
      </c>
      <c r="K1207">
        <v>1204</v>
      </c>
      <c r="L1207">
        <f t="shared" si="18"/>
        <v>4</v>
      </c>
    </row>
    <row r="1208" spans="1:12" ht="16.5" x14ac:dyDescent="0.2">
      <c r="A1208" s="4" t="s">
        <v>202</v>
      </c>
      <c r="B1208">
        <v>2013</v>
      </c>
      <c r="C1208" s="14">
        <f>964.6*(2/3*10)</f>
        <v>6430.6666666666661</v>
      </c>
      <c r="D1208" s="14">
        <f>21.1*(2/3*10)</f>
        <v>140.66666666666666</v>
      </c>
      <c r="E1208" s="14">
        <f>93.3*(2/3*10)</f>
        <v>621.99999999999989</v>
      </c>
      <c r="F1208" s="14">
        <f>14*(2/3*10)</f>
        <v>93.333333333333329</v>
      </c>
      <c r="G1208" s="14">
        <f>229.9*(2/3*10)</f>
        <v>1532.6666666666663</v>
      </c>
      <c r="H1208" s="14">
        <f>59.7*(2/3*10)</f>
        <v>398</v>
      </c>
      <c r="I1208" s="14">
        <f>134.2*(2/3*10)</f>
        <v>894.66666666666652</v>
      </c>
      <c r="K1208" s="15">
        <v>1205</v>
      </c>
      <c r="L1208">
        <f t="shared" si="18"/>
        <v>5</v>
      </c>
    </row>
    <row r="1209" spans="1:12" ht="16.5" x14ac:dyDescent="0.2">
      <c r="A1209" s="4" t="s">
        <v>202</v>
      </c>
      <c r="B1209">
        <v>2014</v>
      </c>
      <c r="C1209" s="14">
        <f>965.7*(2/3*10)</f>
        <v>6438</v>
      </c>
      <c r="D1209" s="14">
        <f>20.9*(2/3*10)</f>
        <v>139.33333333333331</v>
      </c>
      <c r="E1209" s="14">
        <f>92.8*(2/3*10)</f>
        <v>618.66666666666663</v>
      </c>
      <c r="F1209" s="14">
        <f>13.1*(2/3*10)</f>
        <v>87.333333333333329</v>
      </c>
      <c r="G1209" s="14">
        <f>232.2*(2/3*10)</f>
        <v>1547.9999999999998</v>
      </c>
      <c r="H1209" s="14">
        <f>60.4*(2/3*10)</f>
        <v>402.66666666666663</v>
      </c>
      <c r="I1209" s="14">
        <f>134.2*(2/3*10)</f>
        <v>894.66666666666652</v>
      </c>
      <c r="K1209">
        <v>1206</v>
      </c>
      <c r="L1209">
        <f t="shared" si="18"/>
        <v>6</v>
      </c>
    </row>
    <row r="1210" spans="1:12" ht="16.5" x14ac:dyDescent="0.2">
      <c r="A1210" s="4" t="s">
        <v>202</v>
      </c>
      <c r="B1210">
        <v>2015</v>
      </c>
      <c r="C1210" s="14">
        <f>965.6*(2/3*10)</f>
        <v>6437.333333333333</v>
      </c>
      <c r="D1210" s="14">
        <f>20.8*(2/3*10)</f>
        <v>138.66666666666666</v>
      </c>
      <c r="E1210" s="14">
        <f>92.4*(2/3*10)</f>
        <v>616</v>
      </c>
      <c r="F1210" s="14">
        <f>12.9*(2/3*10)</f>
        <v>86</v>
      </c>
      <c r="G1210" s="14">
        <f>233.3*(2/3*10)</f>
        <v>1555.3333333333333</v>
      </c>
      <c r="H1210" s="14">
        <f>60.7*(2/3*10)</f>
        <v>404.66666666666663</v>
      </c>
      <c r="I1210" s="14">
        <f>134.2*(2/3*10)</f>
        <v>894.66666666666652</v>
      </c>
      <c r="K1210">
        <v>1207</v>
      </c>
      <c r="L1210">
        <f t="shared" si="18"/>
        <v>7</v>
      </c>
    </row>
    <row r="1211" spans="1:12" ht="16.5" x14ac:dyDescent="0.2">
      <c r="A1211" s="4" t="s">
        <v>202</v>
      </c>
      <c r="B1211">
        <v>2016</v>
      </c>
      <c r="C1211" s="14">
        <f>964.9*(2/3*10)</f>
        <v>6432.6666666666661</v>
      </c>
      <c r="D1211" s="14">
        <f>20.6*(2/3*10)</f>
        <v>137.33333333333334</v>
      </c>
      <c r="E1211" s="14">
        <f>91.8*(2/3*10)</f>
        <v>611.99999999999989</v>
      </c>
      <c r="F1211" s="14">
        <f>12.5*(2/3*10)</f>
        <v>83.333333333333329</v>
      </c>
      <c r="G1211" s="14">
        <f>235.3*(2/3*10)</f>
        <v>1568.6666666666665</v>
      </c>
      <c r="H1211" s="14">
        <f>60.8*(2/3*10)</f>
        <v>405.33333333333326</v>
      </c>
      <c r="I1211" s="14">
        <f>134.1*(2/3*10)</f>
        <v>893.99999999999989</v>
      </c>
      <c r="K1211" s="15">
        <v>1208</v>
      </c>
      <c r="L1211">
        <f t="shared" si="18"/>
        <v>0</v>
      </c>
    </row>
    <row r="1212" spans="1:12" ht="16.5" x14ac:dyDescent="0.2">
      <c r="A1212" s="4" t="s">
        <v>201</v>
      </c>
      <c r="B1212">
        <v>2009</v>
      </c>
      <c r="C1212" s="14">
        <f>851.1*(2/3*10)</f>
        <v>5674</v>
      </c>
      <c r="D1212" s="14">
        <f>16.4*(2/3*10)</f>
        <v>109.33333333333331</v>
      </c>
      <c r="E1212" s="14">
        <f>92.1*(2/3*10)</f>
        <v>613.99999999999989</v>
      </c>
      <c r="F1212" s="14">
        <f>2.4*(2/3*10)</f>
        <v>15.999999999999998</v>
      </c>
      <c r="G1212" s="14">
        <f>199*(2/3*10)</f>
        <v>1326.6666666666663</v>
      </c>
      <c r="H1212" s="14">
        <f>48.9*(2/3*10)</f>
        <v>325.99999999999994</v>
      </c>
      <c r="I1212" s="14">
        <f>71.1*(2/3*10)</f>
        <v>473.99999999999994</v>
      </c>
      <c r="K1212">
        <v>1209</v>
      </c>
      <c r="L1212">
        <f t="shared" si="18"/>
        <v>1</v>
      </c>
    </row>
    <row r="1213" spans="1:12" ht="16.5" x14ac:dyDescent="0.2">
      <c r="A1213" s="4" t="s">
        <v>201</v>
      </c>
      <c r="B1213">
        <v>2010</v>
      </c>
      <c r="C1213" s="14">
        <f>850*(2/3*10)</f>
        <v>5666.6666666666661</v>
      </c>
      <c r="D1213" s="14">
        <f>16.2*(2/3*10)</f>
        <v>107.99999999999999</v>
      </c>
      <c r="E1213" s="14">
        <f>90.9*(2/3*10)</f>
        <v>606</v>
      </c>
      <c r="F1213" s="14">
        <f>2.4*(2/3*10)</f>
        <v>15.999999999999998</v>
      </c>
      <c r="G1213" s="14">
        <f>201.3*(2/3*10)</f>
        <v>1342</v>
      </c>
      <c r="H1213" s="14">
        <f>49.1*(2/3*10)</f>
        <v>327.33333333333331</v>
      </c>
      <c r="I1213" s="14">
        <f>71.4*(2/3*10)</f>
        <v>476</v>
      </c>
      <c r="K1213" s="15">
        <v>1210</v>
      </c>
      <c r="L1213">
        <f t="shared" si="18"/>
        <v>2</v>
      </c>
    </row>
    <row r="1214" spans="1:12" ht="16.5" x14ac:dyDescent="0.2">
      <c r="A1214" s="4" t="s">
        <v>201</v>
      </c>
      <c r="B1214">
        <v>2011</v>
      </c>
      <c r="C1214" s="14">
        <f>849.5*(2/3*10)</f>
        <v>5663.333333333333</v>
      </c>
      <c r="D1214" s="14">
        <f>16*(2/3*10)</f>
        <v>106.66666666666666</v>
      </c>
      <c r="E1214" s="14">
        <f>89.3*(2/3*10)</f>
        <v>595.33333333333326</v>
      </c>
      <c r="F1214" s="14">
        <f>2.3*(2/3*10)</f>
        <v>15.33333333333333</v>
      </c>
      <c r="G1214" s="14">
        <f>202.9*(2/3*10)</f>
        <v>1352.6666666666663</v>
      </c>
      <c r="H1214" s="14">
        <f>49.3*(2/3*10)</f>
        <v>328.66666666666663</v>
      </c>
      <c r="I1214" s="14">
        <f>71.5*(2/3*10)</f>
        <v>476.66666666666663</v>
      </c>
      <c r="K1214">
        <v>1211</v>
      </c>
      <c r="L1214">
        <f t="shared" si="18"/>
        <v>3</v>
      </c>
    </row>
    <row r="1215" spans="1:12" ht="16.5" x14ac:dyDescent="0.2">
      <c r="A1215" s="4" t="s">
        <v>201</v>
      </c>
      <c r="B1215">
        <v>2012</v>
      </c>
      <c r="C1215" s="14">
        <f>848.2*(2/3*10)</f>
        <v>5654.6666666666661</v>
      </c>
      <c r="D1215" s="14">
        <f>15.8*(2/3*10)</f>
        <v>105.33333333333333</v>
      </c>
      <c r="E1215" s="14">
        <f>87.7*(2/3*10)</f>
        <v>584.66666666666663</v>
      </c>
      <c r="F1215" s="14">
        <f>2.2*(2/3*10)</f>
        <v>14.666666666666666</v>
      </c>
      <c r="G1215" s="14">
        <f>205.3*(2/3*10)</f>
        <v>1368.6666666666665</v>
      </c>
      <c r="H1215" s="14">
        <f>49.8*(2/3*10)</f>
        <v>331.99999999999994</v>
      </c>
      <c r="I1215" s="14">
        <f>71.8*(2/3*10)</f>
        <v>478.66666666666663</v>
      </c>
      <c r="K1215">
        <v>1212</v>
      </c>
      <c r="L1215">
        <f t="shared" si="18"/>
        <v>4</v>
      </c>
    </row>
    <row r="1216" spans="1:12" ht="16.5" x14ac:dyDescent="0.2">
      <c r="A1216" s="4" t="s">
        <v>201</v>
      </c>
      <c r="B1216">
        <v>2013</v>
      </c>
      <c r="C1216" s="14">
        <f>847.8*(2/3*10)</f>
        <v>5651.9999999999991</v>
      </c>
      <c r="D1216" s="14">
        <f>15.6*(2/3*10)</f>
        <v>103.99999999999999</v>
      </c>
      <c r="E1216" s="14">
        <f>85.2*(2/3*10)</f>
        <v>568</v>
      </c>
      <c r="F1216" s="14">
        <f>2*(2/3*10)</f>
        <v>13.333333333333332</v>
      </c>
      <c r="G1216" s="14">
        <f>207.5*(2/3*10)</f>
        <v>1383.3333333333335</v>
      </c>
      <c r="H1216" s="14">
        <f>50.4*(2/3*10)</f>
        <v>335.99999999999994</v>
      </c>
      <c r="I1216" s="14">
        <f>72.1*(2/3*10)</f>
        <v>480.66666666666657</v>
      </c>
      <c r="K1216" s="15">
        <v>1213</v>
      </c>
      <c r="L1216">
        <f t="shared" ref="L1216:L1279" si="19">MOD(K1216,8)</f>
        <v>5</v>
      </c>
    </row>
    <row r="1217" spans="1:12" ht="16.5" x14ac:dyDescent="0.2">
      <c r="A1217" s="4" t="s">
        <v>201</v>
      </c>
      <c r="B1217">
        <v>2014</v>
      </c>
      <c r="C1217" s="14">
        <f>847.3*(2/3*10)</f>
        <v>5648.6666666666661</v>
      </c>
      <c r="D1217" s="14">
        <f>15.4*(2/3*10)</f>
        <v>102.66666666666666</v>
      </c>
      <c r="E1217" s="14">
        <f>82.8*(2/3*10)</f>
        <v>551.99999999999989</v>
      </c>
      <c r="F1217" s="14">
        <f>2*(2/3*10)</f>
        <v>13.333333333333332</v>
      </c>
      <c r="G1217" s="14">
        <f>209.5*(2/3*10)</f>
        <v>1396.6666666666663</v>
      </c>
      <c r="H1217" s="14">
        <f>50.9*(2/3*10)</f>
        <v>339.33333333333331</v>
      </c>
      <c r="I1217" s="14">
        <f>71.9*(2/3*10)</f>
        <v>479.33333333333331</v>
      </c>
      <c r="K1217">
        <v>1214</v>
      </c>
      <c r="L1217">
        <f t="shared" si="19"/>
        <v>6</v>
      </c>
    </row>
    <row r="1218" spans="1:12" ht="16.5" x14ac:dyDescent="0.2">
      <c r="A1218" s="4" t="s">
        <v>201</v>
      </c>
      <c r="B1218">
        <v>2015</v>
      </c>
      <c r="C1218" s="14">
        <f>847.4*(2/3*10)</f>
        <v>5649.333333333333</v>
      </c>
      <c r="D1218" s="14">
        <f>15*(2/3*10)</f>
        <v>99.999999999999986</v>
      </c>
      <c r="E1218" s="14">
        <f>81.6*(2/3*10)</f>
        <v>543.99999999999989</v>
      </c>
      <c r="F1218" s="14">
        <f>2*(2/3*10)</f>
        <v>13.333333333333332</v>
      </c>
      <c r="G1218" s="14">
        <f>211.3*(2/3*10)</f>
        <v>1408.6666666666665</v>
      </c>
      <c r="H1218" s="14">
        <f>50.9*(2/3*10)</f>
        <v>339.33333333333331</v>
      </c>
      <c r="I1218" s="14">
        <f>71.8*(2/3*10)</f>
        <v>478.66666666666663</v>
      </c>
      <c r="K1218" s="15">
        <v>1215</v>
      </c>
      <c r="L1218">
        <f t="shared" si="19"/>
        <v>7</v>
      </c>
    </row>
    <row r="1219" spans="1:12" ht="16.5" x14ac:dyDescent="0.2">
      <c r="A1219" s="4" t="s">
        <v>201</v>
      </c>
      <c r="B1219">
        <v>2016</v>
      </c>
      <c r="C1219" s="14">
        <f>847.1*(2/3*10)</f>
        <v>5647.333333333333</v>
      </c>
      <c r="D1219" s="14">
        <f>14.8*(2/3*10)</f>
        <v>98.666666666666657</v>
      </c>
      <c r="E1219" s="14">
        <f>80.8*(2/3*10)</f>
        <v>538.66666666666663</v>
      </c>
      <c r="F1219" s="14">
        <f>1.9*(2/3*10)</f>
        <v>12.666666666666664</v>
      </c>
      <c r="G1219" s="14">
        <f>211.9*(2/3*10)</f>
        <v>1412.6666666666663</v>
      </c>
      <c r="H1219" s="14">
        <f>51.2*(2/3*10)</f>
        <v>341.33333333333331</v>
      </c>
      <c r="I1219" s="14">
        <f>71.8*(2/3*10)</f>
        <v>478.66666666666663</v>
      </c>
      <c r="K1219">
        <v>1216</v>
      </c>
      <c r="L1219">
        <f t="shared" si="19"/>
        <v>0</v>
      </c>
    </row>
    <row r="1220" spans="1:12" ht="16.5" x14ac:dyDescent="0.2">
      <c r="A1220" s="4" t="s">
        <v>200</v>
      </c>
      <c r="B1220">
        <v>2009</v>
      </c>
      <c r="C1220" s="14">
        <f>701.5*(2/3*10)</f>
        <v>4676.6666666666661</v>
      </c>
      <c r="D1220" s="14">
        <f>47.3*(2/3*10)</f>
        <v>315.33333333333331</v>
      </c>
      <c r="E1220" s="14">
        <f>33.9*(2/3*10)</f>
        <v>225.99999999999997</v>
      </c>
      <c r="F1220" s="14">
        <f>42.9*(2/3*10)</f>
        <v>285.99999999999994</v>
      </c>
      <c r="G1220" s="14">
        <f>192.2*(2/3*10)</f>
        <v>1281.333333333333</v>
      </c>
      <c r="H1220" s="14">
        <f>52*(2/3*10)</f>
        <v>346.66666666666663</v>
      </c>
      <c r="I1220" s="14">
        <f>253.8*(2/3*10)</f>
        <v>1692</v>
      </c>
      <c r="K1220">
        <v>1217</v>
      </c>
      <c r="L1220">
        <f t="shared" si="19"/>
        <v>1</v>
      </c>
    </row>
    <row r="1221" spans="1:12" ht="16.5" x14ac:dyDescent="0.2">
      <c r="A1221" s="4" t="s">
        <v>200</v>
      </c>
      <c r="B1221">
        <v>2010</v>
      </c>
      <c r="C1221" s="14">
        <f>701.8*(2/3*10)</f>
        <v>4678.6666666666661</v>
      </c>
      <c r="D1221" s="14">
        <f>46.4*(2/3*10)</f>
        <v>309.33333333333331</v>
      </c>
      <c r="E1221" s="14">
        <f>33.4*(2/3*10)</f>
        <v>222.66666666666663</v>
      </c>
      <c r="F1221" s="14">
        <f>41.7*(2/3*10)</f>
        <v>278</v>
      </c>
      <c r="G1221" s="14">
        <f>194.4*(2/3*10)</f>
        <v>1295.9999999999998</v>
      </c>
      <c r="H1221" s="14">
        <f>52.4*(2/3*10)</f>
        <v>349.33333333333331</v>
      </c>
      <c r="I1221" s="14">
        <f>253.7*(2/3*10)</f>
        <v>1691.333333333333</v>
      </c>
      <c r="K1221" s="15">
        <v>1218</v>
      </c>
      <c r="L1221">
        <f t="shared" si="19"/>
        <v>2</v>
      </c>
    </row>
    <row r="1222" spans="1:12" ht="16.5" x14ac:dyDescent="0.2">
      <c r="A1222" s="4" t="s">
        <v>200</v>
      </c>
      <c r="B1222">
        <v>2011</v>
      </c>
      <c r="C1222" s="14">
        <f>698.7*(2/3*10)</f>
        <v>4658</v>
      </c>
      <c r="D1222" s="14">
        <f>46.4*(2/3*10)</f>
        <v>309.33333333333331</v>
      </c>
      <c r="E1222" s="14">
        <f>32.9*(2/3*10)</f>
        <v>219.33333333333331</v>
      </c>
      <c r="F1222" s="14">
        <f>40.3*(2/3*10)</f>
        <v>268.66666666666663</v>
      </c>
      <c r="G1222" s="14">
        <f>197.3*(2/3*10)</f>
        <v>1315.3333333333333</v>
      </c>
      <c r="H1222" s="14">
        <f>53.4*(2/3*10)</f>
        <v>355.99999999999994</v>
      </c>
      <c r="I1222" s="14">
        <f>253.9*(2/3*10)</f>
        <v>1692.6666666666665</v>
      </c>
      <c r="K1222">
        <v>1219</v>
      </c>
      <c r="L1222">
        <f t="shared" si="19"/>
        <v>3</v>
      </c>
    </row>
    <row r="1223" spans="1:12" ht="16.5" x14ac:dyDescent="0.2">
      <c r="A1223" s="4" t="s">
        <v>200</v>
      </c>
      <c r="B1223">
        <v>2012</v>
      </c>
      <c r="C1223" s="14">
        <f>697.8*(2/3*10)</f>
        <v>4651.9999999999991</v>
      </c>
      <c r="D1223" s="14">
        <f>45.5*(2/3*10)</f>
        <v>303.33333333333331</v>
      </c>
      <c r="E1223" s="14">
        <f>32.6*(2/3*10)</f>
        <v>217.33333333333331</v>
      </c>
      <c r="F1223" s="14">
        <f>39.6*(2/3*10)</f>
        <v>264</v>
      </c>
      <c r="G1223" s="14">
        <f>199.9*(2/3*10)</f>
        <v>1332.6666666666665</v>
      </c>
      <c r="H1223" s="14">
        <f>54.1*(2/3*10)</f>
        <v>360.66666666666663</v>
      </c>
      <c r="I1223" s="14">
        <f>253.8*(2/3*10)</f>
        <v>1692</v>
      </c>
      <c r="K1223" s="15">
        <v>1220</v>
      </c>
      <c r="L1223">
        <f t="shared" si="19"/>
        <v>4</v>
      </c>
    </row>
    <row r="1224" spans="1:12" ht="16.5" x14ac:dyDescent="0.2">
      <c r="A1224" s="4" t="s">
        <v>200</v>
      </c>
      <c r="B1224">
        <v>2013</v>
      </c>
      <c r="C1224" s="14">
        <f>699.1*(2/3*10)</f>
        <v>4660.6666666666661</v>
      </c>
      <c r="D1224" s="14">
        <f>44.9*(2/3*10)</f>
        <v>299.33333333333331</v>
      </c>
      <c r="E1224" s="14">
        <f>32.2*(2/3*10)</f>
        <v>214.66666666666666</v>
      </c>
      <c r="F1224" s="14">
        <f>38.4*(2/3*10)</f>
        <v>255.99999999999997</v>
      </c>
      <c r="G1224" s="14">
        <f>202.2*(2/3*10)</f>
        <v>1347.9999999999998</v>
      </c>
      <c r="H1224" s="14">
        <f>54.2*(2/3*10)</f>
        <v>361.33333333333331</v>
      </c>
      <c r="I1224" s="14">
        <f>253.2*(2/3*10)</f>
        <v>1687.9999999999998</v>
      </c>
      <c r="K1224">
        <v>1221</v>
      </c>
      <c r="L1224">
        <f t="shared" si="19"/>
        <v>5</v>
      </c>
    </row>
    <row r="1225" spans="1:12" ht="16.5" x14ac:dyDescent="0.2">
      <c r="A1225" s="4" t="s">
        <v>200</v>
      </c>
      <c r="B1225">
        <v>2014</v>
      </c>
      <c r="C1225" s="14">
        <f>698.7*(2/3*10)</f>
        <v>4658</v>
      </c>
      <c r="D1225" s="14">
        <f>44.5*(2/3*10)</f>
        <v>296.66666666666663</v>
      </c>
      <c r="E1225" s="14">
        <f>31.5*(2/3*10)</f>
        <v>209.99999999999997</v>
      </c>
      <c r="F1225" s="14">
        <f>38.1*(2/3*10)</f>
        <v>254</v>
      </c>
      <c r="G1225" s="14">
        <f>203.7*(2/3*10)</f>
        <v>1357.9999999999998</v>
      </c>
      <c r="H1225" s="14">
        <f>55.1*(2/3*10)</f>
        <v>367.33333333333331</v>
      </c>
      <c r="I1225" s="14">
        <f>252.8*(2/3*10)</f>
        <v>1685.3333333333333</v>
      </c>
      <c r="K1225">
        <v>1222</v>
      </c>
      <c r="L1225">
        <f t="shared" si="19"/>
        <v>6</v>
      </c>
    </row>
    <row r="1226" spans="1:12" ht="16.5" x14ac:dyDescent="0.2">
      <c r="A1226" s="4" t="s">
        <v>200</v>
      </c>
      <c r="B1226">
        <v>2015</v>
      </c>
      <c r="C1226" s="14">
        <f>697.9*(2/3*10)</f>
        <v>4652.6666666666661</v>
      </c>
      <c r="D1226" s="14">
        <f>44.2*(2/3*10)</f>
        <v>294.66666666666669</v>
      </c>
      <c r="E1226" s="14">
        <f>31.2*(2/3*10)</f>
        <v>207.99999999999997</v>
      </c>
      <c r="F1226" s="14">
        <f>37.6*(2/3*10)</f>
        <v>250.66666666666666</v>
      </c>
      <c r="G1226" s="14">
        <f>206*(2/3*10)</f>
        <v>1373.3333333333335</v>
      </c>
      <c r="H1226" s="14">
        <f>55.2*(2/3*10)</f>
        <v>368</v>
      </c>
      <c r="I1226" s="14">
        <f>252.3*(2/3*10)</f>
        <v>1682</v>
      </c>
      <c r="K1226" s="15">
        <v>1223</v>
      </c>
      <c r="L1226">
        <f t="shared" si="19"/>
        <v>7</v>
      </c>
    </row>
    <row r="1227" spans="1:12" ht="16.5" x14ac:dyDescent="0.2">
      <c r="A1227" s="4" t="s">
        <v>200</v>
      </c>
      <c r="B1227">
        <v>2016</v>
      </c>
      <c r="C1227" s="14">
        <f>698.5*(2/3*10)</f>
        <v>4656.6666666666661</v>
      </c>
      <c r="D1227" s="14">
        <f>43.7*(2/3*10)</f>
        <v>291.33333333333331</v>
      </c>
      <c r="E1227" s="14">
        <f>30.8*(2/3*10)</f>
        <v>205.33333333333331</v>
      </c>
      <c r="F1227" s="14">
        <f>36.4*(2/3*10)</f>
        <v>242.66666666666663</v>
      </c>
      <c r="G1227" s="14">
        <f>208.4*(2/3*10)</f>
        <v>1389.3333333333333</v>
      </c>
      <c r="H1227" s="14">
        <f>55.7*(2/3*10)</f>
        <v>371.33333333333331</v>
      </c>
      <c r="I1227" s="14">
        <f>251.7*(2/3*10)</f>
        <v>1677.9999999999998</v>
      </c>
      <c r="K1227">
        <v>1224</v>
      </c>
      <c r="L1227">
        <f t="shared" si="19"/>
        <v>0</v>
      </c>
    </row>
    <row r="1228" spans="1:12" ht="16.5" x14ac:dyDescent="0.2">
      <c r="A1228" s="4" t="s">
        <v>199</v>
      </c>
      <c r="B1228">
        <v>2009</v>
      </c>
      <c r="C1228" s="14">
        <f>1249.5*(2/3*10)</f>
        <v>8330</v>
      </c>
      <c r="D1228" s="14">
        <f>11*(2/3*10)</f>
        <v>73.333333333333329</v>
      </c>
      <c r="E1228" s="14">
        <f>91.5*(2/3*10)</f>
        <v>610</v>
      </c>
      <c r="F1228" s="14">
        <f>5*(2/3*10)</f>
        <v>33.333333333333329</v>
      </c>
      <c r="G1228" s="14">
        <f>276.6*(2/3*10)</f>
        <v>1843.9999999999995</v>
      </c>
      <c r="H1228" s="14">
        <f>61.3*(2/3*10)</f>
        <v>408.66666666666663</v>
      </c>
      <c r="I1228" s="14">
        <f>116.9*(2/3*10)</f>
        <v>779.33333333333326</v>
      </c>
      <c r="K1228" s="15">
        <v>1225</v>
      </c>
      <c r="L1228">
        <f t="shared" si="19"/>
        <v>1</v>
      </c>
    </row>
    <row r="1229" spans="1:12" ht="16.5" x14ac:dyDescent="0.2">
      <c r="A1229" s="4" t="s">
        <v>199</v>
      </c>
      <c r="B1229">
        <v>2010</v>
      </c>
      <c r="C1229" s="14">
        <f>1247.9*(2/3*10)</f>
        <v>8319.3333333333339</v>
      </c>
      <c r="D1229" s="14">
        <f>10.9*(2/3*10)</f>
        <v>72.666666666666657</v>
      </c>
      <c r="E1229" s="14">
        <f>90.1*(2/3*10)</f>
        <v>600.66666666666663</v>
      </c>
      <c r="F1229" s="14">
        <f>4.9*(2/3*10)</f>
        <v>32.666666666666664</v>
      </c>
      <c r="G1229" s="14">
        <f>279.6*(2/3*10)</f>
        <v>1864</v>
      </c>
      <c r="H1229" s="14">
        <f>61.5*(2/3*10)</f>
        <v>409.99999999999994</v>
      </c>
      <c r="I1229" s="14">
        <f>116.7*(2/3*10)</f>
        <v>778</v>
      </c>
      <c r="K1229">
        <v>1226</v>
      </c>
      <c r="L1229">
        <f t="shared" si="19"/>
        <v>2</v>
      </c>
    </row>
    <row r="1230" spans="1:12" ht="16.5" x14ac:dyDescent="0.2">
      <c r="A1230" s="4" t="s">
        <v>199</v>
      </c>
      <c r="B1230">
        <v>2011</v>
      </c>
      <c r="C1230" s="14">
        <f>1247.6*(2/3*10)</f>
        <v>8317.3333333333321</v>
      </c>
      <c r="D1230" s="14">
        <f>10.8*(2/3*10)</f>
        <v>72</v>
      </c>
      <c r="E1230" s="14">
        <f>88.5*(2/3*10)</f>
        <v>590</v>
      </c>
      <c r="F1230" s="14">
        <f>4.4*(2/3*10)</f>
        <v>29.333333333333332</v>
      </c>
      <c r="G1230" s="14">
        <f>281.8*(2/3*10)</f>
        <v>1878.6666666666665</v>
      </c>
      <c r="H1230" s="14">
        <f>61.7*(2/3*10)</f>
        <v>411.33333333333331</v>
      </c>
      <c r="I1230" s="14">
        <f>115.9*(2/3*10)</f>
        <v>772.66666666666663</v>
      </c>
      <c r="K1230">
        <v>1227</v>
      </c>
      <c r="L1230">
        <f t="shared" si="19"/>
        <v>3</v>
      </c>
    </row>
    <row r="1231" spans="1:12" ht="16.5" x14ac:dyDescent="0.2">
      <c r="A1231" s="4" t="s">
        <v>199</v>
      </c>
      <c r="B1231">
        <v>2012</v>
      </c>
      <c r="C1231" s="14">
        <f>1247.7*(2/3*10)</f>
        <v>8318</v>
      </c>
      <c r="D1231" s="14">
        <f>10.2*(2/3*10)</f>
        <v>67.999999999999986</v>
      </c>
      <c r="E1231" s="14">
        <f>87.2*(2/3*10)</f>
        <v>581.33333333333326</v>
      </c>
      <c r="F1231" s="14">
        <f>4.3*(2/3*10)</f>
        <v>28.666666666666664</v>
      </c>
      <c r="G1231" s="14">
        <f>284.2*(2/3*10)</f>
        <v>1894.6666666666665</v>
      </c>
      <c r="H1231" s="14">
        <f>61.9*(2/3*10)</f>
        <v>412.66666666666663</v>
      </c>
      <c r="I1231" s="14">
        <f>115.4*(2/3*10)</f>
        <v>769.33333333333326</v>
      </c>
      <c r="K1231" s="15">
        <v>1228</v>
      </c>
      <c r="L1231">
        <f t="shared" si="19"/>
        <v>4</v>
      </c>
    </row>
    <row r="1232" spans="1:12" ht="16.5" x14ac:dyDescent="0.2">
      <c r="A1232" s="4" t="s">
        <v>199</v>
      </c>
      <c r="B1232">
        <v>2013</v>
      </c>
      <c r="C1232" s="14">
        <f>1247.3*(2/3*10)</f>
        <v>8315.3333333333321</v>
      </c>
      <c r="D1232" s="14">
        <f>10.1*(2/3*10)</f>
        <v>67.333333333333329</v>
      </c>
      <c r="E1232" s="14">
        <f>86.3*(2/3*10)</f>
        <v>575.33333333333326</v>
      </c>
      <c r="F1232" s="14">
        <f>4.2*(2/3*10)</f>
        <v>28</v>
      </c>
      <c r="G1232" s="14">
        <f>285.6*(2/3*10)</f>
        <v>1904</v>
      </c>
      <c r="H1232" s="14">
        <f>61.9*(2/3*10)</f>
        <v>412.66666666666663</v>
      </c>
      <c r="I1232" s="14">
        <f>114.7*(2/3*10)</f>
        <v>764.66666666666663</v>
      </c>
      <c r="K1232">
        <v>1229</v>
      </c>
      <c r="L1232">
        <f t="shared" si="19"/>
        <v>5</v>
      </c>
    </row>
    <row r="1233" spans="1:12" ht="16.5" x14ac:dyDescent="0.2">
      <c r="A1233" s="4" t="s">
        <v>199</v>
      </c>
      <c r="B1233">
        <v>2014</v>
      </c>
      <c r="C1233" s="14">
        <f>1246.5*(2/3*10)</f>
        <v>8310</v>
      </c>
      <c r="D1233" s="14">
        <f>10.1*(2/3*10)</f>
        <v>67.333333333333329</v>
      </c>
      <c r="E1233" s="14">
        <f>85.5*(2/3*10)</f>
        <v>570</v>
      </c>
      <c r="F1233" s="14">
        <f>4.2*(2/3*10)</f>
        <v>28</v>
      </c>
      <c r="G1233" s="14">
        <f>287.3*(2/3*10)</f>
        <v>1915.3333333333333</v>
      </c>
      <c r="H1233" s="14">
        <f>62*(2/3*10)</f>
        <v>413.33333333333331</v>
      </c>
      <c r="I1233" s="14">
        <f>114.1*(2/3*10)</f>
        <v>760.66666666666652</v>
      </c>
      <c r="K1233" s="15">
        <v>1230</v>
      </c>
      <c r="L1233">
        <f t="shared" si="19"/>
        <v>6</v>
      </c>
    </row>
    <row r="1234" spans="1:12" ht="16.5" x14ac:dyDescent="0.2">
      <c r="A1234" s="4" t="s">
        <v>199</v>
      </c>
      <c r="B1234">
        <v>2015</v>
      </c>
      <c r="C1234" s="14">
        <f>1244.5*(2/3*10)</f>
        <v>8296.6666666666661</v>
      </c>
      <c r="D1234" s="14">
        <f>10*(2/3*10)</f>
        <v>66.666666666666657</v>
      </c>
      <c r="E1234" s="14">
        <f>85*(2/3*10)</f>
        <v>566.66666666666663</v>
      </c>
      <c r="F1234" s="14">
        <f>4.1*(2/3*10)</f>
        <v>27.333333333333329</v>
      </c>
      <c r="G1234" s="14">
        <f>289.5*(2/3*10)</f>
        <v>1929.9999999999998</v>
      </c>
      <c r="H1234" s="14">
        <f>62.1*(2/3*10)</f>
        <v>414</v>
      </c>
      <c r="I1234" s="14">
        <f>114*(2/3*10)</f>
        <v>759.99999999999989</v>
      </c>
      <c r="K1234">
        <v>1231</v>
      </c>
      <c r="L1234">
        <f t="shared" si="19"/>
        <v>7</v>
      </c>
    </row>
    <row r="1235" spans="1:12" ht="16.5" x14ac:dyDescent="0.2">
      <c r="A1235" s="4" t="s">
        <v>199</v>
      </c>
      <c r="B1235">
        <v>2016</v>
      </c>
      <c r="C1235" s="14">
        <f>1244*(2/3*10)</f>
        <v>8293.3333333333321</v>
      </c>
      <c r="D1235" s="14">
        <f>9.9*(2/3*10)</f>
        <v>66</v>
      </c>
      <c r="E1235" s="14">
        <f>83.7*(2/3*10)</f>
        <v>558</v>
      </c>
      <c r="F1235" s="14">
        <f>4*(2/3*10)</f>
        <v>26.666666666666664</v>
      </c>
      <c r="G1235" s="14">
        <f>292.5*(2/3*10)</f>
        <v>1949.9999999999998</v>
      </c>
      <c r="H1235" s="14">
        <f>62.5*(2/3*10)</f>
        <v>416.66666666666663</v>
      </c>
      <c r="I1235" s="14">
        <f>112.3*(2/3*10)</f>
        <v>748.66666666666663</v>
      </c>
      <c r="K1235">
        <v>1232</v>
      </c>
      <c r="L1235">
        <f t="shared" si="19"/>
        <v>0</v>
      </c>
    </row>
    <row r="1236" spans="1:12" ht="16.5" x14ac:dyDescent="0.2">
      <c r="A1236" s="4" t="s">
        <v>198</v>
      </c>
      <c r="B1236">
        <v>2009</v>
      </c>
      <c r="C1236" s="14">
        <f>12288*(2/3*10)</f>
        <v>81920</v>
      </c>
      <c r="D1236" s="14">
        <f>346.6*(2/3*10)</f>
        <v>2310.6666666666665</v>
      </c>
      <c r="E1236" s="14">
        <f>5260.4*(2/3*10)</f>
        <v>35069.333333333328</v>
      </c>
      <c r="F1236" s="14">
        <f>1019.9*(2/3*10)</f>
        <v>6799.333333333333</v>
      </c>
      <c r="G1236" s="14">
        <f>3032.5*(2/3*10)</f>
        <v>20216.666666666664</v>
      </c>
      <c r="H1236" s="14">
        <f>643.6*(2/3*10)</f>
        <v>4290.6666666666661</v>
      </c>
      <c r="I1236" s="14">
        <f>1581.5*(2/3*10)</f>
        <v>10543.333333333332</v>
      </c>
      <c r="K1236" s="15">
        <v>1233</v>
      </c>
      <c r="L1236">
        <f t="shared" si="19"/>
        <v>1</v>
      </c>
    </row>
    <row r="1237" spans="1:12" ht="16.5" x14ac:dyDescent="0.2">
      <c r="A1237" s="4" t="s">
        <v>198</v>
      </c>
      <c r="B1237">
        <v>2010</v>
      </c>
      <c r="C1237" s="14">
        <f>12266.2*(2/3*10)</f>
        <v>81774.666666666672</v>
      </c>
      <c r="D1237" s="14">
        <f>344.5*(2/3*10)</f>
        <v>2296.6666666666665</v>
      </c>
      <c r="E1237" s="14">
        <f>5251.8*(2/3*10)</f>
        <v>35012</v>
      </c>
      <c r="F1237" s="14">
        <f>1012.4*(2/3*10)</f>
        <v>6749.333333333333</v>
      </c>
      <c r="G1237" s="14">
        <f>3071.6*(2/3*10)</f>
        <v>20477.333333333336</v>
      </c>
      <c r="H1237" s="14">
        <f>652.7*(2/3*10)</f>
        <v>4351.333333333333</v>
      </c>
      <c r="I1237" s="14">
        <f>1575.5*(2/3*10)</f>
        <v>10503.333333333332</v>
      </c>
      <c r="K1237">
        <v>1234</v>
      </c>
      <c r="L1237">
        <f t="shared" si="19"/>
        <v>2</v>
      </c>
    </row>
    <row r="1238" spans="1:12" ht="16.5" x14ac:dyDescent="0.2">
      <c r="A1238" s="4" t="s">
        <v>198</v>
      </c>
      <c r="B1238">
        <v>2011</v>
      </c>
      <c r="C1238" s="14">
        <f>12242.9*(2/3*10)</f>
        <v>81619.333333333328</v>
      </c>
      <c r="D1238" s="14">
        <f>340.8*(2/3*10)</f>
        <v>2272</v>
      </c>
      <c r="E1238" s="14">
        <f>5240.7*(2/3*10)</f>
        <v>34937.999999999993</v>
      </c>
      <c r="F1238" s="14">
        <f>1003.7*(2/3*10)</f>
        <v>6691.333333333333</v>
      </c>
      <c r="G1238" s="14">
        <f>3117.6*(2/3*10)</f>
        <v>20783.999999999996</v>
      </c>
      <c r="H1238" s="14">
        <f>663.3*(2/3*10)</f>
        <v>4421.9999999999991</v>
      </c>
      <c r="I1238" s="14">
        <f>1568*(2/3*10)</f>
        <v>10453.333333333332</v>
      </c>
      <c r="K1238" s="15">
        <v>1235</v>
      </c>
      <c r="L1238">
        <f t="shared" si="19"/>
        <v>3</v>
      </c>
    </row>
    <row r="1239" spans="1:12" ht="16.5" x14ac:dyDescent="0.2">
      <c r="A1239" s="4" t="s">
        <v>198</v>
      </c>
      <c r="B1239">
        <v>2012</v>
      </c>
      <c r="C1239" s="14">
        <f>12235.1*(2/3*10)</f>
        <v>81567.333333333328</v>
      </c>
      <c r="D1239" s="14">
        <f>337.6*(2/3*10)</f>
        <v>2250.6666666666665</v>
      </c>
      <c r="E1239" s="14">
        <f>5229.9*(2/3*10)</f>
        <v>34865.999999999993</v>
      </c>
      <c r="F1239" s="14">
        <f>993.7*(2/3*10)</f>
        <v>6624.6666666666661</v>
      </c>
      <c r="G1239" s="14">
        <f>3156.8*(2/3*10)</f>
        <v>21045.333333333328</v>
      </c>
      <c r="H1239" s="14">
        <f>669.4*(2/3*10)</f>
        <v>4462.6666666666661</v>
      </c>
      <c r="I1239" s="14">
        <f>1557.8*(2/3*10)</f>
        <v>10385.333333333332</v>
      </c>
      <c r="K1239">
        <v>1236</v>
      </c>
      <c r="L1239">
        <f t="shared" si="19"/>
        <v>4</v>
      </c>
    </row>
    <row r="1240" spans="1:12" ht="16.5" x14ac:dyDescent="0.2">
      <c r="A1240" s="4" t="s">
        <v>198</v>
      </c>
      <c r="B1240">
        <v>2013</v>
      </c>
      <c r="C1240" s="14">
        <f>12211.1*(2/3*10)</f>
        <v>81407.333333333328</v>
      </c>
      <c r="D1240" s="14">
        <f>335.2*(2/3*10)</f>
        <v>2234.6666666666665</v>
      </c>
      <c r="E1240" s="14">
        <f>5222.1*(2/3*10)</f>
        <v>34814</v>
      </c>
      <c r="F1240" s="14">
        <f>985.7*(2/3*10)</f>
        <v>6571.333333333333</v>
      </c>
      <c r="G1240" s="14">
        <f>3198*(2/3*10)</f>
        <v>21319.999999999996</v>
      </c>
      <c r="H1240" s="14">
        <f>681.4*(2/3*10)</f>
        <v>4542.6666666666661</v>
      </c>
      <c r="I1240" s="14">
        <f>1548.8*(2/3*10)</f>
        <v>10325.333333333332</v>
      </c>
      <c r="K1240">
        <v>1237</v>
      </c>
      <c r="L1240">
        <f t="shared" si="19"/>
        <v>5</v>
      </c>
    </row>
    <row r="1241" spans="1:12" ht="16.5" x14ac:dyDescent="0.2">
      <c r="A1241" s="4" t="s">
        <v>198</v>
      </c>
      <c r="B1241">
        <v>2014</v>
      </c>
      <c r="C1241" s="14">
        <f>12176.9*(2/3*10)</f>
        <v>81179.333333333328</v>
      </c>
      <c r="D1241" s="14">
        <f>332.8*(2/3*10)</f>
        <v>2218.6666666666665</v>
      </c>
      <c r="E1241" s="14">
        <f>5214.6*(2/3*10)</f>
        <v>34764</v>
      </c>
      <c r="F1241" s="14">
        <f>979.7*(2/3*10)</f>
        <v>6531.333333333333</v>
      </c>
      <c r="G1241" s="14">
        <f>3241.7*(2/3*10)</f>
        <v>21611.333333333332</v>
      </c>
      <c r="H1241" s="14">
        <f>693.2*(2/3*10)</f>
        <v>4621.333333333333</v>
      </c>
      <c r="I1241" s="14">
        <f>1540*(2/3*10)</f>
        <v>10266.666666666666</v>
      </c>
      <c r="K1241" s="15">
        <v>1238</v>
      </c>
      <c r="L1241">
        <f t="shared" si="19"/>
        <v>6</v>
      </c>
    </row>
    <row r="1242" spans="1:12" ht="16.5" x14ac:dyDescent="0.2">
      <c r="A1242" s="4" t="s">
        <v>198</v>
      </c>
      <c r="B1242">
        <v>2015</v>
      </c>
      <c r="C1242" s="14">
        <f>12158.9*(2/3*10)</f>
        <v>81059.333333333328</v>
      </c>
      <c r="D1242" s="14">
        <f>330.8*(2/3*10)</f>
        <v>2205.333333333333</v>
      </c>
      <c r="E1242" s="14">
        <f>5207.6*(2/3*10)</f>
        <v>34717.333333333336</v>
      </c>
      <c r="F1242" s="14">
        <f>973.1*(2/3*10)</f>
        <v>6487.333333333333</v>
      </c>
      <c r="G1242" s="14">
        <f>3279.4*(2/3*10)</f>
        <v>21862.666666666664</v>
      </c>
      <c r="H1242" s="14">
        <f>698.4*(2/3*10)</f>
        <v>4655.9999999999991</v>
      </c>
      <c r="I1242" s="14">
        <f>1529.5*(2/3*10)</f>
        <v>10196.666666666666</v>
      </c>
      <c r="K1242">
        <v>1239</v>
      </c>
      <c r="L1242">
        <f t="shared" si="19"/>
        <v>7</v>
      </c>
    </row>
    <row r="1243" spans="1:12" ht="16.5" x14ac:dyDescent="0.2">
      <c r="A1243" s="4" t="s">
        <v>198</v>
      </c>
      <c r="B1243">
        <v>2016</v>
      </c>
      <c r="C1243" s="14">
        <f>12166.5*(2/3*10)</f>
        <v>81110</v>
      </c>
      <c r="D1243" s="14">
        <f>324.8*(2/3*10)</f>
        <v>2165.333333333333</v>
      </c>
      <c r="E1243" s="14">
        <f>5185.4*(2/3*10)</f>
        <v>34569.333333333328</v>
      </c>
      <c r="F1243" s="14">
        <f>967.2*(2/3*10)</f>
        <v>6448</v>
      </c>
      <c r="G1243" s="14">
        <f>3324.2*(2/3*10)</f>
        <v>22161.333333333328</v>
      </c>
      <c r="H1243" s="14">
        <f>698.3*(2/3*10)</f>
        <v>4655.333333333333</v>
      </c>
      <c r="I1243" s="14">
        <f>1513.7*(2/3*10)</f>
        <v>10091.333333333332</v>
      </c>
      <c r="K1243" s="15">
        <v>1240</v>
      </c>
      <c r="L1243">
        <f t="shared" si="19"/>
        <v>0</v>
      </c>
    </row>
    <row r="1244" spans="1:12" ht="16.5" x14ac:dyDescent="0.2">
      <c r="A1244" s="4" t="s">
        <v>197</v>
      </c>
      <c r="B1244">
        <v>2009</v>
      </c>
      <c r="C1244" s="14">
        <f>510.8*(2/3*10)</f>
        <v>3405.333333333333</v>
      </c>
      <c r="D1244" s="14">
        <f>17.6*(2/3*10)</f>
        <v>117.33333333333333</v>
      </c>
      <c r="E1244" s="14">
        <f>140.5*(2/3*10)</f>
        <v>936.66666666666663</v>
      </c>
      <c r="F1244" s="14">
        <f>73.9*(2/3*10)</f>
        <v>492.66666666666669</v>
      </c>
      <c r="G1244" s="14">
        <f>234.4*(2/3*10)</f>
        <v>1562.6666666666663</v>
      </c>
      <c r="H1244" s="14">
        <f>39.9*(2/3*10)</f>
        <v>265.99999999999994</v>
      </c>
      <c r="I1244" s="14">
        <f>75*(2/3*10)</f>
        <v>499.99999999999994</v>
      </c>
      <c r="K1244">
        <v>1241</v>
      </c>
      <c r="L1244">
        <f t="shared" si="19"/>
        <v>1</v>
      </c>
    </row>
    <row r="1245" spans="1:12" ht="16.5" x14ac:dyDescent="0.2">
      <c r="A1245" s="4" t="s">
        <v>197</v>
      </c>
      <c r="B1245">
        <v>2010</v>
      </c>
      <c r="C1245" s="14">
        <f>506.5*(2/3*10)</f>
        <v>3376.6666666666665</v>
      </c>
      <c r="D1245" s="14">
        <f>17.2*(2/3*10)</f>
        <v>114.66666666666666</v>
      </c>
      <c r="E1245" s="14">
        <f>139.8*(2/3*10)</f>
        <v>932</v>
      </c>
      <c r="F1245" s="14">
        <f>72.8*(2/3*10)</f>
        <v>485.33333333333326</v>
      </c>
      <c r="G1245" s="14">
        <f>240.4*(2/3*10)</f>
        <v>1602.6666666666663</v>
      </c>
      <c r="H1245" s="14">
        <f>41.3*(2/3*10)</f>
        <v>275.33333333333331</v>
      </c>
      <c r="I1245" s="14">
        <f>74*(2/3*10)</f>
        <v>493.33333333333331</v>
      </c>
      <c r="K1245">
        <v>1242</v>
      </c>
      <c r="L1245">
        <f t="shared" si="19"/>
        <v>2</v>
      </c>
    </row>
    <row r="1246" spans="1:12" ht="16.5" x14ac:dyDescent="0.2">
      <c r="A1246" s="4" t="s">
        <v>197</v>
      </c>
      <c r="B1246">
        <v>2011</v>
      </c>
      <c r="C1246" s="14">
        <f>500.7*(2/3*10)</f>
        <v>3337.9999999999995</v>
      </c>
      <c r="D1246" s="14">
        <f>17*(2/3*10)</f>
        <v>113.33333333333333</v>
      </c>
      <c r="E1246" s="14">
        <f>137.9*(2/3*10)</f>
        <v>919.33333333333326</v>
      </c>
      <c r="F1246" s="14">
        <f>72.3*(2/3*10)</f>
        <v>481.99999999999994</v>
      </c>
      <c r="G1246" s="14">
        <f>247.6*(2/3*10)</f>
        <v>1650.6666666666663</v>
      </c>
      <c r="H1246" s="14">
        <f>42.7*(2/3*10)</f>
        <v>284.66666666666669</v>
      </c>
      <c r="I1246" s="14">
        <f>73.6*(2/3*10)</f>
        <v>490.66666666666657</v>
      </c>
      <c r="K1246" s="15">
        <v>1243</v>
      </c>
      <c r="L1246">
        <f t="shared" si="19"/>
        <v>3</v>
      </c>
    </row>
    <row r="1247" spans="1:12" ht="16.5" x14ac:dyDescent="0.2">
      <c r="A1247" s="4" t="s">
        <v>197</v>
      </c>
      <c r="B1247">
        <v>2012</v>
      </c>
      <c r="C1247" s="14">
        <f>497.7*(2/3*10)</f>
        <v>3317.9999999999995</v>
      </c>
      <c r="D1247" s="14">
        <f>16.6*(2/3*10)</f>
        <v>110.66666666666667</v>
      </c>
      <c r="E1247" s="14">
        <f>137.3*(2/3*10)</f>
        <v>915.33333333333337</v>
      </c>
      <c r="F1247" s="14">
        <f>72*(2/3*10)</f>
        <v>479.99999999999994</v>
      </c>
      <c r="G1247" s="14">
        <f>252.9*(2/3*10)</f>
        <v>1685.9999999999998</v>
      </c>
      <c r="H1247" s="14">
        <f>43.6*(2/3*10)</f>
        <v>290.66666666666663</v>
      </c>
      <c r="I1247" s="14">
        <f>71.8*(2/3*10)</f>
        <v>478.66666666666663</v>
      </c>
      <c r="K1247">
        <v>1244</v>
      </c>
      <c r="L1247">
        <f t="shared" si="19"/>
        <v>4</v>
      </c>
    </row>
    <row r="1248" spans="1:12" ht="16.5" x14ac:dyDescent="0.2">
      <c r="A1248" s="4" t="s">
        <v>197</v>
      </c>
      <c r="B1248">
        <v>2013</v>
      </c>
      <c r="C1248" s="14">
        <f>493*(2/3*10)</f>
        <v>3286.6666666666665</v>
      </c>
      <c r="D1248" s="14">
        <f>16*(2/3*10)</f>
        <v>106.66666666666666</v>
      </c>
      <c r="E1248" s="14">
        <f>136.4*(2/3*10)</f>
        <v>909.33333333333326</v>
      </c>
      <c r="F1248" s="14">
        <f>70.7*(2/3*10)</f>
        <v>471.33333333333331</v>
      </c>
      <c r="G1248" s="14">
        <f>260.8*(2/3*10)</f>
        <v>1738.6666666666665</v>
      </c>
      <c r="H1248" s="14">
        <f>44.9*(2/3*10)</f>
        <v>299.33333333333331</v>
      </c>
      <c r="I1248" s="14">
        <f>69.7*(2/3*10)</f>
        <v>464.66666666666663</v>
      </c>
      <c r="K1248" s="15">
        <v>1245</v>
      </c>
      <c r="L1248">
        <f t="shared" si="19"/>
        <v>5</v>
      </c>
    </row>
    <row r="1249" spans="1:12" ht="16.5" x14ac:dyDescent="0.2">
      <c r="A1249" s="4" t="s">
        <v>197</v>
      </c>
      <c r="B1249">
        <v>2014</v>
      </c>
      <c r="C1249" s="14">
        <f>485.2*(2/3*10)</f>
        <v>3234.6666666666665</v>
      </c>
      <c r="D1249" s="14">
        <f>15.5*(2/3*10)</f>
        <v>103.33333333333333</v>
      </c>
      <c r="E1249" s="14">
        <f>134.9*(2/3*10)</f>
        <v>899.33333333333326</v>
      </c>
      <c r="F1249" s="14">
        <f>70*(2/3*10)</f>
        <v>466.66666666666663</v>
      </c>
      <c r="G1249" s="14">
        <f>267.1*(2/3*10)</f>
        <v>1780.6666666666667</v>
      </c>
      <c r="H1249" s="14">
        <f>49.2*(2/3*10)</f>
        <v>328</v>
      </c>
      <c r="I1249" s="14">
        <f>69.4*(2/3*10)</f>
        <v>462.66666666666669</v>
      </c>
      <c r="K1249">
        <v>1246</v>
      </c>
      <c r="L1249">
        <f t="shared" si="19"/>
        <v>6</v>
      </c>
    </row>
    <row r="1250" spans="1:12" ht="16.5" x14ac:dyDescent="0.2">
      <c r="A1250" s="4" t="s">
        <v>197</v>
      </c>
      <c r="B1250">
        <v>2015</v>
      </c>
      <c r="C1250" s="14">
        <f>478.8*(2/3*10)</f>
        <v>3192</v>
      </c>
      <c r="D1250" s="14">
        <f>15.1*(2/3*10)</f>
        <v>100.66666666666666</v>
      </c>
      <c r="E1250" s="14">
        <f>133.8*(2/3*10)</f>
        <v>892</v>
      </c>
      <c r="F1250" s="14">
        <f>69.5*(2/3*10)</f>
        <v>463.33333333333331</v>
      </c>
      <c r="G1250" s="14">
        <f>274.5*(2/3*10)</f>
        <v>1829.9999999999998</v>
      </c>
      <c r="H1250" s="14">
        <f>50.6*(2/3*10)</f>
        <v>337.33333333333331</v>
      </c>
      <c r="I1250" s="14">
        <f>69*(2/3*10)</f>
        <v>459.99999999999994</v>
      </c>
      <c r="K1250">
        <v>1247</v>
      </c>
      <c r="L1250">
        <f t="shared" si="19"/>
        <v>7</v>
      </c>
    </row>
    <row r="1251" spans="1:12" ht="16.5" x14ac:dyDescent="0.2">
      <c r="A1251" s="4" t="s">
        <v>197</v>
      </c>
      <c r="B1251">
        <v>2016</v>
      </c>
      <c r="C1251" s="14">
        <f>473.6*(2/3*10)</f>
        <v>3157.333333333333</v>
      </c>
      <c r="D1251" s="14">
        <f>14.5*(2/3*10)</f>
        <v>96.666666666666657</v>
      </c>
      <c r="E1251" s="14">
        <f>131.6*(2/3*10)</f>
        <v>877.33333333333326</v>
      </c>
      <c r="F1251" s="14">
        <f>69.1*(2/3*10)</f>
        <v>460.66666666666657</v>
      </c>
      <c r="G1251" s="14">
        <f>285.4*(2/3*10)</f>
        <v>1902.6666666666667</v>
      </c>
      <c r="H1251" s="14">
        <f>50.2*(2/3*10)</f>
        <v>334.66666666666663</v>
      </c>
      <c r="I1251" s="14">
        <f>66.3*(2/3*10)</f>
        <v>441.99999999999994</v>
      </c>
      <c r="K1251" s="15">
        <v>1248</v>
      </c>
      <c r="L1251">
        <f t="shared" si="19"/>
        <v>0</v>
      </c>
    </row>
    <row r="1252" spans="1:12" ht="16.5" x14ac:dyDescent="0.2">
      <c r="A1252" s="4" t="s">
        <v>196</v>
      </c>
      <c r="B1252">
        <v>2009</v>
      </c>
      <c r="C1252" s="14">
        <f>626.4*(2/3*10)</f>
        <v>4175.9999999999991</v>
      </c>
      <c r="D1252" s="14">
        <f>6.6*(2/3*10)</f>
        <v>43.999999999999993</v>
      </c>
      <c r="E1252" s="14">
        <f>64.8*(2/3*10)</f>
        <v>431.99999999999994</v>
      </c>
      <c r="F1252" s="14">
        <f>1*(2/3*10)</f>
        <v>6.6666666666666661</v>
      </c>
      <c r="G1252" s="14">
        <f>138.5*(2/3*10)</f>
        <v>923.33333333333326</v>
      </c>
      <c r="H1252" s="14">
        <f>28.4*(2/3*10)</f>
        <v>189.33333333333331</v>
      </c>
      <c r="I1252" s="14">
        <f>59.3*(2/3*10)</f>
        <v>395.33333333333326</v>
      </c>
      <c r="K1252">
        <v>1249</v>
      </c>
      <c r="L1252">
        <f t="shared" si="19"/>
        <v>1</v>
      </c>
    </row>
    <row r="1253" spans="1:12" ht="16.5" x14ac:dyDescent="0.2">
      <c r="A1253" s="4" t="s">
        <v>196</v>
      </c>
      <c r="B1253">
        <v>2010</v>
      </c>
      <c r="C1253" s="14">
        <f>626*(2/3*10)</f>
        <v>4173.333333333333</v>
      </c>
      <c r="D1253" s="14">
        <f>6.5*(2/3*10)</f>
        <v>43.333333333333329</v>
      </c>
      <c r="E1253" s="14">
        <f>64.6*(2/3*10)</f>
        <v>430.66666666666657</v>
      </c>
      <c r="F1253" s="14">
        <f>1*(2/3*10)</f>
        <v>6.6666666666666661</v>
      </c>
      <c r="G1253" s="14">
        <f>140*(2/3*10)</f>
        <v>933.33333333333326</v>
      </c>
      <c r="H1253" s="14">
        <f>28.9*(2/3*10)</f>
        <v>192.66666666666663</v>
      </c>
      <c r="I1253" s="14">
        <f>58.7*(2/3*10)</f>
        <v>391.33333333333331</v>
      </c>
      <c r="K1253" s="15">
        <v>1250</v>
      </c>
      <c r="L1253">
        <f t="shared" si="19"/>
        <v>2</v>
      </c>
    </row>
    <row r="1254" spans="1:12" ht="16.5" x14ac:dyDescent="0.2">
      <c r="A1254" s="4" t="s">
        <v>196</v>
      </c>
      <c r="B1254">
        <v>2011</v>
      </c>
      <c r="C1254" s="14">
        <f>624.8*(2/3*10)</f>
        <v>4165.333333333333</v>
      </c>
      <c r="D1254" s="14">
        <f>6.5*(2/3*10)</f>
        <v>43.333333333333329</v>
      </c>
      <c r="E1254" s="14">
        <f>64.1*(2/3*10)</f>
        <v>427.33333333333326</v>
      </c>
      <c r="F1254" s="14">
        <f>1*(2/3*10)</f>
        <v>6.6666666666666661</v>
      </c>
      <c r="G1254" s="14">
        <f>141.8*(2/3*10)</f>
        <v>945.33333333333337</v>
      </c>
      <c r="H1254" s="14">
        <f>29.2*(2/3*10)</f>
        <v>194.66666666666666</v>
      </c>
      <c r="I1254" s="14">
        <f>58.4*(2/3*10)</f>
        <v>389.33333333333331</v>
      </c>
      <c r="K1254">
        <v>1251</v>
      </c>
      <c r="L1254">
        <f t="shared" si="19"/>
        <v>3</v>
      </c>
    </row>
    <row r="1255" spans="1:12" ht="16.5" x14ac:dyDescent="0.2">
      <c r="A1255" s="4" t="s">
        <v>196</v>
      </c>
      <c r="B1255">
        <v>2012</v>
      </c>
      <c r="C1255" s="14">
        <f>624.2*(2/3*10)</f>
        <v>4161.333333333333</v>
      </c>
      <c r="D1255" s="14">
        <f>6.4*(2/3*10)</f>
        <v>42.666666666666664</v>
      </c>
      <c r="E1255" s="14">
        <f>63.6*(2/3*10)</f>
        <v>424</v>
      </c>
      <c r="F1255" s="14">
        <f>0.9*(2/3*10)</f>
        <v>6</v>
      </c>
      <c r="G1255" s="14">
        <f>143.3*(2/3*10)</f>
        <v>955.33333333333337</v>
      </c>
      <c r="H1255" s="14">
        <f>29.4*(2/3*10)</f>
        <v>195.99999999999997</v>
      </c>
      <c r="I1255" s="14">
        <f>58.3*(2/3*10)</f>
        <v>388.66666666666663</v>
      </c>
      <c r="K1255">
        <v>1252</v>
      </c>
      <c r="L1255">
        <f t="shared" si="19"/>
        <v>4</v>
      </c>
    </row>
    <row r="1256" spans="1:12" ht="16.5" x14ac:dyDescent="0.2">
      <c r="A1256" s="4" t="s">
        <v>196</v>
      </c>
      <c r="B1256">
        <v>2013</v>
      </c>
      <c r="C1256" s="14">
        <f>621.6*(2/3*10)</f>
        <v>4144</v>
      </c>
      <c r="D1256" s="14">
        <f>6.3*(2/3*10)</f>
        <v>41.999999999999993</v>
      </c>
      <c r="E1256" s="14">
        <f>62.8*(2/3*10)</f>
        <v>418.66666666666663</v>
      </c>
      <c r="F1256" s="14">
        <f>0.9*(2/3*10)</f>
        <v>6</v>
      </c>
      <c r="G1256" s="14">
        <f>146*(2/3*10)</f>
        <v>973.33333333333303</v>
      </c>
      <c r="H1256" s="14">
        <f>31.3*(2/3*10)</f>
        <v>208.66666666666666</v>
      </c>
      <c r="I1256" s="14">
        <f>58*(2/3*10)</f>
        <v>386.66666666666663</v>
      </c>
      <c r="K1256" s="15">
        <v>1253</v>
      </c>
      <c r="L1256">
        <f t="shared" si="19"/>
        <v>5</v>
      </c>
    </row>
    <row r="1257" spans="1:12" ht="16.5" x14ac:dyDescent="0.2">
      <c r="A1257" s="4" t="s">
        <v>196</v>
      </c>
      <c r="B1257">
        <v>2014</v>
      </c>
      <c r="C1257" s="14">
        <f>620.7*(2/3*10)</f>
        <v>4138</v>
      </c>
      <c r="D1257" s="14">
        <f>6.3*(2/3*10)</f>
        <v>41.999999999999993</v>
      </c>
      <c r="E1257" s="14">
        <f>62.4*(2/3*10)</f>
        <v>415.99999999999994</v>
      </c>
      <c r="F1257" s="14">
        <f>0.8*(2/3*10)</f>
        <v>5.333333333333333</v>
      </c>
      <c r="G1257" s="14">
        <f>147.9*(2/3*10)</f>
        <v>986</v>
      </c>
      <c r="H1257" s="14">
        <f>31.8*(2/3*10)</f>
        <v>212</v>
      </c>
      <c r="I1257" s="14">
        <f>57*(2/3*10)</f>
        <v>379.99999999999994</v>
      </c>
      <c r="K1257">
        <v>1254</v>
      </c>
      <c r="L1257">
        <f t="shared" si="19"/>
        <v>6</v>
      </c>
    </row>
    <row r="1258" spans="1:12" ht="16.5" x14ac:dyDescent="0.2">
      <c r="A1258" s="4" t="s">
        <v>196</v>
      </c>
      <c r="B1258">
        <v>2015</v>
      </c>
      <c r="C1258" s="14">
        <f>621*(2/3*10)</f>
        <v>4140</v>
      </c>
      <c r="D1258" s="14">
        <f>6.2*(2/3*10)</f>
        <v>41.333333333333329</v>
      </c>
      <c r="E1258" s="14">
        <f>61.3*(2/3*10)</f>
        <v>408.66666666666663</v>
      </c>
      <c r="F1258" s="14">
        <f>0.8*(2/3*10)</f>
        <v>5.333333333333333</v>
      </c>
      <c r="G1258" s="14">
        <f>149.9*(2/3*10)</f>
        <v>999.33333333333326</v>
      </c>
      <c r="H1258" s="14">
        <f>32*(2/3*10)</f>
        <v>213.33333333333331</v>
      </c>
      <c r="I1258" s="14">
        <f>55.7*(2/3*10)</f>
        <v>371.33333333333331</v>
      </c>
      <c r="K1258" s="15">
        <v>1255</v>
      </c>
      <c r="L1258">
        <f t="shared" si="19"/>
        <v>7</v>
      </c>
    </row>
    <row r="1259" spans="1:12" ht="16.5" x14ac:dyDescent="0.2">
      <c r="A1259" s="4" t="s">
        <v>196</v>
      </c>
      <c r="B1259">
        <v>2016</v>
      </c>
      <c r="C1259" s="14">
        <f>624.4*(2/3*10)</f>
        <v>4162.6666666666661</v>
      </c>
      <c r="D1259" s="14">
        <f>5.9*(2/3*10)</f>
        <v>39.333333333333336</v>
      </c>
      <c r="E1259" s="14">
        <f>57.7*(2/3*10)</f>
        <v>384.66666666666663</v>
      </c>
      <c r="F1259" s="14">
        <f>0.8*(2/3*10)</f>
        <v>5.333333333333333</v>
      </c>
      <c r="G1259" s="14">
        <f>152.5*(2/3*10)</f>
        <v>1016.6666666666666</v>
      </c>
      <c r="H1259" s="14">
        <f>31.9*(2/3*10)</f>
        <v>212.66666666666663</v>
      </c>
      <c r="I1259" s="14">
        <f>53.6*(2/3*10)</f>
        <v>357.33333333333331</v>
      </c>
      <c r="K1259">
        <v>1256</v>
      </c>
      <c r="L1259">
        <f t="shared" si="19"/>
        <v>0</v>
      </c>
    </row>
    <row r="1260" spans="1:12" ht="16.5" x14ac:dyDescent="0.2">
      <c r="A1260" s="4" t="s">
        <v>195</v>
      </c>
      <c r="B1260">
        <v>2009</v>
      </c>
      <c r="C1260" s="14">
        <f>652.6*(2/3*10)</f>
        <v>4350.6666666666661</v>
      </c>
      <c r="D1260" s="14">
        <f>20.7*(2/3*10)</f>
        <v>137.99999999999997</v>
      </c>
      <c r="E1260" s="14">
        <f>963.5*(2/3*10)</f>
        <v>6423.333333333333</v>
      </c>
      <c r="F1260" s="14">
        <f>208.6*(2/3*10)</f>
        <v>1390.6666666666665</v>
      </c>
      <c r="G1260" s="14">
        <f>195*(2/3*10)</f>
        <v>1299.9999999999998</v>
      </c>
      <c r="H1260" s="14">
        <f>34.4*(2/3*10)</f>
        <v>229.33333333333331</v>
      </c>
      <c r="I1260" s="14">
        <f>92.6*(2/3*10)</f>
        <v>617.33333333333326</v>
      </c>
      <c r="K1260">
        <v>1257</v>
      </c>
      <c r="L1260">
        <f t="shared" si="19"/>
        <v>1</v>
      </c>
    </row>
    <row r="1261" spans="1:12" ht="16.5" x14ac:dyDescent="0.2">
      <c r="A1261" s="4" t="s">
        <v>195</v>
      </c>
      <c r="B1261">
        <v>2010</v>
      </c>
      <c r="C1261" s="14">
        <f>651.1*(2/3*10)</f>
        <v>4340.6666666666661</v>
      </c>
      <c r="D1261" s="14">
        <f>20.5*(2/3*10)</f>
        <v>136.66666666666666</v>
      </c>
      <c r="E1261" s="14">
        <f>962*(2/3*10)</f>
        <v>6413.333333333333</v>
      </c>
      <c r="F1261" s="14">
        <f>207.4*(2/3*10)</f>
        <v>1382.6666666666665</v>
      </c>
      <c r="G1261" s="14">
        <f>198.9*(2/3*10)</f>
        <v>1326</v>
      </c>
      <c r="H1261" s="14">
        <f>35.8*(2/3*10)</f>
        <v>238.66666666666663</v>
      </c>
      <c r="I1261" s="14">
        <f>92.2*(2/3*10)</f>
        <v>614.66666666666663</v>
      </c>
      <c r="K1261" s="15">
        <v>1258</v>
      </c>
      <c r="L1261">
        <f t="shared" si="19"/>
        <v>2</v>
      </c>
    </row>
    <row r="1262" spans="1:12" ht="16.5" x14ac:dyDescent="0.2">
      <c r="A1262" s="4" t="s">
        <v>195</v>
      </c>
      <c r="B1262">
        <v>2011</v>
      </c>
      <c r="C1262" s="14">
        <f>649.7*(2/3*10)</f>
        <v>4331.333333333333</v>
      </c>
      <c r="D1262" s="14">
        <f>20*(2/3*10)</f>
        <v>133.33333333333331</v>
      </c>
      <c r="E1262" s="14">
        <f>960.7*(2/3*10)</f>
        <v>6404.6666666666661</v>
      </c>
      <c r="F1262" s="14">
        <f>205*(2/3*10)</f>
        <v>1366.6666666666665</v>
      </c>
      <c r="G1262" s="14">
        <f>203.7*(2/3*10)</f>
        <v>1358</v>
      </c>
      <c r="H1262" s="14">
        <f>37.8*(2/3*10)</f>
        <v>251.99999999999997</v>
      </c>
      <c r="I1262" s="14">
        <f>91*(2/3*10)</f>
        <v>606.66666666666663</v>
      </c>
      <c r="K1262">
        <v>1259</v>
      </c>
      <c r="L1262">
        <f t="shared" si="19"/>
        <v>3</v>
      </c>
    </row>
    <row r="1263" spans="1:12" ht="16.5" x14ac:dyDescent="0.2">
      <c r="A1263" s="4" t="s">
        <v>195</v>
      </c>
      <c r="B1263">
        <v>2012</v>
      </c>
      <c r="C1263" s="14">
        <f>648.9*(2/3*10)</f>
        <v>4325.9999999999991</v>
      </c>
      <c r="D1263" s="14">
        <f>19.6*(2/3*10)</f>
        <v>130.66666666666666</v>
      </c>
      <c r="E1263" s="14">
        <f>960*(2/3*10)</f>
        <v>6399.9999999999991</v>
      </c>
      <c r="F1263" s="14">
        <f>203.5*(2/3*10)</f>
        <v>1356.6666666666665</v>
      </c>
      <c r="G1263" s="14">
        <f>207.3*(2/3*10)</f>
        <v>1381.9999999999998</v>
      </c>
      <c r="H1263" s="14">
        <f>38.3*(2/3*10)</f>
        <v>255.33333333333329</v>
      </c>
      <c r="I1263" s="14">
        <f>90.5*(2/3*10)</f>
        <v>603.33333333333326</v>
      </c>
      <c r="K1263" s="15">
        <v>1260</v>
      </c>
      <c r="L1263">
        <f t="shared" si="19"/>
        <v>4</v>
      </c>
    </row>
    <row r="1264" spans="1:12" ht="16.5" x14ac:dyDescent="0.2">
      <c r="A1264" s="4" t="s">
        <v>195</v>
      </c>
      <c r="B1264">
        <v>2013</v>
      </c>
      <c r="C1264" s="14">
        <f>648.9*(2/3*10)</f>
        <v>4325.9999999999991</v>
      </c>
      <c r="D1264" s="14">
        <f>19.3*(2/3*10)</f>
        <v>128.66666666666666</v>
      </c>
      <c r="E1264" s="14">
        <f>959.6*(2/3*10)</f>
        <v>6397.333333333333</v>
      </c>
      <c r="F1264" s="14">
        <f>202.1*(2/3*10)</f>
        <v>1347.3333333333333</v>
      </c>
      <c r="G1264" s="14">
        <f>209.7*(2/3*10)</f>
        <v>1397.9999999999998</v>
      </c>
      <c r="H1264" s="14">
        <f>38.7*(2/3*10)</f>
        <v>258</v>
      </c>
      <c r="I1264" s="14">
        <f>89.6*(2/3*10)</f>
        <v>597.33333333333326</v>
      </c>
      <c r="K1264">
        <v>1261</v>
      </c>
      <c r="L1264">
        <f t="shared" si="19"/>
        <v>5</v>
      </c>
    </row>
    <row r="1265" spans="1:12" ht="16.5" x14ac:dyDescent="0.2">
      <c r="A1265" s="4" t="s">
        <v>195</v>
      </c>
      <c r="B1265">
        <v>2014</v>
      </c>
      <c r="C1265" s="14">
        <f>647.6*(2/3*10)</f>
        <v>4317.333333333333</v>
      </c>
      <c r="D1265" s="14">
        <f>19.2*(2/3*10)</f>
        <v>127.99999999999999</v>
      </c>
      <c r="E1265" s="14">
        <f>958.9*(2/3*10)</f>
        <v>6392.6666666666661</v>
      </c>
      <c r="F1265" s="14">
        <f>200.4*(2/3*10)</f>
        <v>1336</v>
      </c>
      <c r="G1265" s="14">
        <f>212.9*(2/3*10)</f>
        <v>1419.3333333333333</v>
      </c>
      <c r="H1265" s="14">
        <f>39.5*(2/3*10)</f>
        <v>263.33333333333331</v>
      </c>
      <c r="I1265" s="14">
        <f>89.1*(2/3*10)</f>
        <v>593.99999999999989</v>
      </c>
      <c r="K1265">
        <v>1262</v>
      </c>
      <c r="L1265">
        <f t="shared" si="19"/>
        <v>6</v>
      </c>
    </row>
    <row r="1266" spans="1:12" ht="16.5" x14ac:dyDescent="0.2">
      <c r="A1266" s="4" t="s">
        <v>195</v>
      </c>
      <c r="B1266">
        <v>2015</v>
      </c>
      <c r="C1266" s="14">
        <f>646.4*(2/3*10)</f>
        <v>4309.333333333333</v>
      </c>
      <c r="D1266" s="14">
        <f>19*(2/3*10)</f>
        <v>126.66666666666666</v>
      </c>
      <c r="E1266" s="14">
        <f>958.6*(2/3*10)</f>
        <v>6390.6666666666661</v>
      </c>
      <c r="F1266" s="14">
        <f>199.2*(2/3*10)</f>
        <v>1327.9999999999998</v>
      </c>
      <c r="G1266" s="14">
        <f>215.8*(2/3*10)</f>
        <v>1438.6666666666665</v>
      </c>
      <c r="H1266" s="14">
        <f>39.8*(2/3*10)</f>
        <v>265.33333333333331</v>
      </c>
      <c r="I1266" s="14">
        <f>88.5*(2/3*10)</f>
        <v>590</v>
      </c>
      <c r="K1266" s="15">
        <v>1263</v>
      </c>
      <c r="L1266">
        <f t="shared" si="19"/>
        <v>7</v>
      </c>
    </row>
    <row r="1267" spans="1:12" ht="16.5" x14ac:dyDescent="0.2">
      <c r="A1267" s="4" t="s">
        <v>195</v>
      </c>
      <c r="B1267">
        <v>2016</v>
      </c>
      <c r="C1267" s="14">
        <f>646.2*(2/3*10)</f>
        <v>4308</v>
      </c>
      <c r="D1267" s="14">
        <f>18.1*(2/3*10)</f>
        <v>120.66666666666667</v>
      </c>
      <c r="E1267" s="14">
        <f>958.3*(2/3*10)</f>
        <v>6388.6666666666661</v>
      </c>
      <c r="F1267" s="14">
        <f>198.4*(2/3*10)</f>
        <v>1322.6666666666665</v>
      </c>
      <c r="G1267" s="14">
        <f>218.1*(2/3*10)</f>
        <v>1454</v>
      </c>
      <c r="H1267" s="14">
        <f>40.3*(2/3*10)</f>
        <v>268.66666666666663</v>
      </c>
      <c r="I1267" s="14">
        <f>87.7*(2/3*10)</f>
        <v>584.66666666666663</v>
      </c>
      <c r="K1267">
        <v>1264</v>
      </c>
      <c r="L1267">
        <f t="shared" si="19"/>
        <v>0</v>
      </c>
    </row>
    <row r="1268" spans="1:12" ht="16.5" x14ac:dyDescent="0.2">
      <c r="A1268" s="4" t="s">
        <v>194</v>
      </c>
      <c r="B1268">
        <v>2009</v>
      </c>
      <c r="C1268" s="14">
        <f>485.5*(2/3*10)</f>
        <v>3236.6666666666665</v>
      </c>
      <c r="D1268" s="14">
        <f>4.8*(2/3*10)</f>
        <v>31.999999999999996</v>
      </c>
      <c r="E1268" s="14">
        <f>272.5*(2/3*10)</f>
        <v>1816.6666666666665</v>
      </c>
      <c r="F1268" s="14">
        <f>126.3*(2/3*10)</f>
        <v>841.99999999999989</v>
      </c>
      <c r="G1268" s="14">
        <f>135.4*(2/3*10)</f>
        <v>902.6666666666664</v>
      </c>
      <c r="H1268" s="14">
        <f>30.2*(2/3*10)</f>
        <v>201.33333333333331</v>
      </c>
      <c r="I1268" s="14">
        <f>78.9*(2/3*10)</f>
        <v>526</v>
      </c>
      <c r="K1268" s="15">
        <v>1265</v>
      </c>
      <c r="L1268">
        <f t="shared" si="19"/>
        <v>1</v>
      </c>
    </row>
    <row r="1269" spans="1:12" ht="16.5" x14ac:dyDescent="0.2">
      <c r="A1269" s="4" t="s">
        <v>194</v>
      </c>
      <c r="B1269">
        <v>2010</v>
      </c>
      <c r="C1269" s="14">
        <f>483*(2/3*10)</f>
        <v>3219.9999999999995</v>
      </c>
      <c r="D1269" s="14">
        <f>4.7*(2/3*10)</f>
        <v>31.333333333333332</v>
      </c>
      <c r="E1269" s="14">
        <f>272.2*(2/3*10)</f>
        <v>1814.6666666666665</v>
      </c>
      <c r="F1269" s="14">
        <f>125.7*(2/3*10)</f>
        <v>838</v>
      </c>
      <c r="G1269" s="14">
        <f>137.3*(2/3*10)</f>
        <v>915.33333333333337</v>
      </c>
      <c r="H1269" s="14">
        <f>30.3*(2/3*10)</f>
        <v>202</v>
      </c>
      <c r="I1269" s="14">
        <f>80.8*(2/3*10)</f>
        <v>538.66666666666663</v>
      </c>
      <c r="K1269">
        <v>1266</v>
      </c>
      <c r="L1269">
        <f t="shared" si="19"/>
        <v>2</v>
      </c>
    </row>
    <row r="1270" spans="1:12" ht="16.5" x14ac:dyDescent="0.2">
      <c r="A1270" s="4" t="s">
        <v>194</v>
      </c>
      <c r="B1270">
        <v>2011</v>
      </c>
      <c r="C1270" s="14">
        <f>482.4*(2/3*10)</f>
        <v>3215.9999999999995</v>
      </c>
      <c r="D1270" s="14">
        <f>4.6*(2/3*10)</f>
        <v>30.666666666666661</v>
      </c>
      <c r="E1270" s="14">
        <f>271.6*(2/3*10)</f>
        <v>1810.6666666666667</v>
      </c>
      <c r="F1270" s="14">
        <f>124.4*(2/3*10)</f>
        <v>829.33333333333326</v>
      </c>
      <c r="G1270" s="14">
        <f>139.9*(2/3*10)</f>
        <v>932.66666666666663</v>
      </c>
      <c r="H1270" s="14">
        <f>30.7*(2/3*10)</f>
        <v>204.66666666666666</v>
      </c>
      <c r="I1270" s="14">
        <f>80.6*(2/3*10)</f>
        <v>537.33333333333326</v>
      </c>
      <c r="K1270">
        <v>1267</v>
      </c>
      <c r="L1270">
        <f t="shared" si="19"/>
        <v>3</v>
      </c>
    </row>
    <row r="1271" spans="1:12" ht="16.5" x14ac:dyDescent="0.2">
      <c r="A1271" s="4" t="s">
        <v>194</v>
      </c>
      <c r="B1271">
        <v>2012</v>
      </c>
      <c r="C1271" s="14">
        <f>482.7*(2/3*10)</f>
        <v>3217.9999999999995</v>
      </c>
      <c r="D1271" s="14">
        <f>4.6*(2/3*10)</f>
        <v>30.666666666666661</v>
      </c>
      <c r="E1271" s="14">
        <f>271.2*(2/3*10)</f>
        <v>1807.9999999999998</v>
      </c>
      <c r="F1271" s="14">
        <f>123.2*(2/3*10)</f>
        <v>821.33333333333326</v>
      </c>
      <c r="G1271" s="14">
        <f>141.6*(2/3*10)</f>
        <v>944.00000000000011</v>
      </c>
      <c r="H1271" s="14">
        <f>30.9*(2/3*10)</f>
        <v>205.99999999999997</v>
      </c>
      <c r="I1271" s="14">
        <f>80.6*(2/3*10)</f>
        <v>537.33333333333326</v>
      </c>
      <c r="K1271" s="15">
        <v>1268</v>
      </c>
      <c r="L1271">
        <f t="shared" si="19"/>
        <v>4</v>
      </c>
    </row>
    <row r="1272" spans="1:12" ht="16.5" x14ac:dyDescent="0.2">
      <c r="A1272" s="4" t="s">
        <v>194</v>
      </c>
      <c r="B1272">
        <v>2013</v>
      </c>
      <c r="C1272" s="14">
        <f>482.6*(2/3*10)</f>
        <v>3217.333333333333</v>
      </c>
      <c r="D1272" s="14">
        <f>4.6*(2/3*10)</f>
        <v>30.666666666666661</v>
      </c>
      <c r="E1272" s="14">
        <f>270.9*(2/3*10)</f>
        <v>1805.9999999999998</v>
      </c>
      <c r="F1272" s="14">
        <f>122.6*(2/3*10)</f>
        <v>817.33333333333326</v>
      </c>
      <c r="G1272" s="14">
        <f>142.7*(2/3*10)</f>
        <v>951.33333333333314</v>
      </c>
      <c r="H1272" s="14">
        <f>31.2*(2/3*10)</f>
        <v>207.99999999999997</v>
      </c>
      <c r="I1272" s="14">
        <f>80.5*(2/3*10)</f>
        <v>536.66666666666663</v>
      </c>
      <c r="K1272">
        <v>1269</v>
      </c>
      <c r="L1272">
        <f t="shared" si="19"/>
        <v>5</v>
      </c>
    </row>
    <row r="1273" spans="1:12" ht="16.5" x14ac:dyDescent="0.2">
      <c r="A1273" s="4" t="s">
        <v>194</v>
      </c>
      <c r="B1273">
        <v>2014</v>
      </c>
      <c r="C1273" s="14">
        <f>479.9*(2/3*10)</f>
        <v>3199.333333333333</v>
      </c>
      <c r="D1273" s="14">
        <f>4.5*(2/3*10)</f>
        <v>29.999999999999996</v>
      </c>
      <c r="E1273" s="14">
        <f>270.6*(2/3*10)</f>
        <v>1804</v>
      </c>
      <c r="F1273" s="14">
        <f>122*(2/3*10)</f>
        <v>813.33333333333326</v>
      </c>
      <c r="G1273" s="14">
        <f>146.7*(2/3*10)</f>
        <v>977.99999999999989</v>
      </c>
      <c r="H1273" s="14">
        <f>31.8*(2/3*10)</f>
        <v>212</v>
      </c>
      <c r="I1273" s="14">
        <f>80.3*(2/3*10)</f>
        <v>535.33333333333326</v>
      </c>
      <c r="K1273" s="15">
        <v>1270</v>
      </c>
      <c r="L1273">
        <f t="shared" si="19"/>
        <v>6</v>
      </c>
    </row>
    <row r="1274" spans="1:12" ht="16.5" x14ac:dyDescent="0.2">
      <c r="A1274" s="4" t="s">
        <v>194</v>
      </c>
      <c r="B1274">
        <v>2015</v>
      </c>
      <c r="C1274" s="14">
        <f>479.3*(2/3*10)</f>
        <v>3195.333333333333</v>
      </c>
      <c r="D1274" s="14">
        <f>4.5*(2/3*10)</f>
        <v>29.999999999999996</v>
      </c>
      <c r="E1274" s="14">
        <f>270.3*(2/3*10)</f>
        <v>1802</v>
      </c>
      <c r="F1274" s="14">
        <f>121*(2/3*10)</f>
        <v>806.66666666666663</v>
      </c>
      <c r="G1274" s="14">
        <f>148.9*(2/3*10)</f>
        <v>992.66666666666663</v>
      </c>
      <c r="H1274" s="14">
        <f>32*(2/3*10)</f>
        <v>213.33333333333331</v>
      </c>
      <c r="I1274" s="14">
        <f>80.2*(2/3*10)</f>
        <v>534.66666666666663</v>
      </c>
      <c r="K1274">
        <v>1271</v>
      </c>
      <c r="L1274">
        <f t="shared" si="19"/>
        <v>7</v>
      </c>
    </row>
    <row r="1275" spans="1:12" ht="16.5" x14ac:dyDescent="0.2">
      <c r="A1275" s="4" t="s">
        <v>194</v>
      </c>
      <c r="B1275">
        <v>2016</v>
      </c>
      <c r="C1275" s="14">
        <f>480.6*(2/3*10)</f>
        <v>3204</v>
      </c>
      <c r="D1275" s="14">
        <f>4.4*(2/3*10)</f>
        <v>29.333333333333332</v>
      </c>
      <c r="E1275" s="14">
        <f>270.1*(2/3*10)</f>
        <v>1800.6666666666667</v>
      </c>
      <c r="F1275" s="14">
        <f>119.9*(2/3*10)</f>
        <v>799.33333333333326</v>
      </c>
      <c r="G1275" s="14">
        <f>151*(2/3*10)</f>
        <v>1006.6666666666667</v>
      </c>
      <c r="H1275" s="14">
        <f>31.9*(2/3*10)</f>
        <v>212.66666666666663</v>
      </c>
      <c r="I1275" s="14">
        <f>80*(2/3*10)</f>
        <v>533.33333333333326</v>
      </c>
      <c r="K1275">
        <v>1272</v>
      </c>
      <c r="L1275">
        <f t="shared" si="19"/>
        <v>0</v>
      </c>
    </row>
    <row r="1276" spans="1:12" ht="16.5" x14ac:dyDescent="0.2">
      <c r="A1276" s="4" t="s">
        <v>193</v>
      </c>
      <c r="B1276">
        <v>2009</v>
      </c>
      <c r="C1276" s="14">
        <f>617.1*(2/3*10)</f>
        <v>4114</v>
      </c>
      <c r="D1276" s="14">
        <f>8.8*(2/3*10)</f>
        <v>58.666666666666664</v>
      </c>
      <c r="E1276" s="14">
        <f>104.9*(2/3*10)</f>
        <v>699.33333333333326</v>
      </c>
      <c r="F1276" s="14">
        <f>53.7*(2/3*10)</f>
        <v>358</v>
      </c>
      <c r="G1276" s="14">
        <f>152*(2/3*10)</f>
        <v>1013.3333333333333</v>
      </c>
      <c r="H1276" s="14">
        <f>29.6*(2/3*10)</f>
        <v>197.33333333333331</v>
      </c>
      <c r="I1276" s="14">
        <f>32.2*(2/3*10)</f>
        <v>214.66666666666666</v>
      </c>
      <c r="K1276" s="15">
        <v>1273</v>
      </c>
      <c r="L1276">
        <f t="shared" si="19"/>
        <v>1</v>
      </c>
    </row>
    <row r="1277" spans="1:12" ht="16.5" x14ac:dyDescent="0.2">
      <c r="A1277" s="4" t="s">
        <v>193</v>
      </c>
      <c r="B1277">
        <v>2010</v>
      </c>
      <c r="C1277" s="14">
        <f>615.2*(2/3*10)</f>
        <v>4101.333333333333</v>
      </c>
      <c r="D1277" s="14">
        <f>8.6*(2/3*10)</f>
        <v>57.333333333333329</v>
      </c>
      <c r="E1277" s="14">
        <f>104.5*(2/3*10)</f>
        <v>696.66666666666663</v>
      </c>
      <c r="F1277" s="14">
        <f>53.5*(2/3*10)</f>
        <v>356.66666666666663</v>
      </c>
      <c r="G1277" s="14">
        <f>155.1*(2/3*10)</f>
        <v>1033.9999999999998</v>
      </c>
      <c r="H1277" s="14">
        <f>30.5*(2/3*10)</f>
        <v>203.33333333333331</v>
      </c>
      <c r="I1277" s="14">
        <f>32.1*(2/3*10)</f>
        <v>214</v>
      </c>
      <c r="K1277">
        <v>1274</v>
      </c>
      <c r="L1277">
        <f t="shared" si="19"/>
        <v>2</v>
      </c>
    </row>
    <row r="1278" spans="1:12" ht="16.5" x14ac:dyDescent="0.2">
      <c r="A1278" s="4" t="s">
        <v>193</v>
      </c>
      <c r="B1278">
        <v>2011</v>
      </c>
      <c r="C1278" s="14">
        <f>614.6*(2/3*10)</f>
        <v>4097.333333333333</v>
      </c>
      <c r="D1278" s="14">
        <f>7.7*(2/3*10)</f>
        <v>51.333333333333329</v>
      </c>
      <c r="E1278" s="14">
        <f>103.3*(2/3*10)</f>
        <v>688.66666666666663</v>
      </c>
      <c r="F1278" s="14">
        <f>53.2*(2/3*10)</f>
        <v>354.66666666666663</v>
      </c>
      <c r="G1278" s="14">
        <f>158.4*(2/3*10)</f>
        <v>1056</v>
      </c>
      <c r="H1278" s="14">
        <f>31.2*(2/3*10)</f>
        <v>207.99999999999997</v>
      </c>
      <c r="I1278" s="14">
        <f>31.9*(2/3*10)</f>
        <v>212.66666666666663</v>
      </c>
      <c r="K1278" s="15">
        <v>1275</v>
      </c>
      <c r="L1278">
        <f t="shared" si="19"/>
        <v>3</v>
      </c>
    </row>
    <row r="1279" spans="1:12" ht="16.5" x14ac:dyDescent="0.2">
      <c r="A1279" s="4" t="s">
        <v>193</v>
      </c>
      <c r="B1279">
        <v>2012</v>
      </c>
      <c r="C1279" s="14">
        <f>615*(2/3*10)</f>
        <v>4100</v>
      </c>
      <c r="D1279" s="14">
        <f>7.5*(2/3*10)</f>
        <v>49.999999999999993</v>
      </c>
      <c r="E1279" s="14">
        <f>102.4*(2/3*10)</f>
        <v>682.66666666666663</v>
      </c>
      <c r="F1279" s="14">
        <f>52.2*(2/3*10)</f>
        <v>348</v>
      </c>
      <c r="G1279" s="14">
        <f>161.1*(2/3*10)</f>
        <v>1074</v>
      </c>
      <c r="H1279" s="14">
        <f>31.7*(2/3*10)</f>
        <v>211.33333333333331</v>
      </c>
      <c r="I1279" s="14">
        <f>31.9*(2/3*10)</f>
        <v>212.66666666666663</v>
      </c>
      <c r="K1279">
        <v>1276</v>
      </c>
      <c r="L1279">
        <f t="shared" si="19"/>
        <v>4</v>
      </c>
    </row>
    <row r="1280" spans="1:12" ht="16.5" x14ac:dyDescent="0.2">
      <c r="A1280" s="4" t="s">
        <v>193</v>
      </c>
      <c r="B1280">
        <v>2013</v>
      </c>
      <c r="C1280" s="14">
        <f>614.8*(2/3*10)</f>
        <v>4098.6666666666661</v>
      </c>
      <c r="D1280" s="14">
        <f>7.4*(2/3*10)</f>
        <v>49.333333333333329</v>
      </c>
      <c r="E1280" s="14">
        <f>101.6*(2/3*10)</f>
        <v>677.33333333333326</v>
      </c>
      <c r="F1280" s="14">
        <f>52*(2/3*10)</f>
        <v>346.66666666666663</v>
      </c>
      <c r="G1280" s="14">
        <f>162.4*(2/3*10)</f>
        <v>1082.6666666666665</v>
      </c>
      <c r="H1280" s="14">
        <f>32.6*(2/3*10)</f>
        <v>217.33333333333331</v>
      </c>
      <c r="I1280" s="14">
        <f>31.9*(2/3*10)</f>
        <v>212.66666666666663</v>
      </c>
      <c r="K1280">
        <v>1277</v>
      </c>
      <c r="L1280">
        <f t="shared" ref="L1280:L1343" si="20">MOD(K1280,8)</f>
        <v>5</v>
      </c>
    </row>
    <row r="1281" spans="1:12" ht="16.5" x14ac:dyDescent="0.2">
      <c r="A1281" s="4" t="s">
        <v>193</v>
      </c>
      <c r="B1281">
        <v>2014</v>
      </c>
      <c r="C1281" s="14">
        <f>612.9*(2/3*10)</f>
        <v>4085.9999999999995</v>
      </c>
      <c r="D1281" s="14">
        <f>7.4*(2/3*10)</f>
        <v>49.333333333333329</v>
      </c>
      <c r="E1281" s="14">
        <f>101.3*(2/3*10)</f>
        <v>675.33333333333326</v>
      </c>
      <c r="F1281" s="14">
        <f>51.6*(2/3*10)</f>
        <v>344</v>
      </c>
      <c r="G1281" s="14">
        <f>164.7*(2/3*10)</f>
        <v>1097.9999999999998</v>
      </c>
      <c r="H1281" s="14">
        <f>32.8*(2/3*10)</f>
        <v>218.66666666666663</v>
      </c>
      <c r="I1281" s="14">
        <f>31.8*(2/3*10)</f>
        <v>212</v>
      </c>
      <c r="K1281" s="15">
        <v>1278</v>
      </c>
      <c r="L1281">
        <f t="shared" si="20"/>
        <v>6</v>
      </c>
    </row>
    <row r="1282" spans="1:12" ht="16.5" x14ac:dyDescent="0.2">
      <c r="A1282" s="4" t="s">
        <v>193</v>
      </c>
      <c r="B1282">
        <v>2015</v>
      </c>
      <c r="C1282" s="14">
        <f>611.7*(2/3*10)</f>
        <v>4078</v>
      </c>
      <c r="D1282" s="14">
        <f>7.3*(2/3*10)</f>
        <v>48.666666666666664</v>
      </c>
      <c r="E1282" s="14">
        <f>101.2*(2/3*10)</f>
        <v>674.66666666666663</v>
      </c>
      <c r="F1282" s="14">
        <f>51.6*(2/3*10)</f>
        <v>344</v>
      </c>
      <c r="G1282" s="14">
        <f>165.7*(2/3*10)</f>
        <v>1104.6666666666665</v>
      </c>
      <c r="H1282" s="14">
        <f>33.5*(2/3*10)</f>
        <v>223.33333333333331</v>
      </c>
      <c r="I1282" s="14">
        <f>31.8*(2/3*10)</f>
        <v>212</v>
      </c>
      <c r="K1282">
        <v>1279</v>
      </c>
      <c r="L1282">
        <f t="shared" si="20"/>
        <v>7</v>
      </c>
    </row>
    <row r="1283" spans="1:12" ht="16.5" x14ac:dyDescent="0.2">
      <c r="A1283" s="4" t="s">
        <v>193</v>
      </c>
      <c r="B1283">
        <v>2016</v>
      </c>
      <c r="C1283" s="14">
        <f>610.7*(2/3*10)</f>
        <v>4071.3333333333335</v>
      </c>
      <c r="D1283" s="14">
        <f>7.3*(2/3*10)</f>
        <v>48.666666666666664</v>
      </c>
      <c r="E1283" s="14">
        <f>100.2*(2/3*10)</f>
        <v>668</v>
      </c>
      <c r="F1283" s="14">
        <f>51.2*(2/3*10)</f>
        <v>341.33333333333331</v>
      </c>
      <c r="G1283" s="14">
        <f>168.1*(2/3*10)</f>
        <v>1120.6666666666667</v>
      </c>
      <c r="H1283" s="14">
        <f>33.8*(2/3*10)</f>
        <v>225.33333333333329</v>
      </c>
      <c r="I1283" s="14">
        <f>31.7*(2/3*10)</f>
        <v>211.33333333333331</v>
      </c>
      <c r="K1283" s="15">
        <v>1280</v>
      </c>
      <c r="L1283">
        <f t="shared" si="20"/>
        <v>0</v>
      </c>
    </row>
    <row r="1284" spans="1:12" ht="16.5" x14ac:dyDescent="0.2">
      <c r="A1284" s="4" t="s">
        <v>192</v>
      </c>
      <c r="B1284">
        <v>2009</v>
      </c>
      <c r="C1284" s="14">
        <f>186.6*(2/3*10)</f>
        <v>1243.9999999999998</v>
      </c>
      <c r="D1284" s="14">
        <f>2*(2/3*10)</f>
        <v>13.333333333333332</v>
      </c>
      <c r="E1284" s="14">
        <f>16*(2/3*10)</f>
        <v>106.66666666666666</v>
      </c>
      <c r="F1284" s="14">
        <f>3.3*(2/3*10)</f>
        <v>21.999999999999996</v>
      </c>
      <c r="G1284" s="14">
        <f>41.6*(2/3*10)</f>
        <v>277.33333333333326</v>
      </c>
      <c r="H1284" s="14">
        <f>8.9*(2/3*10)</f>
        <v>59.333333333333329</v>
      </c>
      <c r="I1284" s="14">
        <f>12.7*(2/3*10)</f>
        <v>84.666666666666657</v>
      </c>
      <c r="K1284">
        <v>1281</v>
      </c>
      <c r="L1284">
        <f t="shared" si="20"/>
        <v>1</v>
      </c>
    </row>
    <row r="1285" spans="1:12" ht="16.5" x14ac:dyDescent="0.2">
      <c r="A1285" s="4" t="s">
        <v>192</v>
      </c>
      <c r="B1285">
        <v>2010</v>
      </c>
      <c r="C1285" s="14">
        <f>185.1*(2/3*10)</f>
        <v>1233.9999999999998</v>
      </c>
      <c r="D1285" s="14">
        <f>2*(2/3*10)</f>
        <v>13.333333333333332</v>
      </c>
      <c r="E1285" s="14">
        <f>16*(2/3*10)</f>
        <v>106.66666666666666</v>
      </c>
      <c r="F1285" s="14">
        <f>3.2*(2/3*10)</f>
        <v>21.333333333333332</v>
      </c>
      <c r="G1285" s="14">
        <f>43.1*(2/3*10)</f>
        <v>287.33333333333326</v>
      </c>
      <c r="H1285" s="14">
        <f>9*(2/3*10)</f>
        <v>59.999999999999993</v>
      </c>
      <c r="I1285" s="14">
        <f>12.7*(2/3*10)</f>
        <v>84.666666666666657</v>
      </c>
      <c r="K1285">
        <v>1282</v>
      </c>
      <c r="L1285">
        <f t="shared" si="20"/>
        <v>2</v>
      </c>
    </row>
    <row r="1286" spans="1:12" ht="16.5" x14ac:dyDescent="0.2">
      <c r="A1286" s="4" t="s">
        <v>192</v>
      </c>
      <c r="B1286">
        <v>2011</v>
      </c>
      <c r="C1286" s="14">
        <f>183.8*(2/3*10)</f>
        <v>1225.3333333333333</v>
      </c>
      <c r="D1286" s="14">
        <f>2*(2/3*10)</f>
        <v>13.333333333333332</v>
      </c>
      <c r="E1286" s="14">
        <f>15.8*(2/3*10)</f>
        <v>105.33333333333333</v>
      </c>
      <c r="F1286" s="14">
        <f>3.2*(2/3*10)</f>
        <v>21.333333333333332</v>
      </c>
      <c r="G1286" s="14">
        <f>44.6*(2/3*10)</f>
        <v>297.33333333333326</v>
      </c>
      <c r="H1286" s="14">
        <f>9.2*(2/3*10)</f>
        <v>61.333333333333321</v>
      </c>
      <c r="I1286" s="14">
        <f>12.7*(2/3*10)</f>
        <v>84.666666666666657</v>
      </c>
      <c r="K1286" s="15">
        <v>1283</v>
      </c>
      <c r="L1286">
        <f t="shared" si="20"/>
        <v>3</v>
      </c>
    </row>
    <row r="1287" spans="1:12" ht="16.5" x14ac:dyDescent="0.2">
      <c r="A1287" s="4" t="s">
        <v>192</v>
      </c>
      <c r="B1287">
        <v>2012</v>
      </c>
      <c r="C1287" s="14">
        <f>182.7*(2/3*10)</f>
        <v>1217.9999999999998</v>
      </c>
      <c r="D1287" s="14">
        <f>2*(2/3*10)</f>
        <v>13.333333333333332</v>
      </c>
      <c r="E1287" s="14">
        <f>15.8*(2/3*10)</f>
        <v>105.33333333333333</v>
      </c>
      <c r="F1287" s="14">
        <f>3.2*(2/3*10)</f>
        <v>21.333333333333332</v>
      </c>
      <c r="G1287" s="14">
        <f>45.5*(2/3*10)</f>
        <v>303.33333333333331</v>
      </c>
      <c r="H1287" s="14">
        <f>9.5*(2/3*10)</f>
        <v>63.333333333333329</v>
      </c>
      <c r="I1287" s="14">
        <f>12.7*(2/3*10)</f>
        <v>84.666666666666657</v>
      </c>
      <c r="K1287">
        <v>1284</v>
      </c>
      <c r="L1287">
        <f t="shared" si="20"/>
        <v>4</v>
      </c>
    </row>
    <row r="1288" spans="1:12" ht="16.5" x14ac:dyDescent="0.2">
      <c r="A1288" s="4" t="s">
        <v>192</v>
      </c>
      <c r="B1288">
        <v>2013</v>
      </c>
      <c r="C1288" s="14">
        <f>180.9*(2/3*10)</f>
        <v>1206</v>
      </c>
      <c r="D1288" s="14">
        <f>1.9*(2/3*10)</f>
        <v>12.666666666666664</v>
      </c>
      <c r="E1288" s="14">
        <f>15.5*(2/3*10)</f>
        <v>103.33333333333333</v>
      </c>
      <c r="F1288" s="14">
        <f>3.2*(2/3*10)</f>
        <v>21.333333333333332</v>
      </c>
      <c r="G1288" s="14">
        <f>47.2*(2/3*10)</f>
        <v>314.66666666666669</v>
      </c>
      <c r="H1288" s="14">
        <f>9.9*(2/3*10)</f>
        <v>66</v>
      </c>
      <c r="I1288" s="14">
        <f>12.7*(2/3*10)</f>
        <v>84.666666666666657</v>
      </c>
      <c r="K1288" s="15">
        <v>1285</v>
      </c>
      <c r="L1288">
        <f t="shared" si="20"/>
        <v>5</v>
      </c>
    </row>
    <row r="1289" spans="1:12" ht="16.5" x14ac:dyDescent="0.2">
      <c r="A1289" s="4" t="s">
        <v>192</v>
      </c>
      <c r="B1289">
        <v>2014</v>
      </c>
      <c r="C1289" s="14">
        <f>179.1*(2/3*10)</f>
        <v>1193.9999999999998</v>
      </c>
      <c r="D1289" s="14">
        <f>1.9*(2/3*10)</f>
        <v>12.666666666666664</v>
      </c>
      <c r="E1289" s="14">
        <f>15.4*(2/3*10)</f>
        <v>102.66666666666666</v>
      </c>
      <c r="F1289" s="14">
        <f>3.2*(2/3*10)</f>
        <v>21.333333333333332</v>
      </c>
      <c r="G1289" s="14">
        <f>48.6*(2/3*10)</f>
        <v>324</v>
      </c>
      <c r="H1289" s="14">
        <f>10.4*(2/3*10)</f>
        <v>69.333333333333329</v>
      </c>
      <c r="I1289" s="14">
        <f>12.6*(2/3*10)</f>
        <v>83.999999999999986</v>
      </c>
      <c r="K1289">
        <v>1286</v>
      </c>
      <c r="L1289">
        <f t="shared" si="20"/>
        <v>6</v>
      </c>
    </row>
    <row r="1290" spans="1:12" ht="16.5" x14ac:dyDescent="0.2">
      <c r="A1290" s="4" t="s">
        <v>192</v>
      </c>
      <c r="B1290">
        <v>2015</v>
      </c>
      <c r="C1290" s="14">
        <f>179.5*(2/3*10)</f>
        <v>1196.6666666666665</v>
      </c>
      <c r="D1290" s="14">
        <f>1.9*(2/3*10)</f>
        <v>12.666666666666664</v>
      </c>
      <c r="E1290" s="14">
        <f>15.4*(2/3*10)</f>
        <v>102.66666666666666</v>
      </c>
      <c r="F1290" s="14">
        <f>2.6*(2/3*10)</f>
        <v>17.333333333333332</v>
      </c>
      <c r="G1290" s="14">
        <f>49.1*(2/3*10)</f>
        <v>327.33333333333331</v>
      </c>
      <c r="H1290" s="14">
        <f>10.4*(2/3*10)</f>
        <v>69.333333333333329</v>
      </c>
      <c r="I1290" s="14">
        <f>12.1*(2/3*10)</f>
        <v>80.666666666666657</v>
      </c>
      <c r="K1290">
        <v>1287</v>
      </c>
      <c r="L1290">
        <f t="shared" si="20"/>
        <v>7</v>
      </c>
    </row>
    <row r="1291" spans="1:12" ht="16.5" x14ac:dyDescent="0.2">
      <c r="A1291" s="4" t="s">
        <v>192</v>
      </c>
      <c r="B1291">
        <v>2016</v>
      </c>
      <c r="C1291" s="14">
        <f>179.4*(2/3*10)</f>
        <v>1196</v>
      </c>
      <c r="D1291" s="14">
        <f>1.9*(2/3*10)</f>
        <v>12.666666666666664</v>
      </c>
      <c r="E1291" s="14">
        <f>15.3*(2/3*10)</f>
        <v>102</v>
      </c>
      <c r="F1291" s="14">
        <f>2.5*(2/3*10)</f>
        <v>16.666666666666664</v>
      </c>
      <c r="G1291" s="14">
        <f>50.2*(2/3*10)</f>
        <v>334.66666666666663</v>
      </c>
      <c r="H1291" s="14">
        <f>10.2*(2/3*10)</f>
        <v>67.999999999999986</v>
      </c>
      <c r="I1291" s="14">
        <f>11.6*(2/3*10)</f>
        <v>77.333333333333329</v>
      </c>
      <c r="K1291" s="15">
        <v>1288</v>
      </c>
      <c r="L1291">
        <f t="shared" si="20"/>
        <v>0</v>
      </c>
    </row>
    <row r="1292" spans="1:12" ht="16.5" x14ac:dyDescent="0.2">
      <c r="A1292" s="4" t="s">
        <v>191</v>
      </c>
      <c r="B1292">
        <v>2009</v>
      </c>
      <c r="C1292" s="14">
        <f>713*(2/3*10)</f>
        <v>4753.333333333333</v>
      </c>
      <c r="D1292" s="14">
        <f>10.1*(2/3*10)</f>
        <v>67.333333333333329</v>
      </c>
      <c r="E1292" s="14">
        <f>140.6*(2/3*10)</f>
        <v>937.33333333333326</v>
      </c>
      <c r="F1292" s="14">
        <f>8.8*(2/3*10)</f>
        <v>58.666666666666664</v>
      </c>
      <c r="G1292" s="14">
        <f>179.1*(2/3*10)</f>
        <v>1193.9999999999998</v>
      </c>
      <c r="H1292" s="14">
        <f>43*(2/3*10)</f>
        <v>286.66666666666663</v>
      </c>
      <c r="I1292" s="14">
        <f>96.4*(2/3*10)</f>
        <v>642.66666666666663</v>
      </c>
      <c r="K1292">
        <v>1289</v>
      </c>
      <c r="L1292">
        <f t="shared" si="20"/>
        <v>1</v>
      </c>
    </row>
    <row r="1293" spans="1:12" ht="16.5" x14ac:dyDescent="0.2">
      <c r="A1293" s="4" t="s">
        <v>191</v>
      </c>
      <c r="B1293">
        <v>2010</v>
      </c>
      <c r="C1293" s="14">
        <f>712.8*(2/3*10)</f>
        <v>4751.9999999999991</v>
      </c>
      <c r="D1293" s="14">
        <f>10*(2/3*10)</f>
        <v>66.666666666666657</v>
      </c>
      <c r="E1293" s="14">
        <f>140.4*(2/3*10)</f>
        <v>936</v>
      </c>
      <c r="F1293" s="14">
        <f>8.6*(2/3*10)</f>
        <v>57.333333333333329</v>
      </c>
      <c r="G1293" s="14">
        <f>181.4*(2/3*10)</f>
        <v>1209.3333333333333</v>
      </c>
      <c r="H1293" s="14">
        <f>43.3*(2/3*10)</f>
        <v>288.66666666666663</v>
      </c>
      <c r="I1293" s="14">
        <f>95.2*(2/3*10)</f>
        <v>634.66666666666663</v>
      </c>
      <c r="K1293" s="15">
        <v>1290</v>
      </c>
      <c r="L1293">
        <f t="shared" si="20"/>
        <v>2</v>
      </c>
    </row>
    <row r="1294" spans="1:12" ht="16.5" x14ac:dyDescent="0.2">
      <c r="A1294" s="4" t="s">
        <v>191</v>
      </c>
      <c r="B1294">
        <v>2011</v>
      </c>
      <c r="C1294" s="14">
        <f>712.3*(2/3*10)</f>
        <v>4748.6666666666661</v>
      </c>
      <c r="D1294" s="14">
        <f>9.7*(2/3*10)</f>
        <v>64.666666666666657</v>
      </c>
      <c r="E1294" s="14">
        <f>140.2*(2/3*10)</f>
        <v>934.66666666666652</v>
      </c>
      <c r="F1294" s="14">
        <f>8.2*(2/3*10)</f>
        <v>54.666666666666657</v>
      </c>
      <c r="G1294" s="14">
        <f>184.7*(2/3*10)</f>
        <v>1231.3333333333333</v>
      </c>
      <c r="H1294" s="14">
        <f>44*(2/3*10)</f>
        <v>293.33333333333331</v>
      </c>
      <c r="I1294" s="14">
        <f>94.2*(2/3*10)</f>
        <v>628</v>
      </c>
      <c r="K1294">
        <v>1291</v>
      </c>
      <c r="L1294">
        <f t="shared" si="20"/>
        <v>3</v>
      </c>
    </row>
    <row r="1295" spans="1:12" ht="16.5" x14ac:dyDescent="0.2">
      <c r="A1295" s="4" t="s">
        <v>191</v>
      </c>
      <c r="B1295">
        <v>2012</v>
      </c>
      <c r="C1295" s="14">
        <f>713.3*(2/3*10)</f>
        <v>4755.333333333333</v>
      </c>
      <c r="D1295" s="14">
        <f>8.8*(2/3*10)</f>
        <v>58.666666666666664</v>
      </c>
      <c r="E1295" s="14">
        <f>139.2*(2/3*10)</f>
        <v>927.99999999999989</v>
      </c>
      <c r="F1295" s="14">
        <f>8.1*(2/3*10)</f>
        <v>53.999999999999993</v>
      </c>
      <c r="G1295" s="14">
        <f>186.9*(2/3*10)</f>
        <v>1245.9999999999998</v>
      </c>
      <c r="H1295" s="14">
        <f>44.2*(2/3*10)</f>
        <v>294.66666666666669</v>
      </c>
      <c r="I1295" s="14">
        <f>94.7*(2/3*10)</f>
        <v>631.33333333333326</v>
      </c>
      <c r="K1295">
        <v>1292</v>
      </c>
      <c r="L1295">
        <f t="shared" si="20"/>
        <v>4</v>
      </c>
    </row>
    <row r="1296" spans="1:12" ht="16.5" x14ac:dyDescent="0.2">
      <c r="A1296" s="4" t="s">
        <v>191</v>
      </c>
      <c r="B1296">
        <v>2013</v>
      </c>
      <c r="C1296" s="14">
        <f>713.1*(2/3*10)</f>
        <v>4754</v>
      </c>
      <c r="D1296" s="14">
        <f>8.8*(2/3*10)</f>
        <v>58.666666666666664</v>
      </c>
      <c r="E1296" s="14">
        <f>139*(2/3*10)</f>
        <v>926.66666666666663</v>
      </c>
      <c r="F1296" s="14">
        <f>7.6*(2/3*10)</f>
        <v>50.666666666666657</v>
      </c>
      <c r="G1296" s="14">
        <f>189.6*(2/3*10)</f>
        <v>1263.9999999999998</v>
      </c>
      <c r="H1296" s="14">
        <f>44.5*(2/3*10)</f>
        <v>296.66666666666663</v>
      </c>
      <c r="I1296" s="14">
        <f>94.4*(2/3*10)</f>
        <v>629.33333333333337</v>
      </c>
      <c r="K1296" s="15">
        <v>1293</v>
      </c>
      <c r="L1296">
        <f t="shared" si="20"/>
        <v>5</v>
      </c>
    </row>
    <row r="1297" spans="1:12" ht="16.5" x14ac:dyDescent="0.2">
      <c r="A1297" s="4" t="s">
        <v>191</v>
      </c>
      <c r="B1297">
        <v>2014</v>
      </c>
      <c r="C1297" s="14">
        <f>710.7*(2/3*10)</f>
        <v>4738</v>
      </c>
      <c r="D1297" s="14">
        <f>8.7*(2/3*10)</f>
        <v>57.999999999999993</v>
      </c>
      <c r="E1297" s="14">
        <f>138.8*(2/3*10)</f>
        <v>925.33333333333337</v>
      </c>
      <c r="F1297" s="14">
        <f>7.6*(2/3*10)</f>
        <v>50.666666666666657</v>
      </c>
      <c r="G1297" s="14">
        <f>192.4*(2/3*10)</f>
        <v>1282.6666666666665</v>
      </c>
      <c r="H1297" s="14">
        <f>44.8*(2/3*10)</f>
        <v>298.66666666666663</v>
      </c>
      <c r="I1297" s="14">
        <f>93.8*(2/3*10)</f>
        <v>625.33333333333326</v>
      </c>
      <c r="K1297">
        <v>1294</v>
      </c>
      <c r="L1297">
        <f t="shared" si="20"/>
        <v>6</v>
      </c>
    </row>
    <row r="1298" spans="1:12" ht="16.5" x14ac:dyDescent="0.2">
      <c r="A1298" s="4" t="s">
        <v>191</v>
      </c>
      <c r="B1298">
        <v>2015</v>
      </c>
      <c r="C1298" s="14">
        <f>709.6*(2/3*10)</f>
        <v>4730.6666666666661</v>
      </c>
      <c r="D1298" s="14">
        <f>8.5*(2/3*10)</f>
        <v>56.666666666666664</v>
      </c>
      <c r="E1298" s="14">
        <f>138.7*(2/3*10)</f>
        <v>924.66666666666652</v>
      </c>
      <c r="F1298" s="14">
        <f>7.3*(2/3*10)</f>
        <v>48.666666666666664</v>
      </c>
      <c r="G1298" s="14">
        <f>195.3*(2/3*10)</f>
        <v>1301.9999999999998</v>
      </c>
      <c r="H1298" s="14">
        <f>45*(2/3*10)</f>
        <v>300</v>
      </c>
      <c r="I1298" s="14">
        <f>93.5*(2/3*10)</f>
        <v>623.33333333333326</v>
      </c>
      <c r="K1298" s="15">
        <v>1295</v>
      </c>
      <c r="L1298">
        <f t="shared" si="20"/>
        <v>7</v>
      </c>
    </row>
    <row r="1299" spans="1:12" ht="16.5" x14ac:dyDescent="0.2">
      <c r="A1299" s="4" t="s">
        <v>191</v>
      </c>
      <c r="B1299">
        <v>2016</v>
      </c>
      <c r="C1299" s="14">
        <f>709.2*(2/3*10)</f>
        <v>4728</v>
      </c>
      <c r="D1299" s="14">
        <f>8.5*(2/3*10)</f>
        <v>56.666666666666664</v>
      </c>
      <c r="E1299" s="14">
        <f>138.5*(2/3*10)</f>
        <v>923.33333333333326</v>
      </c>
      <c r="F1299" s="14">
        <f>7.1*(2/3*10)</f>
        <v>47.333333333333329</v>
      </c>
      <c r="G1299" s="14">
        <f>198.3*(2/3*10)</f>
        <v>1321.9999999999998</v>
      </c>
      <c r="H1299" s="14">
        <f>44.6*(2/3*10)</f>
        <v>297.33333333333331</v>
      </c>
      <c r="I1299" s="14">
        <f>92.4*(2/3*10)</f>
        <v>616</v>
      </c>
      <c r="K1299">
        <v>1296</v>
      </c>
      <c r="L1299">
        <f t="shared" si="20"/>
        <v>0</v>
      </c>
    </row>
    <row r="1300" spans="1:12" ht="16.5" x14ac:dyDescent="0.2">
      <c r="A1300" s="4" t="s">
        <v>190</v>
      </c>
      <c r="B1300">
        <v>2009</v>
      </c>
      <c r="C1300" s="14">
        <f>293.4*(2/3*10)</f>
        <v>1955.9999999999998</v>
      </c>
      <c r="D1300" s="14">
        <f>5.9*(2/3*10)</f>
        <v>39.333333333333336</v>
      </c>
      <c r="E1300" s="14">
        <f>93.2*(2/3*10)</f>
        <v>621.33333333333326</v>
      </c>
      <c r="F1300" s="14">
        <f>16.7*(2/3*10)</f>
        <v>111.33333333333331</v>
      </c>
      <c r="G1300" s="14">
        <f>101.9*(2/3*10)</f>
        <v>679.33333333333326</v>
      </c>
      <c r="H1300" s="14">
        <f>19.2*(2/3*10)</f>
        <v>127.99999999999999</v>
      </c>
      <c r="I1300" s="14">
        <f>53.7*(2/3*10)</f>
        <v>358</v>
      </c>
      <c r="K1300">
        <v>1297</v>
      </c>
      <c r="L1300">
        <f t="shared" si="20"/>
        <v>1</v>
      </c>
    </row>
    <row r="1301" spans="1:12" ht="16.5" x14ac:dyDescent="0.2">
      <c r="A1301" s="4" t="s">
        <v>190</v>
      </c>
      <c r="B1301">
        <v>2010</v>
      </c>
      <c r="C1301" s="14">
        <f>294.7*(2/3*10)</f>
        <v>1964.6666666666665</v>
      </c>
      <c r="D1301" s="14">
        <f>5.8*(2/3*10)</f>
        <v>38.666666666666664</v>
      </c>
      <c r="E1301" s="14">
        <f>93.1*(2/3*10)</f>
        <v>620.66666666666663</v>
      </c>
      <c r="F1301" s="14">
        <f>16.6*(2/3*10)</f>
        <v>110.66666666666667</v>
      </c>
      <c r="G1301" s="14">
        <f>103.8*(2/3*10)</f>
        <v>691.99999999999989</v>
      </c>
      <c r="H1301" s="14">
        <f>19.8*(2/3*10)</f>
        <v>132</v>
      </c>
      <c r="I1301" s="14">
        <f>50.1*(2/3*10)</f>
        <v>334</v>
      </c>
      <c r="K1301" s="15">
        <v>1298</v>
      </c>
      <c r="L1301">
        <f t="shared" si="20"/>
        <v>2</v>
      </c>
    </row>
    <row r="1302" spans="1:12" ht="16.5" x14ac:dyDescent="0.2">
      <c r="A1302" s="4" t="s">
        <v>190</v>
      </c>
      <c r="B1302">
        <v>2011</v>
      </c>
      <c r="C1302" s="14">
        <f>292.9*(2/3*10)</f>
        <v>1952.6666666666663</v>
      </c>
      <c r="D1302" s="14">
        <f>5.7*(2/3*10)</f>
        <v>38</v>
      </c>
      <c r="E1302" s="14">
        <f>93*(2/3*10)</f>
        <v>620</v>
      </c>
      <c r="F1302" s="14">
        <f>16.5*(2/3*10)</f>
        <v>109.99999999999999</v>
      </c>
      <c r="G1302" s="14">
        <f>106.7*(2/3*10)</f>
        <v>711.33333333333326</v>
      </c>
      <c r="H1302" s="14">
        <f>20.1*(2/3*10)</f>
        <v>134</v>
      </c>
      <c r="I1302" s="14">
        <f>48.8*(2/3*10)</f>
        <v>325.33333333333326</v>
      </c>
      <c r="K1302">
        <v>1299</v>
      </c>
      <c r="L1302">
        <f t="shared" si="20"/>
        <v>3</v>
      </c>
    </row>
    <row r="1303" spans="1:12" ht="16.5" x14ac:dyDescent="0.2">
      <c r="A1303" s="4" t="s">
        <v>190</v>
      </c>
      <c r="B1303">
        <v>2012</v>
      </c>
      <c r="C1303" s="14">
        <f>293.5*(2/3*10)</f>
        <v>1956.6666666666665</v>
      </c>
      <c r="D1303" s="14">
        <f>5.7*(2/3*10)</f>
        <v>38</v>
      </c>
      <c r="E1303" s="14">
        <f>92.3*(2/3*10)</f>
        <v>615.33333333333326</v>
      </c>
      <c r="F1303" s="14">
        <f>16.4*(2/3*10)</f>
        <v>109.33333333333331</v>
      </c>
      <c r="G1303" s="14">
        <f>108.7*(2/3*10)</f>
        <v>724.66666666666663</v>
      </c>
      <c r="H1303" s="14">
        <f>20.3*(2/3*10)</f>
        <v>135.33333333333331</v>
      </c>
      <c r="I1303" s="14">
        <f>46.5*(2/3*10)</f>
        <v>310</v>
      </c>
      <c r="K1303" s="15">
        <v>1300</v>
      </c>
      <c r="L1303">
        <f t="shared" si="20"/>
        <v>4</v>
      </c>
    </row>
    <row r="1304" spans="1:12" ht="16.5" x14ac:dyDescent="0.2">
      <c r="A1304" s="4" t="s">
        <v>190</v>
      </c>
      <c r="B1304">
        <v>2013</v>
      </c>
      <c r="C1304" s="14">
        <f>293*(2/3*10)</f>
        <v>1953.3333333333333</v>
      </c>
      <c r="D1304" s="14">
        <f>5.8*(2/3*10)</f>
        <v>38.666666666666664</v>
      </c>
      <c r="E1304" s="14">
        <f>92.1*(2/3*10)</f>
        <v>613.99999999999989</v>
      </c>
      <c r="F1304" s="14">
        <f>16.4*(2/3*10)</f>
        <v>109.33333333333331</v>
      </c>
      <c r="G1304" s="14">
        <f>110.3*(2/3*10)</f>
        <v>735.33333333333337</v>
      </c>
      <c r="H1304" s="14">
        <f>20.7*(2/3*10)</f>
        <v>137.99999999999997</v>
      </c>
      <c r="I1304" s="14">
        <f>45.1*(2/3*10)</f>
        <v>300.66666666666663</v>
      </c>
      <c r="K1304">
        <v>1301</v>
      </c>
      <c r="L1304">
        <f t="shared" si="20"/>
        <v>5</v>
      </c>
    </row>
    <row r="1305" spans="1:12" ht="16.5" x14ac:dyDescent="0.2">
      <c r="A1305" s="4" t="s">
        <v>190</v>
      </c>
      <c r="B1305">
        <v>2014</v>
      </c>
      <c r="C1305" s="14">
        <f>292*(2/3*10)</f>
        <v>1946.6666666666665</v>
      </c>
      <c r="D1305" s="14">
        <f>5.7*(2/3*10)</f>
        <v>38</v>
      </c>
      <c r="E1305" s="14">
        <f>91.7*(2/3*10)</f>
        <v>611.33333333333326</v>
      </c>
      <c r="F1305" s="14">
        <f>16.4*(2/3*10)</f>
        <v>109.33333333333331</v>
      </c>
      <c r="G1305" s="14">
        <f>112.3*(2/3*10)</f>
        <v>748.66666666666663</v>
      </c>
      <c r="H1305" s="14">
        <f>21.2*(2/3*10)</f>
        <v>141.33333333333331</v>
      </c>
      <c r="I1305" s="14">
        <f>43.5*(2/3*10)</f>
        <v>290</v>
      </c>
      <c r="K1305">
        <v>1302</v>
      </c>
      <c r="L1305">
        <f t="shared" si="20"/>
        <v>6</v>
      </c>
    </row>
    <row r="1306" spans="1:12" ht="16.5" x14ac:dyDescent="0.2">
      <c r="A1306" s="4" t="s">
        <v>190</v>
      </c>
      <c r="B1306">
        <v>2015</v>
      </c>
      <c r="C1306" s="14">
        <f>292.3*(2/3*10)</f>
        <v>1948.6666666666665</v>
      </c>
      <c r="D1306" s="14">
        <f>5.4*(2/3*10)</f>
        <v>36</v>
      </c>
      <c r="E1306" s="14">
        <f>91.1*(2/3*10)</f>
        <v>607.33333333333326</v>
      </c>
      <c r="F1306" s="14">
        <f>16.3*(2/3*10)</f>
        <v>108.66666666666666</v>
      </c>
      <c r="G1306" s="14">
        <f>113.5*(2/3*10)</f>
        <v>756.66666666666663</v>
      </c>
      <c r="H1306" s="14">
        <f>21.5*(2/3*10)</f>
        <v>143.33333333333331</v>
      </c>
      <c r="I1306" s="14">
        <f>42.5*(2/3*10)</f>
        <v>283.33333333333331</v>
      </c>
      <c r="K1306" s="15">
        <v>1303</v>
      </c>
      <c r="L1306">
        <f t="shared" si="20"/>
        <v>7</v>
      </c>
    </row>
    <row r="1307" spans="1:12" ht="16.5" x14ac:dyDescent="0.2">
      <c r="A1307" s="4" t="s">
        <v>190</v>
      </c>
      <c r="B1307">
        <v>2016</v>
      </c>
      <c r="C1307" s="14">
        <f>292.7*(2/3*10)</f>
        <v>1951.333333333333</v>
      </c>
      <c r="D1307" s="14">
        <f>4.4*(2/3*10)</f>
        <v>29.333333333333332</v>
      </c>
      <c r="E1307" s="14">
        <f>90.7*(2/3*10)</f>
        <v>604.66666666666663</v>
      </c>
      <c r="F1307" s="14">
        <f>16.3*(2/3*10)</f>
        <v>108.66666666666666</v>
      </c>
      <c r="G1307" s="14">
        <f>115*(2/3*10)</f>
        <v>766.66666666666663</v>
      </c>
      <c r="H1307" s="14">
        <f>21.5*(2/3*10)</f>
        <v>143.33333333333331</v>
      </c>
      <c r="I1307" s="14">
        <f>41.9*(2/3*10)</f>
        <v>279.33333333333331</v>
      </c>
      <c r="K1307">
        <v>1304</v>
      </c>
      <c r="L1307">
        <f t="shared" si="20"/>
        <v>0</v>
      </c>
    </row>
    <row r="1308" spans="1:12" ht="16.5" x14ac:dyDescent="0.2">
      <c r="A1308" s="4" t="s">
        <v>189</v>
      </c>
      <c r="B1308">
        <v>2009</v>
      </c>
      <c r="C1308" s="14">
        <f>423.7*(2/3*10)</f>
        <v>2824.6666666666665</v>
      </c>
      <c r="D1308" s="14">
        <f>2.9*(2/3*10)</f>
        <v>19.333333333333332</v>
      </c>
      <c r="E1308" s="14">
        <f>28.5*(2/3*10)</f>
        <v>189.99999999999997</v>
      </c>
      <c r="F1308" s="14">
        <f>2*(2/3*10)</f>
        <v>13.333333333333332</v>
      </c>
      <c r="G1308" s="14">
        <f>107.1*(2/3*10)</f>
        <v>714</v>
      </c>
      <c r="H1308" s="14">
        <f>15.9*(2/3*10)</f>
        <v>106</v>
      </c>
      <c r="I1308" s="14">
        <f>50.6*(2/3*10)</f>
        <v>337.33333333333331</v>
      </c>
      <c r="K1308" s="15">
        <v>1305</v>
      </c>
      <c r="L1308">
        <f t="shared" si="20"/>
        <v>1</v>
      </c>
    </row>
    <row r="1309" spans="1:12" ht="16.5" x14ac:dyDescent="0.2">
      <c r="A1309" s="4" t="s">
        <v>189</v>
      </c>
      <c r="B1309">
        <v>2010</v>
      </c>
      <c r="C1309" s="14">
        <f>424*(2/3*10)</f>
        <v>2826.6666666666665</v>
      </c>
      <c r="D1309" s="14">
        <f>2.9*(2/3*10)</f>
        <v>19.333333333333332</v>
      </c>
      <c r="E1309" s="14">
        <f>28.3*(2/3*10)</f>
        <v>188.66666666666666</v>
      </c>
      <c r="F1309" s="14">
        <f>2*(2/3*10)</f>
        <v>13.333333333333332</v>
      </c>
      <c r="G1309" s="14">
        <f>108*(2/3*10)</f>
        <v>719.99999999999989</v>
      </c>
      <c r="H1309" s="14">
        <f>16.1*(2/3*10)</f>
        <v>107.33333333333333</v>
      </c>
      <c r="I1309" s="14">
        <f>49.6*(2/3*10)</f>
        <v>330.66666666666663</v>
      </c>
      <c r="K1309">
        <v>1306</v>
      </c>
      <c r="L1309">
        <f t="shared" si="20"/>
        <v>2</v>
      </c>
    </row>
    <row r="1310" spans="1:12" ht="16.5" x14ac:dyDescent="0.2">
      <c r="A1310" s="4" t="s">
        <v>189</v>
      </c>
      <c r="B1310">
        <v>2011</v>
      </c>
      <c r="C1310" s="14">
        <f>424.7*(2/3*10)</f>
        <v>2831.333333333333</v>
      </c>
      <c r="D1310" s="14">
        <f>2.6*(2/3*10)</f>
        <v>17.333333333333332</v>
      </c>
      <c r="E1310" s="14">
        <f>27.9*(2/3*10)</f>
        <v>185.99999999999997</v>
      </c>
      <c r="F1310" s="14">
        <f>2*(2/3*10)</f>
        <v>13.333333333333332</v>
      </c>
      <c r="G1310" s="14">
        <f>109.1*(2/3*10)</f>
        <v>727.33333333333337</v>
      </c>
      <c r="H1310" s="14">
        <f>16.2*(2/3*10)</f>
        <v>107.99999999999999</v>
      </c>
      <c r="I1310" s="14">
        <f>48.7*(2/3*10)</f>
        <v>324.66666666666663</v>
      </c>
      <c r="K1310">
        <v>1307</v>
      </c>
      <c r="L1310">
        <f t="shared" si="20"/>
        <v>3</v>
      </c>
    </row>
    <row r="1311" spans="1:12" ht="16.5" x14ac:dyDescent="0.2">
      <c r="A1311" s="4" t="s">
        <v>189</v>
      </c>
      <c r="B1311">
        <v>2012</v>
      </c>
      <c r="C1311" s="14">
        <f>425.4*(2/3*10)</f>
        <v>2835.9999999999995</v>
      </c>
      <c r="D1311" s="14">
        <f>2.5*(2/3*10)</f>
        <v>16.666666666666664</v>
      </c>
      <c r="E1311" s="14">
        <f>27.7*(2/3*10)</f>
        <v>184.66666666666666</v>
      </c>
      <c r="F1311" s="14">
        <f>2*(2/3*10)</f>
        <v>13.333333333333332</v>
      </c>
      <c r="G1311" s="14">
        <f>110.8*(2/3*10)</f>
        <v>738.66666666666663</v>
      </c>
      <c r="H1311" s="14">
        <f>16.5*(2/3*10)</f>
        <v>109.99999999999999</v>
      </c>
      <c r="I1311" s="14">
        <f>46.7*(2/3*10)</f>
        <v>311.33333333333331</v>
      </c>
      <c r="K1311" s="15">
        <v>1308</v>
      </c>
      <c r="L1311">
        <f t="shared" si="20"/>
        <v>4</v>
      </c>
    </row>
    <row r="1312" spans="1:12" ht="16.5" x14ac:dyDescent="0.2">
      <c r="A1312" s="4" t="s">
        <v>189</v>
      </c>
      <c r="B1312">
        <v>2013</v>
      </c>
      <c r="C1312" s="14">
        <f>424.9*(2/3*10)</f>
        <v>2832.6666666666661</v>
      </c>
      <c r="D1312" s="14">
        <f>2.5*(2/3*10)</f>
        <v>16.666666666666664</v>
      </c>
      <c r="E1312" s="14">
        <f>27.5*(2/3*10)</f>
        <v>183.33333333333331</v>
      </c>
      <c r="F1312" s="14">
        <f>2*(2/3*10)</f>
        <v>13.333333333333332</v>
      </c>
      <c r="G1312" s="14">
        <f>112.8*(2/3*10)</f>
        <v>752</v>
      </c>
      <c r="H1312" s="14">
        <f>17.2*(2/3*10)</f>
        <v>114.66666666666666</v>
      </c>
      <c r="I1312" s="14">
        <f>45.3*(2/3*10)</f>
        <v>301.99999999999994</v>
      </c>
      <c r="K1312">
        <v>1309</v>
      </c>
      <c r="L1312">
        <f t="shared" si="20"/>
        <v>5</v>
      </c>
    </row>
    <row r="1313" spans="1:12" ht="16.5" x14ac:dyDescent="0.2">
      <c r="A1313" s="4" t="s">
        <v>189</v>
      </c>
      <c r="B1313">
        <v>2014</v>
      </c>
      <c r="C1313" s="14">
        <f>423.6*(2/3*10)</f>
        <v>2824</v>
      </c>
      <c r="D1313" s="14">
        <f>2.5*(2/3*10)</f>
        <v>16.666666666666664</v>
      </c>
      <c r="E1313" s="14">
        <f>27.2*(2/3*10)</f>
        <v>181.33333333333331</v>
      </c>
      <c r="F1313" s="14">
        <f>2*(2/3*10)</f>
        <v>13.333333333333332</v>
      </c>
      <c r="G1313" s="14">
        <f>114.4*(2/3*10)</f>
        <v>762.66666666666663</v>
      </c>
      <c r="H1313" s="14">
        <f>17.9*(2/3*10)</f>
        <v>119.33333333333331</v>
      </c>
      <c r="I1313" s="14">
        <f>44.8*(2/3*10)</f>
        <v>298.66666666666663</v>
      </c>
      <c r="K1313" s="15">
        <v>1310</v>
      </c>
      <c r="L1313">
        <f t="shared" si="20"/>
        <v>6</v>
      </c>
    </row>
    <row r="1314" spans="1:12" ht="16.5" x14ac:dyDescent="0.2">
      <c r="A1314" s="4" t="s">
        <v>189</v>
      </c>
      <c r="B1314">
        <v>2015</v>
      </c>
      <c r="C1314" s="14">
        <f>424.1*(2/3*10)</f>
        <v>2827.333333333333</v>
      </c>
      <c r="D1314" s="14">
        <f>2.5*(2/3*10)</f>
        <v>16.666666666666664</v>
      </c>
      <c r="E1314" s="14">
        <f>27.1*(2/3*10)</f>
        <v>180.66666666666666</v>
      </c>
      <c r="F1314" s="14">
        <f>2*(2/3*10)</f>
        <v>13.333333333333332</v>
      </c>
      <c r="G1314" s="14">
        <f>115.9*(2/3*10)</f>
        <v>772.66666666666663</v>
      </c>
      <c r="H1314" s="14">
        <f>18*(2/3*10)</f>
        <v>119.99999999999999</v>
      </c>
      <c r="I1314" s="14">
        <f>43.1*(2/3*10)</f>
        <v>287.33333333333331</v>
      </c>
      <c r="K1314">
        <v>1311</v>
      </c>
      <c r="L1314">
        <f t="shared" si="20"/>
        <v>7</v>
      </c>
    </row>
    <row r="1315" spans="1:12" ht="16.5" x14ac:dyDescent="0.2">
      <c r="A1315" s="4" t="s">
        <v>189</v>
      </c>
      <c r="B1315">
        <v>2016</v>
      </c>
      <c r="C1315" s="14">
        <f>424.2*(2/3*10)</f>
        <v>2827.9999999999995</v>
      </c>
      <c r="D1315" s="14">
        <f>2.5*(2/3*10)</f>
        <v>16.666666666666664</v>
      </c>
      <c r="E1315" s="14">
        <f>26.9*(2/3*10)</f>
        <v>179.33333333333331</v>
      </c>
      <c r="F1315" s="14">
        <f>1.9*(2/3*10)</f>
        <v>12.666666666666664</v>
      </c>
      <c r="G1315" s="14">
        <f>118.9*(2/3*10)</f>
        <v>792.66666666666663</v>
      </c>
      <c r="H1315" s="14">
        <f>17.8*(2/3*10)</f>
        <v>118.66666666666666</v>
      </c>
      <c r="I1315" s="14">
        <f>42*(2/3*10)</f>
        <v>280</v>
      </c>
      <c r="K1315">
        <v>1312</v>
      </c>
      <c r="L1315">
        <f t="shared" si="20"/>
        <v>0</v>
      </c>
    </row>
    <row r="1316" spans="1:12" ht="16.5" x14ac:dyDescent="0.2">
      <c r="A1316" s="4" t="s">
        <v>188</v>
      </c>
      <c r="B1316">
        <v>2009</v>
      </c>
      <c r="C1316" s="14">
        <f>517.5*(2/3*10)</f>
        <v>3449.9999999999995</v>
      </c>
      <c r="D1316" s="14">
        <f>0.8*(2/3*10)</f>
        <v>5.333333333333333</v>
      </c>
      <c r="E1316" s="14">
        <f>27.1*(2/3*10)</f>
        <v>180.66666666666666</v>
      </c>
      <c r="F1316" s="14">
        <f>15.2*(2/3*10)</f>
        <v>101.33333333333331</v>
      </c>
      <c r="G1316" s="14">
        <f>126.8*(2/3*10)</f>
        <v>845.33333333333326</v>
      </c>
      <c r="H1316" s="14">
        <f>22.4*(2/3*10)</f>
        <v>149.33333333333331</v>
      </c>
      <c r="I1316" s="14">
        <f>21.7*(2/3*10)</f>
        <v>144.66666666666666</v>
      </c>
      <c r="K1316" s="15">
        <v>1313</v>
      </c>
      <c r="L1316">
        <f t="shared" si="20"/>
        <v>1</v>
      </c>
    </row>
    <row r="1317" spans="1:12" ht="16.5" x14ac:dyDescent="0.2">
      <c r="A1317" s="4" t="s">
        <v>188</v>
      </c>
      <c r="B1317">
        <v>2010</v>
      </c>
      <c r="C1317" s="14">
        <f>515.2*(2/3*10)</f>
        <v>3434.6666666666665</v>
      </c>
      <c r="D1317" s="14">
        <f>0.8*(2/3*10)</f>
        <v>5.333333333333333</v>
      </c>
      <c r="E1317" s="14">
        <f>27*(2/3*10)</f>
        <v>179.99999999999997</v>
      </c>
      <c r="F1317" s="14">
        <f>15.2*(2/3*10)</f>
        <v>101.33333333333331</v>
      </c>
      <c r="G1317" s="14">
        <f>128.6*(2/3*10)</f>
        <v>857.33333333333326</v>
      </c>
      <c r="H1317" s="14">
        <f>23*(2/3*10)</f>
        <v>153.33333333333331</v>
      </c>
      <c r="I1317" s="14">
        <f>21.6*(2/3*10)</f>
        <v>144</v>
      </c>
      <c r="K1317">
        <v>1314</v>
      </c>
      <c r="L1317">
        <f t="shared" si="20"/>
        <v>2</v>
      </c>
    </row>
    <row r="1318" spans="1:12" ht="16.5" x14ac:dyDescent="0.2">
      <c r="A1318" s="4" t="s">
        <v>188</v>
      </c>
      <c r="B1318">
        <v>2011</v>
      </c>
      <c r="C1318" s="14">
        <f>511.4*(2/3*10)</f>
        <v>3409.333333333333</v>
      </c>
      <c r="D1318" s="14">
        <f>0.7*(2/3*10)</f>
        <v>4.6666666666666661</v>
      </c>
      <c r="E1318" s="14">
        <f>26.8*(2/3*10)</f>
        <v>178.66666666666666</v>
      </c>
      <c r="F1318" s="14">
        <f>15.2*(2/3*10)</f>
        <v>101.33333333333331</v>
      </c>
      <c r="G1318" s="14">
        <f>131*(2/3*10)</f>
        <v>873.33333333333326</v>
      </c>
      <c r="H1318" s="14">
        <f>23.5*(2/3*10)</f>
        <v>156.66666666666666</v>
      </c>
      <c r="I1318" s="14">
        <f>22.7*(2/3*10)</f>
        <v>151.33333333333331</v>
      </c>
      <c r="K1318" s="15">
        <v>1315</v>
      </c>
      <c r="L1318">
        <f t="shared" si="20"/>
        <v>3</v>
      </c>
    </row>
    <row r="1319" spans="1:12" ht="16.5" x14ac:dyDescent="0.2">
      <c r="A1319" s="4" t="s">
        <v>188</v>
      </c>
      <c r="B1319">
        <v>2012</v>
      </c>
      <c r="C1319" s="14">
        <f>509.2*(2/3*10)</f>
        <v>3394.6666666666665</v>
      </c>
      <c r="D1319" s="14">
        <f>0.7*(2/3*10)</f>
        <v>4.6666666666666661</v>
      </c>
      <c r="E1319" s="14">
        <f>26.7*(2/3*10)</f>
        <v>177.99999999999997</v>
      </c>
      <c r="F1319" s="14">
        <f>15.1*(2/3*10)</f>
        <v>100.66666666666666</v>
      </c>
      <c r="G1319" s="14">
        <f>133.2*(2/3*10)</f>
        <v>887.99999999999989</v>
      </c>
      <c r="H1319" s="14">
        <f>23.8*(2/3*10)</f>
        <v>158.66666666666666</v>
      </c>
      <c r="I1319" s="14">
        <f>22.6*(2/3*10)</f>
        <v>150.66666666666666</v>
      </c>
      <c r="K1319">
        <v>1316</v>
      </c>
      <c r="L1319">
        <f t="shared" si="20"/>
        <v>4</v>
      </c>
    </row>
    <row r="1320" spans="1:12" ht="16.5" x14ac:dyDescent="0.2">
      <c r="A1320" s="4" t="s">
        <v>188</v>
      </c>
      <c r="B1320">
        <v>2013</v>
      </c>
      <c r="C1320" s="14">
        <f>508.3*(2/3*10)</f>
        <v>3388.6666666666665</v>
      </c>
      <c r="D1320" s="14">
        <f>0.7*(2/3*10)</f>
        <v>4.6666666666666661</v>
      </c>
      <c r="E1320" s="14">
        <f>26.5*(2/3*10)</f>
        <v>176.66666666666666</v>
      </c>
      <c r="F1320" s="14">
        <f>15*(2/3*10)</f>
        <v>99.999999999999986</v>
      </c>
      <c r="G1320" s="14">
        <f>134.7*(2/3*10)</f>
        <v>897.99999999999989</v>
      </c>
      <c r="H1320" s="14">
        <f>24.1*(2/3*10)</f>
        <v>160.66666666666666</v>
      </c>
      <c r="I1320" s="14">
        <f>21.8*(2/3*10)</f>
        <v>145.33333333333331</v>
      </c>
      <c r="K1320">
        <v>1317</v>
      </c>
      <c r="L1320">
        <f t="shared" si="20"/>
        <v>5</v>
      </c>
    </row>
    <row r="1321" spans="1:12" ht="16.5" x14ac:dyDescent="0.2">
      <c r="A1321" s="4" t="s">
        <v>188</v>
      </c>
      <c r="B1321">
        <v>2014</v>
      </c>
      <c r="C1321" s="14">
        <f>505.7*(2/3*10)</f>
        <v>3371.333333333333</v>
      </c>
      <c r="D1321" s="14">
        <f>0.7*(2/3*10)</f>
        <v>4.6666666666666661</v>
      </c>
      <c r="E1321" s="14">
        <f>26.4*(2/3*10)</f>
        <v>175.99999999999997</v>
      </c>
      <c r="F1321" s="14">
        <f>15*(2/3*10)</f>
        <v>99.999999999999986</v>
      </c>
      <c r="G1321" s="14">
        <f>136.9*(2/3*10)</f>
        <v>912.6666666666664</v>
      </c>
      <c r="H1321" s="14">
        <f>24.3*(2/3*10)</f>
        <v>162</v>
      </c>
      <c r="I1321" s="14">
        <f>21.7*(2/3*10)</f>
        <v>144.66666666666666</v>
      </c>
      <c r="K1321" s="15">
        <v>1318</v>
      </c>
      <c r="L1321">
        <f t="shared" si="20"/>
        <v>6</v>
      </c>
    </row>
    <row r="1322" spans="1:12" ht="16.5" x14ac:dyDescent="0.2">
      <c r="A1322" s="4" t="s">
        <v>188</v>
      </c>
      <c r="B1322">
        <v>2015</v>
      </c>
      <c r="C1322" s="14">
        <f>503.8*(2/3*10)</f>
        <v>3358.6666666666665</v>
      </c>
      <c r="D1322" s="14">
        <f>0.7*(2/3*10)</f>
        <v>4.6666666666666661</v>
      </c>
      <c r="E1322" s="14">
        <f>26.4*(2/3*10)</f>
        <v>175.99999999999997</v>
      </c>
      <c r="F1322" s="14">
        <f>15*(2/3*10)</f>
        <v>99.999999999999986</v>
      </c>
      <c r="G1322" s="14">
        <f>139*(2/3*10)</f>
        <v>926.66666666666663</v>
      </c>
      <c r="H1322" s="14">
        <f>24.4*(2/3*10)</f>
        <v>162.66666666666663</v>
      </c>
      <c r="I1322" s="14">
        <f>21.3*(2/3*10)</f>
        <v>142</v>
      </c>
      <c r="K1322">
        <v>1319</v>
      </c>
      <c r="L1322">
        <f t="shared" si="20"/>
        <v>7</v>
      </c>
    </row>
    <row r="1323" spans="1:12" ht="16.5" x14ac:dyDescent="0.2">
      <c r="A1323" s="4" t="s">
        <v>188</v>
      </c>
      <c r="B1323">
        <v>2016</v>
      </c>
      <c r="C1323" s="14">
        <f>504*(2/3*10)</f>
        <v>3359.9999999999995</v>
      </c>
      <c r="D1323" s="14">
        <f>0.5*(2/3*10)</f>
        <v>3.333333333333333</v>
      </c>
      <c r="E1323" s="14">
        <f>25.3*(2/3*10)</f>
        <v>168.66666666666666</v>
      </c>
      <c r="F1323" s="14">
        <f>14.7*(2/3*10)</f>
        <v>97.999999999999986</v>
      </c>
      <c r="G1323" s="14">
        <f>141.4*(2/3*10)</f>
        <v>942.66666666666663</v>
      </c>
      <c r="H1323" s="14">
        <f>24.1*(2/3*10)</f>
        <v>160.66666666666666</v>
      </c>
      <c r="I1323" s="14">
        <f>20.3*(2/3*10)</f>
        <v>135.33333333333331</v>
      </c>
      <c r="K1323" s="15">
        <v>1320</v>
      </c>
      <c r="L1323">
        <f t="shared" si="20"/>
        <v>0</v>
      </c>
    </row>
    <row r="1324" spans="1:12" ht="16.5" x14ac:dyDescent="0.2">
      <c r="A1324" s="4" t="s">
        <v>187</v>
      </c>
      <c r="B1324">
        <v>2009</v>
      </c>
      <c r="C1324" s="14">
        <f>286*(2/3*10)</f>
        <v>1906.6666666666665</v>
      </c>
      <c r="D1324" s="14">
        <f>1.1*(2/3*10)</f>
        <v>7.333333333333333</v>
      </c>
      <c r="E1324" s="14">
        <f>14.3*(2/3*10)</f>
        <v>95.333333333333329</v>
      </c>
      <c r="F1324" s="14">
        <f>0*(2/3*10)</f>
        <v>0</v>
      </c>
      <c r="G1324" s="14">
        <f>67.3*(2/3*10)</f>
        <v>448.66666666666663</v>
      </c>
      <c r="H1324" s="14">
        <f>14.2*(2/3*10)</f>
        <v>94.666666666666657</v>
      </c>
      <c r="I1324" s="14">
        <f>18.4*(2/3*10)</f>
        <v>122.66666666666664</v>
      </c>
      <c r="K1324">
        <v>1321</v>
      </c>
      <c r="L1324">
        <f t="shared" si="20"/>
        <v>1</v>
      </c>
    </row>
    <row r="1325" spans="1:12" ht="16.5" x14ac:dyDescent="0.2">
      <c r="A1325" s="4" t="s">
        <v>187</v>
      </c>
      <c r="B1325">
        <v>2010</v>
      </c>
      <c r="C1325" s="14">
        <f>286.7*(2/3*10)</f>
        <v>1911.333333333333</v>
      </c>
      <c r="D1325" s="14">
        <f>0.9*(2/3*10)</f>
        <v>6</v>
      </c>
      <c r="E1325" s="14">
        <f>12.9*(2/3*10)</f>
        <v>86</v>
      </c>
      <c r="F1325" s="14">
        <f>0*(2/3*10)</f>
        <v>0</v>
      </c>
      <c r="G1325" s="14">
        <f>68.3*(2/3*10)</f>
        <v>455.33333333333326</v>
      </c>
      <c r="H1325" s="14">
        <f>14.3*(2/3*10)</f>
        <v>95.333333333333329</v>
      </c>
      <c r="I1325" s="14">
        <f>18.4*(2/3*10)</f>
        <v>122.66666666666664</v>
      </c>
      <c r="K1325">
        <v>1322</v>
      </c>
      <c r="L1325">
        <f t="shared" si="20"/>
        <v>2</v>
      </c>
    </row>
    <row r="1326" spans="1:12" ht="16.5" x14ac:dyDescent="0.2">
      <c r="A1326" s="4" t="s">
        <v>187</v>
      </c>
      <c r="B1326">
        <v>2011</v>
      </c>
      <c r="C1326" s="14">
        <f>286*(2/3*10)</f>
        <v>1906.6666666666665</v>
      </c>
      <c r="D1326" s="14">
        <f>0.9*(2/3*10)</f>
        <v>6</v>
      </c>
      <c r="E1326" s="14">
        <f>12.8*(2/3*10)</f>
        <v>85.333333333333329</v>
      </c>
      <c r="F1326" s="14">
        <f>0*(2/3*10)</f>
        <v>0</v>
      </c>
      <c r="G1326" s="14">
        <f>68.8*(2/3*10)</f>
        <v>458.66666666666663</v>
      </c>
      <c r="H1326" s="14">
        <f>14.4*(2/3*10)</f>
        <v>96</v>
      </c>
      <c r="I1326" s="14">
        <f>18.4*(2/3*10)</f>
        <v>122.66666666666664</v>
      </c>
      <c r="K1326" s="15">
        <v>1323</v>
      </c>
      <c r="L1326">
        <f t="shared" si="20"/>
        <v>3</v>
      </c>
    </row>
    <row r="1327" spans="1:12" ht="16.5" x14ac:dyDescent="0.2">
      <c r="A1327" s="4" t="s">
        <v>187</v>
      </c>
      <c r="B1327">
        <v>2012</v>
      </c>
      <c r="C1327" s="14">
        <f>285.8*(2/3*10)</f>
        <v>1905.3333333333333</v>
      </c>
      <c r="D1327" s="14">
        <f>0.9*(2/3*10)</f>
        <v>6</v>
      </c>
      <c r="E1327" s="14">
        <f>12.3*(2/3*10)</f>
        <v>82</v>
      </c>
      <c r="F1327" s="14">
        <f>0*(2/3*10)</f>
        <v>0</v>
      </c>
      <c r="G1327" s="14">
        <f>69.5*(2/3*10)</f>
        <v>463.33333333333331</v>
      </c>
      <c r="H1327" s="14">
        <f>14.4*(2/3*10)</f>
        <v>96</v>
      </c>
      <c r="I1327" s="14">
        <f>18.4*(2/3*10)</f>
        <v>122.66666666666664</v>
      </c>
      <c r="K1327">
        <v>1324</v>
      </c>
      <c r="L1327">
        <f t="shared" si="20"/>
        <v>4</v>
      </c>
    </row>
    <row r="1328" spans="1:12" ht="16.5" x14ac:dyDescent="0.2">
      <c r="A1328" s="4" t="s">
        <v>187</v>
      </c>
      <c r="B1328">
        <v>2013</v>
      </c>
      <c r="C1328" s="14">
        <f>285.2*(2/3*10)</f>
        <v>1901.333333333333</v>
      </c>
      <c r="D1328" s="14">
        <f>0.9*(2/3*10)</f>
        <v>6</v>
      </c>
      <c r="E1328" s="14">
        <f>12.2*(2/3*10)</f>
        <v>81.333333333333314</v>
      </c>
      <c r="F1328" s="14">
        <f>0*(2/3*10)</f>
        <v>0</v>
      </c>
      <c r="G1328" s="14">
        <f>70.1*(2/3*10)</f>
        <v>467.33333333333337</v>
      </c>
      <c r="H1328" s="14">
        <f>14.5*(2/3*10)</f>
        <v>96.666666666666657</v>
      </c>
      <c r="I1328" s="14">
        <f>18.4*(2/3*10)</f>
        <v>122.66666666666664</v>
      </c>
      <c r="K1328" s="15">
        <v>1325</v>
      </c>
      <c r="L1328">
        <f t="shared" si="20"/>
        <v>5</v>
      </c>
    </row>
    <row r="1329" spans="1:12" ht="16.5" x14ac:dyDescent="0.2">
      <c r="A1329" s="4" t="s">
        <v>187</v>
      </c>
      <c r="B1329">
        <v>2014</v>
      </c>
      <c r="C1329" s="14">
        <f>284*(2/3*10)</f>
        <v>1893.3333333333333</v>
      </c>
      <c r="D1329" s="14">
        <f>0.8*(2/3*10)</f>
        <v>5.333333333333333</v>
      </c>
      <c r="E1329" s="14">
        <f>12.1*(2/3*10)</f>
        <v>80.666666666666657</v>
      </c>
      <c r="F1329" s="14">
        <f>0*(2/3*10)</f>
        <v>0</v>
      </c>
      <c r="G1329" s="14">
        <f>71.1*(2/3*10)</f>
        <v>473.99999999999994</v>
      </c>
      <c r="H1329" s="14">
        <f>14.6*(2/3*10)</f>
        <v>97.333333333333329</v>
      </c>
      <c r="I1329" s="14">
        <f>18.3*(2/3*10)</f>
        <v>122</v>
      </c>
      <c r="K1329">
        <v>1326</v>
      </c>
      <c r="L1329">
        <f t="shared" si="20"/>
        <v>6</v>
      </c>
    </row>
    <row r="1330" spans="1:12" ht="16.5" x14ac:dyDescent="0.2">
      <c r="A1330" s="4" t="s">
        <v>187</v>
      </c>
      <c r="B1330">
        <v>2015</v>
      </c>
      <c r="C1330" s="14">
        <f>283.2*(2/3*10)</f>
        <v>1887.9999999999998</v>
      </c>
      <c r="D1330" s="14">
        <f>0.8*(2/3*10)</f>
        <v>5.333333333333333</v>
      </c>
      <c r="E1330" s="14">
        <f>12*(2/3*10)</f>
        <v>80</v>
      </c>
      <c r="F1330" s="14">
        <f>0*(2/3*10)</f>
        <v>0</v>
      </c>
      <c r="G1330" s="14">
        <f>71.9*(2/3*10)</f>
        <v>479.33333333333331</v>
      </c>
      <c r="H1330" s="14">
        <f>14.6*(2/3*10)</f>
        <v>97.333333333333329</v>
      </c>
      <c r="I1330" s="14">
        <f>18.2*(2/3*10)</f>
        <v>121.33333333333331</v>
      </c>
      <c r="K1330">
        <v>1327</v>
      </c>
      <c r="L1330">
        <f t="shared" si="20"/>
        <v>7</v>
      </c>
    </row>
    <row r="1331" spans="1:12" ht="16.5" x14ac:dyDescent="0.2">
      <c r="A1331" s="4" t="s">
        <v>187</v>
      </c>
      <c r="B1331">
        <v>2016</v>
      </c>
      <c r="C1331" s="14">
        <f>285*(2/3*10)</f>
        <v>1899.9999999999998</v>
      </c>
      <c r="D1331" s="14">
        <f>0.6*(2/3*10)</f>
        <v>3.9999999999999996</v>
      </c>
      <c r="E1331" s="14">
        <f>10.3*(2/3*10)</f>
        <v>68.666666666666671</v>
      </c>
      <c r="F1331" s="14">
        <f>0*(2/3*10)</f>
        <v>0</v>
      </c>
      <c r="G1331" s="14">
        <f>72.4*(2/3*10)</f>
        <v>482.66666666666669</v>
      </c>
      <c r="H1331" s="14">
        <f>14.5*(2/3*10)</f>
        <v>96.666666666666657</v>
      </c>
      <c r="I1331" s="14">
        <f>17.9*(2/3*10)</f>
        <v>119.33333333333331</v>
      </c>
      <c r="K1331" s="15">
        <v>1328</v>
      </c>
      <c r="L1331">
        <f t="shared" si="20"/>
        <v>0</v>
      </c>
    </row>
    <row r="1332" spans="1:12" ht="16.5" x14ac:dyDescent="0.2">
      <c r="A1332" s="4" t="s">
        <v>186</v>
      </c>
      <c r="B1332">
        <v>2009</v>
      </c>
      <c r="C1332" s="14">
        <f>266.3*(2/3*10)</f>
        <v>1775.3333333333333</v>
      </c>
      <c r="D1332" s="14">
        <f>80.2*(2/3*10)</f>
        <v>534.66666666666663</v>
      </c>
      <c r="E1332" s="14">
        <f>806*(2/3*10)</f>
        <v>5373.333333333333</v>
      </c>
      <c r="F1332" s="14">
        <f>168.6*(2/3*10)</f>
        <v>1123.9999999999998</v>
      </c>
      <c r="G1332" s="14">
        <f>78.1*(2/3*10)</f>
        <v>520.66666666666663</v>
      </c>
      <c r="H1332" s="14">
        <f>19.6*(2/3*10)</f>
        <v>130.66666666666666</v>
      </c>
      <c r="I1332" s="14">
        <f>31*(2/3*10)</f>
        <v>206.66666666666666</v>
      </c>
      <c r="K1332">
        <v>1329</v>
      </c>
      <c r="L1332">
        <f t="shared" si="20"/>
        <v>1</v>
      </c>
    </row>
    <row r="1333" spans="1:12" ht="16.5" x14ac:dyDescent="0.2">
      <c r="A1333" s="4" t="s">
        <v>186</v>
      </c>
      <c r="B1333">
        <v>2010</v>
      </c>
      <c r="C1333" s="14">
        <f>265.5*(2/3*10)</f>
        <v>1769.9999999999998</v>
      </c>
      <c r="D1333" s="14">
        <f>80*(2/3*10)</f>
        <v>533.33333333333326</v>
      </c>
      <c r="E1333" s="14">
        <f>806*(2/3*10)</f>
        <v>5373.333333333333</v>
      </c>
      <c r="F1333" s="14">
        <f>168.2*(2/3*10)</f>
        <v>1121.3333333333333</v>
      </c>
      <c r="G1333" s="14">
        <f>79.2*(2/3*10)</f>
        <v>528</v>
      </c>
      <c r="H1333" s="14">
        <f>19.7*(2/3*10)</f>
        <v>131.33333333333331</v>
      </c>
      <c r="I1333" s="14">
        <f>31.2*(2/3*10)</f>
        <v>207.99999999999997</v>
      </c>
      <c r="K1333" s="15">
        <v>1330</v>
      </c>
      <c r="L1333">
        <f t="shared" si="20"/>
        <v>2</v>
      </c>
    </row>
    <row r="1334" spans="1:12" ht="16.5" x14ac:dyDescent="0.2">
      <c r="A1334" s="4" t="s">
        <v>186</v>
      </c>
      <c r="B1334">
        <v>2011</v>
      </c>
      <c r="C1334" s="14">
        <f>264.8*(2/3*10)</f>
        <v>1765.3333333333333</v>
      </c>
      <c r="D1334" s="14">
        <f>79.4*(2/3*10)</f>
        <v>529.33333333333337</v>
      </c>
      <c r="E1334" s="14">
        <f>805.4*(2/3*10)</f>
        <v>5369.333333333333</v>
      </c>
      <c r="F1334" s="14">
        <f>167.3*(2/3*10)</f>
        <v>1115.3333333333333</v>
      </c>
      <c r="G1334" s="14">
        <f>80.5*(2/3*10)</f>
        <v>536.66666666666663</v>
      </c>
      <c r="H1334" s="14">
        <f>21.1*(2/3*10)</f>
        <v>140.66666666666666</v>
      </c>
      <c r="I1334" s="14">
        <f>31.1*(2/3*10)</f>
        <v>207.33333333333331</v>
      </c>
      <c r="K1334">
        <v>1331</v>
      </c>
      <c r="L1334">
        <f t="shared" si="20"/>
        <v>3</v>
      </c>
    </row>
    <row r="1335" spans="1:12" ht="16.5" x14ac:dyDescent="0.2">
      <c r="A1335" s="4" t="s">
        <v>186</v>
      </c>
      <c r="B1335">
        <v>2012</v>
      </c>
      <c r="C1335" s="14">
        <f>265.5*(2/3*10)</f>
        <v>1769.9999999999998</v>
      </c>
      <c r="D1335" s="14">
        <f>79*(2/3*10)</f>
        <v>526.66666666666663</v>
      </c>
      <c r="E1335" s="14">
        <f>805*(2/3*10)</f>
        <v>5366.6666666666661</v>
      </c>
      <c r="F1335" s="14">
        <f>166.1*(2/3*10)</f>
        <v>1107.3333333333333</v>
      </c>
      <c r="G1335" s="14">
        <f>81.5*(2/3*10)</f>
        <v>543.33333333333326</v>
      </c>
      <c r="H1335" s="14">
        <f>21.6*(2/3*10)</f>
        <v>144</v>
      </c>
      <c r="I1335" s="14">
        <f>31*(2/3*10)</f>
        <v>206.66666666666666</v>
      </c>
      <c r="K1335">
        <v>1332</v>
      </c>
      <c r="L1335">
        <f t="shared" si="20"/>
        <v>4</v>
      </c>
    </row>
    <row r="1336" spans="1:12" ht="16.5" x14ac:dyDescent="0.2">
      <c r="A1336" s="4" t="s">
        <v>186</v>
      </c>
      <c r="B1336">
        <v>2013</v>
      </c>
      <c r="C1336" s="14">
        <f>265.3*(2/3*10)</f>
        <v>1768.6666666666665</v>
      </c>
      <c r="D1336" s="14">
        <f>78.5*(2/3*10)</f>
        <v>523.33333333333326</v>
      </c>
      <c r="E1336" s="14">
        <f>804.7*(2/3*10)</f>
        <v>5364.6666666666661</v>
      </c>
      <c r="F1336" s="14">
        <f>164.9*(2/3*10)</f>
        <v>1099.3333333333333</v>
      </c>
      <c r="G1336" s="14">
        <f>82.8*(2/3*10)</f>
        <v>552</v>
      </c>
      <c r="H1336" s="14">
        <f>22.2*(2/3*10)</f>
        <v>147.99999999999997</v>
      </c>
      <c r="I1336" s="14">
        <f>30.9*(2/3*10)</f>
        <v>205.99999999999997</v>
      </c>
      <c r="K1336" s="15">
        <v>1333</v>
      </c>
      <c r="L1336">
        <f t="shared" si="20"/>
        <v>5</v>
      </c>
    </row>
    <row r="1337" spans="1:12" ht="16.5" x14ac:dyDescent="0.2">
      <c r="A1337" s="4" t="s">
        <v>186</v>
      </c>
      <c r="B1337">
        <v>2014</v>
      </c>
      <c r="C1337" s="14">
        <f>264.5*(2/3*10)</f>
        <v>1763.3333333333333</v>
      </c>
      <c r="D1337" s="14">
        <f>78.2*(2/3*10)</f>
        <v>521.33333333333326</v>
      </c>
      <c r="E1337" s="14">
        <f>804.6*(2/3*10)</f>
        <v>5364</v>
      </c>
      <c r="F1337" s="14">
        <f>164.8*(2/3*10)</f>
        <v>1098.6666666666667</v>
      </c>
      <c r="G1337" s="14">
        <f>83.9*(2/3*10)</f>
        <v>559.33333333333337</v>
      </c>
      <c r="H1337" s="14">
        <f>22.3*(2/3*10)</f>
        <v>148.66666666666666</v>
      </c>
      <c r="I1337" s="14">
        <f>30.9*(2/3*10)</f>
        <v>205.99999999999997</v>
      </c>
      <c r="K1337">
        <v>1334</v>
      </c>
      <c r="L1337">
        <f t="shared" si="20"/>
        <v>6</v>
      </c>
    </row>
    <row r="1338" spans="1:12" ht="16.5" x14ac:dyDescent="0.2">
      <c r="A1338" s="4" t="s">
        <v>186</v>
      </c>
      <c r="B1338">
        <v>2015</v>
      </c>
      <c r="C1338" s="14">
        <f>264.2*(2/3*10)</f>
        <v>1761.333333333333</v>
      </c>
      <c r="D1338" s="14">
        <f>78*(2/3*10)</f>
        <v>520</v>
      </c>
      <c r="E1338" s="14">
        <f>804.5*(2/3*10)</f>
        <v>5363.333333333333</v>
      </c>
      <c r="F1338" s="14">
        <f>164.5*(2/3*10)</f>
        <v>1096.6666666666665</v>
      </c>
      <c r="G1338" s="14">
        <f>84.6*(2/3*10)</f>
        <v>564</v>
      </c>
      <c r="H1338" s="14">
        <f>22.4*(2/3*10)</f>
        <v>149.33333333333331</v>
      </c>
      <c r="I1338" s="14">
        <f>30.9*(2/3*10)</f>
        <v>205.99999999999997</v>
      </c>
      <c r="K1338" s="15">
        <v>1335</v>
      </c>
      <c r="L1338">
        <f t="shared" si="20"/>
        <v>7</v>
      </c>
    </row>
    <row r="1339" spans="1:12" ht="16.5" x14ac:dyDescent="0.2">
      <c r="A1339" s="4" t="s">
        <v>186</v>
      </c>
      <c r="B1339">
        <v>2016</v>
      </c>
      <c r="C1339" s="14">
        <f>263.9*(2/3*10)</f>
        <v>1759.333333333333</v>
      </c>
      <c r="D1339" s="14">
        <f>77.8*(2/3*10)</f>
        <v>518.66666666666663</v>
      </c>
      <c r="E1339" s="14">
        <f>804.4*(2/3*10)</f>
        <v>5362.6666666666661</v>
      </c>
      <c r="F1339" s="14">
        <f>164.2*(2/3*10)</f>
        <v>1094.6666666666665</v>
      </c>
      <c r="G1339" s="14">
        <f>85.7*(2/3*10)</f>
        <v>571.33333333333326</v>
      </c>
      <c r="H1339" s="14">
        <f>22.3*(2/3*10)</f>
        <v>148.66666666666666</v>
      </c>
      <c r="I1339" s="14">
        <f>30.8*(2/3*10)</f>
        <v>205.33333333333331</v>
      </c>
      <c r="K1339">
        <v>1336</v>
      </c>
      <c r="L1339">
        <f t="shared" si="20"/>
        <v>0</v>
      </c>
    </row>
    <row r="1340" spans="1:12" ht="16.5" x14ac:dyDescent="0.2">
      <c r="A1340" s="4" t="s">
        <v>185</v>
      </c>
      <c r="B1340">
        <v>2009</v>
      </c>
      <c r="C1340" s="14">
        <f>1589.8*(2/3*10)</f>
        <v>10598.666666666666</v>
      </c>
      <c r="D1340" s="14">
        <f>44.7*(2/3*10)</f>
        <v>298</v>
      </c>
      <c r="E1340" s="14">
        <f>1377.9*(2/3*10)</f>
        <v>9186</v>
      </c>
      <c r="F1340" s="14">
        <f>197.2*(2/3*10)</f>
        <v>1314.6666666666665</v>
      </c>
      <c r="G1340" s="14">
        <f>323.7*(2/3*10)</f>
        <v>2158</v>
      </c>
      <c r="H1340" s="14">
        <f>94.3*(2/3*10)</f>
        <v>628.66666666666663</v>
      </c>
      <c r="I1340" s="14">
        <f>277.1*(2/3*10)</f>
        <v>1847.3333333333333</v>
      </c>
      <c r="K1340">
        <v>1337</v>
      </c>
      <c r="L1340">
        <f t="shared" si="20"/>
        <v>1</v>
      </c>
    </row>
    <row r="1341" spans="1:12" ht="16.5" x14ac:dyDescent="0.2">
      <c r="A1341" s="4" t="s">
        <v>185</v>
      </c>
      <c r="B1341">
        <v>2010</v>
      </c>
      <c r="C1341" s="14">
        <f>1585.8*(2/3*10)</f>
        <v>10571.999999999998</v>
      </c>
      <c r="D1341" s="14">
        <f>44.6*(2/3*10)</f>
        <v>297.33333333333331</v>
      </c>
      <c r="E1341" s="14">
        <f>1376.6*(2/3*10)</f>
        <v>9177.3333333333321</v>
      </c>
      <c r="F1341" s="14">
        <f>196.1*(2/3*10)</f>
        <v>1307.3333333333333</v>
      </c>
      <c r="G1341" s="14">
        <f>327.9*(2/3*10)</f>
        <v>2186</v>
      </c>
      <c r="H1341" s="14">
        <f>95.5*(2/3*10)</f>
        <v>636.66666666666663</v>
      </c>
      <c r="I1341" s="14">
        <f>277.7*(2/3*10)</f>
        <v>1851.333333333333</v>
      </c>
      <c r="K1341" s="15">
        <v>1338</v>
      </c>
      <c r="L1341">
        <f t="shared" si="20"/>
        <v>2</v>
      </c>
    </row>
    <row r="1342" spans="1:12" ht="16.5" x14ac:dyDescent="0.2">
      <c r="A1342" s="4" t="s">
        <v>185</v>
      </c>
      <c r="B1342">
        <v>2011</v>
      </c>
      <c r="C1342" s="14">
        <f>1583.9*(2/3*10)</f>
        <v>10559.333333333332</v>
      </c>
      <c r="D1342" s="14">
        <f>44.5*(2/3*10)</f>
        <v>296.66666666666663</v>
      </c>
      <c r="E1342" s="14">
        <f>1375.3*(2/3*10)</f>
        <v>9168.6666666666661</v>
      </c>
      <c r="F1342" s="14">
        <f>194.9*(2/3*10)</f>
        <v>1299.3333333333333</v>
      </c>
      <c r="G1342" s="14">
        <f>331.3*(2/3*10)</f>
        <v>2208.6666666666665</v>
      </c>
      <c r="H1342" s="14">
        <f>95.9*(2/3*10)</f>
        <v>639.33333333333337</v>
      </c>
      <c r="I1342" s="14">
        <f>278.1*(2/3*10)</f>
        <v>1854</v>
      </c>
      <c r="K1342">
        <v>1339</v>
      </c>
      <c r="L1342">
        <f t="shared" si="20"/>
        <v>3</v>
      </c>
    </row>
    <row r="1343" spans="1:12" ht="16.5" x14ac:dyDescent="0.2">
      <c r="A1343" s="4" t="s">
        <v>185</v>
      </c>
      <c r="B1343">
        <v>2012</v>
      </c>
      <c r="C1343" s="14">
        <f>1585.4*(2/3*10)</f>
        <v>10569.333333333332</v>
      </c>
      <c r="D1343" s="14">
        <f>43.9*(2/3*10)</f>
        <v>292.66666666666663</v>
      </c>
      <c r="E1343" s="14">
        <f>1373*(2/3*10)</f>
        <v>9153.3333333333321</v>
      </c>
      <c r="F1343" s="14">
        <f>191.4*(2/3*10)</f>
        <v>1276</v>
      </c>
      <c r="G1343" s="14">
        <f>335.2*(2/3*10)</f>
        <v>2234.666666666667</v>
      </c>
      <c r="H1343" s="14">
        <f>96.8*(2/3*10)</f>
        <v>645.33333333333326</v>
      </c>
      <c r="I1343" s="14">
        <f>277.8*(2/3*10)</f>
        <v>1852</v>
      </c>
      <c r="K1343" s="15">
        <v>1340</v>
      </c>
      <c r="L1343">
        <f t="shared" si="20"/>
        <v>4</v>
      </c>
    </row>
    <row r="1344" spans="1:12" ht="16.5" x14ac:dyDescent="0.2">
      <c r="A1344" s="4" t="s">
        <v>185</v>
      </c>
      <c r="B1344">
        <v>2013</v>
      </c>
      <c r="C1344" s="14">
        <f>1581.7*(2/3*10)</f>
        <v>10544.666666666666</v>
      </c>
      <c r="D1344" s="14">
        <f>43.6*(2/3*10)</f>
        <v>290.66666666666663</v>
      </c>
      <c r="E1344" s="14">
        <f>1371.5*(2/3*10)</f>
        <v>9143.3333333333321</v>
      </c>
      <c r="F1344" s="14">
        <f>190.3*(2/3*10)</f>
        <v>1268.6666666666667</v>
      </c>
      <c r="G1344" s="14">
        <f>339.5*(2/3*10)</f>
        <v>2263.333333333333</v>
      </c>
      <c r="H1344" s="14">
        <f>98.2*(2/3*10)</f>
        <v>654.66666666666663</v>
      </c>
      <c r="I1344" s="14">
        <f>278.1*(2/3*10)</f>
        <v>1854</v>
      </c>
      <c r="K1344">
        <v>1341</v>
      </c>
      <c r="L1344">
        <f t="shared" ref="L1344:L1407" si="21">MOD(K1344,8)</f>
        <v>5</v>
      </c>
    </row>
    <row r="1345" spans="1:12" ht="16.5" x14ac:dyDescent="0.2">
      <c r="A1345" s="4" t="s">
        <v>185</v>
      </c>
      <c r="B1345">
        <v>2014</v>
      </c>
      <c r="C1345" s="14">
        <f>1579.2*(2/3*10)</f>
        <v>10528</v>
      </c>
      <c r="D1345" s="14">
        <f>43.4*(2/3*10)</f>
        <v>289.33333333333331</v>
      </c>
      <c r="E1345" s="14">
        <f>1370.7*(2/3*10)</f>
        <v>9138</v>
      </c>
      <c r="F1345" s="14">
        <f>189.4*(2/3*10)</f>
        <v>1262.6666666666665</v>
      </c>
      <c r="G1345" s="14">
        <f>342.3*(2/3*10)</f>
        <v>2281.9999999999995</v>
      </c>
      <c r="H1345" s="14">
        <f>99*(2/3*10)</f>
        <v>659.99999999999989</v>
      </c>
      <c r="I1345" s="14">
        <f>278*(2/3*10)</f>
        <v>1853.3333333333333</v>
      </c>
      <c r="K1345">
        <v>1342</v>
      </c>
      <c r="L1345">
        <f t="shared" si="21"/>
        <v>6</v>
      </c>
    </row>
    <row r="1346" spans="1:12" ht="16.5" x14ac:dyDescent="0.2">
      <c r="A1346" s="4" t="s">
        <v>185</v>
      </c>
      <c r="B1346">
        <v>2015</v>
      </c>
      <c r="C1346" s="14">
        <f>1577.5*(2/3*10)</f>
        <v>10516.666666666666</v>
      </c>
      <c r="D1346" s="14">
        <f>43.3*(2/3*10)</f>
        <v>288.66666666666663</v>
      </c>
      <c r="E1346" s="14">
        <f>1370.3*(2/3*10)</f>
        <v>9135.3333333333321</v>
      </c>
      <c r="F1346" s="14">
        <f>188.8*(2/3*10)</f>
        <v>1258.6666666666667</v>
      </c>
      <c r="G1346" s="14">
        <f>345.1*(2/3*10)</f>
        <v>2300.6666666666665</v>
      </c>
      <c r="H1346" s="14">
        <f>99.5*(2/3*10)</f>
        <v>663.33333333333326</v>
      </c>
      <c r="I1346" s="14">
        <f>276.9*(2/3*10)</f>
        <v>1845.9999999999998</v>
      </c>
      <c r="K1346" s="15">
        <v>1343</v>
      </c>
      <c r="L1346">
        <f t="shared" si="21"/>
        <v>7</v>
      </c>
    </row>
    <row r="1347" spans="1:12" ht="16.5" x14ac:dyDescent="0.2">
      <c r="A1347" s="4" t="s">
        <v>185</v>
      </c>
      <c r="B1347">
        <v>2016</v>
      </c>
      <c r="C1347" s="14">
        <f>1578.3*(2/3*10)</f>
        <v>10521.999999999998</v>
      </c>
      <c r="D1347" s="14">
        <f>43*(2/3*10)</f>
        <v>286.66666666666663</v>
      </c>
      <c r="E1347" s="14">
        <f>1369.1*(2/3*10)</f>
        <v>9127.3333333333321</v>
      </c>
      <c r="F1347" s="14">
        <f>187.3*(2/3*10)</f>
        <v>1248.6666666666667</v>
      </c>
      <c r="G1347" s="14">
        <f>348.4*(2/3*10)</f>
        <v>2322.6666666666665</v>
      </c>
      <c r="H1347" s="14">
        <f>100.8*(2/3*10)</f>
        <v>671.99999999999989</v>
      </c>
      <c r="I1347" s="14">
        <f>274.2*(2/3*10)</f>
        <v>1827.9999999999998</v>
      </c>
      <c r="K1347">
        <v>1344</v>
      </c>
      <c r="L1347">
        <f t="shared" si="21"/>
        <v>0</v>
      </c>
    </row>
    <row r="1348" spans="1:12" ht="16.5" x14ac:dyDescent="0.2">
      <c r="A1348" s="4" t="s">
        <v>184</v>
      </c>
      <c r="B1348">
        <v>2009</v>
      </c>
      <c r="C1348" s="14">
        <f>1063.6*(2/3*10)</f>
        <v>7090.6666666666652</v>
      </c>
      <c r="D1348" s="14">
        <f>21.1*(2/3*10)</f>
        <v>140.66666666666666</v>
      </c>
      <c r="E1348" s="14">
        <f>117.3*(2/3*10)</f>
        <v>781.99999999999989</v>
      </c>
      <c r="F1348" s="14">
        <f>0.4*(2/3*10)</f>
        <v>2.6666666666666665</v>
      </c>
      <c r="G1348" s="14">
        <f>273.9*(2/3*10)</f>
        <v>1826</v>
      </c>
      <c r="H1348" s="14">
        <f>49.6*(2/3*10)</f>
        <v>330.66666666666663</v>
      </c>
      <c r="I1348" s="14">
        <f>76.4*(2/3*10)</f>
        <v>509.33333333333331</v>
      </c>
      <c r="K1348" s="15">
        <v>1345</v>
      </c>
      <c r="L1348">
        <f t="shared" si="21"/>
        <v>1</v>
      </c>
    </row>
    <row r="1349" spans="1:12" ht="16.5" x14ac:dyDescent="0.2">
      <c r="A1349" s="4" t="s">
        <v>184</v>
      </c>
      <c r="B1349">
        <v>2010</v>
      </c>
      <c r="C1349" s="14">
        <f>1062.6*(2/3*10)</f>
        <v>7083.9999999999991</v>
      </c>
      <c r="D1349" s="14">
        <f>21.1*(2/3*10)</f>
        <v>140.66666666666666</v>
      </c>
      <c r="E1349" s="14">
        <f>117.1*(2/3*10)</f>
        <v>780.66666666666652</v>
      </c>
      <c r="F1349" s="14">
        <f>0.3*(2/3*10)</f>
        <v>1.9999999999999998</v>
      </c>
      <c r="G1349" s="14">
        <f>275*(2/3*10)</f>
        <v>1833.3333333333333</v>
      </c>
      <c r="H1349" s="14">
        <f>50*(2/3*10)</f>
        <v>333.33333333333331</v>
      </c>
      <c r="I1349" s="14">
        <f>76.2*(2/3*10)</f>
        <v>508</v>
      </c>
      <c r="K1349">
        <v>1346</v>
      </c>
      <c r="L1349">
        <f t="shared" si="21"/>
        <v>2</v>
      </c>
    </row>
    <row r="1350" spans="1:12" ht="16.5" x14ac:dyDescent="0.2">
      <c r="A1350" s="4" t="s">
        <v>184</v>
      </c>
      <c r="B1350">
        <v>2011</v>
      </c>
      <c r="C1350" s="14">
        <f>1063.1*(2/3*10)</f>
        <v>7087.3333333333321</v>
      </c>
      <c r="D1350" s="14">
        <f>21*(2/3*10)</f>
        <v>140</v>
      </c>
      <c r="E1350" s="14">
        <f>116.2*(2/3*10)</f>
        <v>774.66666666666663</v>
      </c>
      <c r="F1350" s="14">
        <f>0.3*(2/3*10)</f>
        <v>1.9999999999999998</v>
      </c>
      <c r="G1350" s="14">
        <f>276.7*(2/3*10)</f>
        <v>1844.6666666666665</v>
      </c>
      <c r="H1350" s="14">
        <f>50.9*(2/3*10)</f>
        <v>339.33333333333331</v>
      </c>
      <c r="I1350" s="14">
        <f>74.1*(2/3*10)</f>
        <v>493.99999999999994</v>
      </c>
      <c r="K1350">
        <v>1347</v>
      </c>
      <c r="L1350">
        <f t="shared" si="21"/>
        <v>3</v>
      </c>
    </row>
    <row r="1351" spans="1:12" ht="16.5" x14ac:dyDescent="0.2">
      <c r="A1351" s="4" t="s">
        <v>184</v>
      </c>
      <c r="B1351">
        <v>2012</v>
      </c>
      <c r="C1351" s="14">
        <f>1062.5*(2/3*10)</f>
        <v>7083.333333333333</v>
      </c>
      <c r="D1351" s="14">
        <f>20.9*(2/3*10)</f>
        <v>139.33333333333331</v>
      </c>
      <c r="E1351" s="14">
        <f>115.7*(2/3*10)</f>
        <v>771.33333333333326</v>
      </c>
      <c r="F1351" s="14">
        <f>0.3*(2/3*10)</f>
        <v>1.9999999999999998</v>
      </c>
      <c r="G1351" s="14">
        <f>279.4*(2/3*10)</f>
        <v>1862.6666666666667</v>
      </c>
      <c r="H1351" s="14">
        <f>51.1*(2/3*10)</f>
        <v>340.66666666666663</v>
      </c>
      <c r="I1351" s="14">
        <f>72.7*(2/3*10)</f>
        <v>484.66666666666663</v>
      </c>
      <c r="K1351" s="15">
        <v>1348</v>
      </c>
      <c r="L1351">
        <f t="shared" si="21"/>
        <v>4</v>
      </c>
    </row>
    <row r="1352" spans="1:12" ht="16.5" x14ac:dyDescent="0.2">
      <c r="A1352" s="4" t="s">
        <v>184</v>
      </c>
      <c r="B1352">
        <v>2013</v>
      </c>
      <c r="C1352" s="14">
        <f>1060.4*(2/3*10)</f>
        <v>7069.333333333333</v>
      </c>
      <c r="D1352" s="14">
        <f>20.8*(2/3*10)</f>
        <v>138.66666666666666</v>
      </c>
      <c r="E1352" s="14">
        <f>115.1*(2/3*10)</f>
        <v>767.33333333333326</v>
      </c>
      <c r="F1352" s="14">
        <f>0.3*(2/3*10)</f>
        <v>1.9999999999999998</v>
      </c>
      <c r="G1352" s="14">
        <f>281.5*(2/3*10)</f>
        <v>1876.6666666666665</v>
      </c>
      <c r="H1352" s="14">
        <f>52.4*(2/3*10)</f>
        <v>349.33333333333331</v>
      </c>
      <c r="I1352" s="14">
        <f>71.8*(2/3*10)</f>
        <v>478.66666666666663</v>
      </c>
      <c r="K1352">
        <v>1349</v>
      </c>
      <c r="L1352">
        <f t="shared" si="21"/>
        <v>5</v>
      </c>
    </row>
    <row r="1353" spans="1:12" ht="16.5" x14ac:dyDescent="0.2">
      <c r="A1353" s="4" t="s">
        <v>184</v>
      </c>
      <c r="B1353">
        <v>2014</v>
      </c>
      <c r="C1353" s="14">
        <f>1058.2*(2/3*10)</f>
        <v>7054.6666666666661</v>
      </c>
      <c r="D1353" s="14">
        <f>20.8*(2/3*10)</f>
        <v>138.66666666666666</v>
      </c>
      <c r="E1353" s="14">
        <f>114.7*(2/3*10)</f>
        <v>764.66666666666663</v>
      </c>
      <c r="F1353" s="14">
        <f>0.3*(2/3*10)</f>
        <v>1.9999999999999998</v>
      </c>
      <c r="G1353" s="14">
        <f>283.7*(2/3*10)</f>
        <v>1891.333333333333</v>
      </c>
      <c r="H1353" s="14">
        <f>53.1*(2/3*10)</f>
        <v>354</v>
      </c>
      <c r="I1353" s="14">
        <f>71.5*(2/3*10)</f>
        <v>476.66666666666663</v>
      </c>
      <c r="K1353" s="15">
        <v>1350</v>
      </c>
      <c r="L1353">
        <f t="shared" si="21"/>
        <v>6</v>
      </c>
    </row>
    <row r="1354" spans="1:12" ht="16.5" x14ac:dyDescent="0.2">
      <c r="A1354" s="4" t="s">
        <v>184</v>
      </c>
      <c r="B1354">
        <v>2015</v>
      </c>
      <c r="C1354" s="14">
        <f>1056*(2/3*10)</f>
        <v>7039.9999999999991</v>
      </c>
      <c r="D1354" s="14">
        <f>20.5*(2/3*10)</f>
        <v>136.66666666666666</v>
      </c>
      <c r="E1354" s="14">
        <f>114.3*(2/3*10)</f>
        <v>761.99999999999989</v>
      </c>
      <c r="F1354" s="14">
        <f>0.3*(2/3*10)</f>
        <v>1.9999999999999998</v>
      </c>
      <c r="G1354" s="14">
        <f>286.3*(2/3*10)</f>
        <v>1908.6666666666665</v>
      </c>
      <c r="H1354" s="14">
        <f>53.4*(2/3*10)</f>
        <v>355.99999999999994</v>
      </c>
      <c r="I1354" s="14">
        <f>71.2*(2/3*10)</f>
        <v>474.66666666666663</v>
      </c>
      <c r="K1354">
        <v>1351</v>
      </c>
      <c r="L1354">
        <f t="shared" si="21"/>
        <v>7</v>
      </c>
    </row>
    <row r="1355" spans="1:12" ht="16.5" x14ac:dyDescent="0.2">
      <c r="A1355" s="4" t="s">
        <v>184</v>
      </c>
      <c r="B1355">
        <v>2016</v>
      </c>
      <c r="C1355" s="14">
        <f>1061.7*(2/3*10)</f>
        <v>7078</v>
      </c>
      <c r="D1355" s="14">
        <f>19.2*(2/3*10)</f>
        <v>127.99999999999999</v>
      </c>
      <c r="E1355" s="14">
        <f>109.9*(2/3*10)</f>
        <v>732.66666666666663</v>
      </c>
      <c r="F1355" s="14">
        <f>0.3*(2/3*10)</f>
        <v>1.9999999999999998</v>
      </c>
      <c r="G1355" s="14">
        <f>287*(2/3*10)</f>
        <v>1913.3333333333333</v>
      </c>
      <c r="H1355" s="14">
        <f>53.1*(2/3*10)</f>
        <v>354</v>
      </c>
      <c r="I1355" s="14">
        <f>70.7*(2/3*10)</f>
        <v>471.33333333333331</v>
      </c>
      <c r="K1355">
        <v>1352</v>
      </c>
      <c r="L1355">
        <f t="shared" si="21"/>
        <v>0</v>
      </c>
    </row>
    <row r="1356" spans="1:12" ht="16.5" x14ac:dyDescent="0.2">
      <c r="A1356" s="4" t="s">
        <v>183</v>
      </c>
      <c r="B1356">
        <v>2009</v>
      </c>
      <c r="C1356" s="14">
        <f>1259.6*(2/3*10)</f>
        <v>8397.3333333333321</v>
      </c>
      <c r="D1356" s="14">
        <f>101.1*(2/3*10)</f>
        <v>673.99999999999989</v>
      </c>
      <c r="E1356" s="14">
        <f>648.3*(2/3*10)</f>
        <v>4321.9999999999991</v>
      </c>
      <c r="F1356" s="14">
        <f>89*(2/3*10)</f>
        <v>593.33333333333326</v>
      </c>
      <c r="G1356" s="14">
        <f>311.1*(2/3*10)</f>
        <v>2073.9999999999995</v>
      </c>
      <c r="H1356" s="14">
        <f>58.5*(2/3*10)</f>
        <v>389.99999999999994</v>
      </c>
      <c r="I1356" s="14">
        <f>329.1*(2/3*10)</f>
        <v>2194</v>
      </c>
      <c r="K1356" s="15">
        <v>1353</v>
      </c>
      <c r="L1356">
        <f t="shared" si="21"/>
        <v>1</v>
      </c>
    </row>
    <row r="1357" spans="1:12" ht="16.5" x14ac:dyDescent="0.2">
      <c r="A1357" s="4" t="s">
        <v>183</v>
      </c>
      <c r="B1357">
        <v>2010</v>
      </c>
      <c r="C1357" s="14">
        <f>1257.8*(2/3*10)</f>
        <v>8385.3333333333321</v>
      </c>
      <c r="D1357" s="14">
        <f>101*(2/3*10)</f>
        <v>673.33333333333326</v>
      </c>
      <c r="E1357" s="14">
        <f>647.6*(2/3*10)</f>
        <v>4317.333333333333</v>
      </c>
      <c r="F1357" s="14">
        <f>88.2*(2/3*10)</f>
        <v>588</v>
      </c>
      <c r="G1357" s="14">
        <f>314*(2/3*10)</f>
        <v>2093.333333333333</v>
      </c>
      <c r="H1357" s="14">
        <f>59.2*(2/3*10)</f>
        <v>394.66666666666663</v>
      </c>
      <c r="I1357" s="14">
        <f>328.7*(2/3*10)</f>
        <v>2191.333333333333</v>
      </c>
      <c r="K1357">
        <v>1354</v>
      </c>
      <c r="L1357">
        <f t="shared" si="21"/>
        <v>2</v>
      </c>
    </row>
    <row r="1358" spans="1:12" ht="16.5" x14ac:dyDescent="0.2">
      <c r="A1358" s="4" t="s">
        <v>183</v>
      </c>
      <c r="B1358">
        <v>2011</v>
      </c>
      <c r="C1358" s="14">
        <f>1258.6*(2/3*10)</f>
        <v>8390.6666666666661</v>
      </c>
      <c r="D1358" s="14">
        <f>100.9*(2/3*10)</f>
        <v>672.66666666666663</v>
      </c>
      <c r="E1358" s="14">
        <f>646.8*(2/3*10)</f>
        <v>4311.9999999999991</v>
      </c>
      <c r="F1358" s="14">
        <f>86.7*(2/3*10)</f>
        <v>578</v>
      </c>
      <c r="G1358" s="14">
        <f>316.2*(2/3*10)</f>
        <v>2108</v>
      </c>
      <c r="H1358" s="14">
        <f>59.9*(2/3*10)</f>
        <v>399.33333333333331</v>
      </c>
      <c r="I1358" s="14">
        <f>327.3*(2/3*10)</f>
        <v>2182</v>
      </c>
      <c r="K1358" s="15">
        <v>1355</v>
      </c>
      <c r="L1358">
        <f t="shared" si="21"/>
        <v>3</v>
      </c>
    </row>
    <row r="1359" spans="1:12" ht="16.5" x14ac:dyDescent="0.2">
      <c r="A1359" s="4" t="s">
        <v>183</v>
      </c>
      <c r="B1359">
        <v>2012</v>
      </c>
      <c r="C1359" s="14">
        <f>1259.6*(2/3*10)</f>
        <v>8397.3333333333321</v>
      </c>
      <c r="D1359" s="14">
        <f>100.9*(2/3*10)</f>
        <v>672.66666666666663</v>
      </c>
      <c r="E1359" s="14">
        <f>646.4*(2/3*10)</f>
        <v>4309.333333333333</v>
      </c>
      <c r="F1359" s="14">
        <f>85.9*(2/3*10)</f>
        <v>572.66666666666663</v>
      </c>
      <c r="G1359" s="14">
        <f>317.4*(2/3*10)</f>
        <v>2116</v>
      </c>
      <c r="H1359" s="14">
        <f>60.1*(2/3*10)</f>
        <v>400.66666666666663</v>
      </c>
      <c r="I1359" s="14">
        <f>325.8*(2/3*10)</f>
        <v>2172</v>
      </c>
      <c r="K1359">
        <v>1356</v>
      </c>
      <c r="L1359">
        <f t="shared" si="21"/>
        <v>4</v>
      </c>
    </row>
    <row r="1360" spans="1:12" ht="16.5" x14ac:dyDescent="0.2">
      <c r="A1360" s="4" t="s">
        <v>183</v>
      </c>
      <c r="B1360">
        <v>2013</v>
      </c>
      <c r="C1360" s="14">
        <f>1259.1*(2/3*10)</f>
        <v>8393.9999999999982</v>
      </c>
      <c r="D1360" s="14">
        <f>100.8*(2/3*10)</f>
        <v>671.99999999999989</v>
      </c>
      <c r="E1360" s="14">
        <f>646*(2/3*10)</f>
        <v>4306.6666666666661</v>
      </c>
      <c r="F1360" s="14">
        <f>84.9*(2/3*10)</f>
        <v>566</v>
      </c>
      <c r="G1360" s="14">
        <f>319.6*(2/3*10)</f>
        <v>2130.6666666666665</v>
      </c>
      <c r="H1360" s="14">
        <f>60.8*(2/3*10)</f>
        <v>405.33333333333326</v>
      </c>
      <c r="I1360" s="14">
        <f>325*(2/3*10)</f>
        <v>2166.6666666666665</v>
      </c>
      <c r="K1360">
        <v>1357</v>
      </c>
      <c r="L1360">
        <f t="shared" si="21"/>
        <v>5</v>
      </c>
    </row>
    <row r="1361" spans="1:12" ht="16.5" x14ac:dyDescent="0.2">
      <c r="A1361" s="4" t="s">
        <v>183</v>
      </c>
      <c r="B1361">
        <v>2014</v>
      </c>
      <c r="C1361" s="14">
        <f>1260.5*(2/3*10)</f>
        <v>8403.3333333333321</v>
      </c>
      <c r="D1361" s="14">
        <f>100.6*(2/3*10)</f>
        <v>670.66666666666652</v>
      </c>
      <c r="E1361" s="14">
        <f>644.8*(2/3*10)</f>
        <v>4298.6666666666661</v>
      </c>
      <c r="F1361" s="14">
        <f>84*(2/3*10)</f>
        <v>560</v>
      </c>
      <c r="G1361" s="14">
        <f>322*(2/3*10)</f>
        <v>2146.6666666666665</v>
      </c>
      <c r="H1361" s="14">
        <f>61.1*(2/3*10)</f>
        <v>407.33333333333331</v>
      </c>
      <c r="I1361" s="14">
        <f>322.9*(2/3*10)</f>
        <v>2152.6666666666665</v>
      </c>
      <c r="K1361" s="15">
        <v>1358</v>
      </c>
      <c r="L1361">
        <f t="shared" si="21"/>
        <v>6</v>
      </c>
    </row>
    <row r="1362" spans="1:12" ht="16.5" x14ac:dyDescent="0.2">
      <c r="A1362" s="4" t="s">
        <v>183</v>
      </c>
      <c r="B1362">
        <v>2015</v>
      </c>
      <c r="C1362" s="14">
        <f>1262.7*(2/3*10)</f>
        <v>8418</v>
      </c>
      <c r="D1362" s="14">
        <f>100.4*(2/3*10)</f>
        <v>669.33333333333326</v>
      </c>
      <c r="E1362" s="14">
        <f>643.9*(2/3*10)</f>
        <v>4292.6666666666661</v>
      </c>
      <c r="F1362" s="14">
        <f>83*(2/3*10)</f>
        <v>553.33333333333326</v>
      </c>
      <c r="G1362" s="14">
        <f>323.7*(2/3*10)</f>
        <v>2157.9999999999995</v>
      </c>
      <c r="H1362" s="14">
        <f>61.3*(2/3*10)</f>
        <v>408.66666666666663</v>
      </c>
      <c r="I1362" s="14">
        <f>321*(2/3*10)</f>
        <v>2140</v>
      </c>
      <c r="K1362">
        <v>1359</v>
      </c>
      <c r="L1362">
        <f t="shared" si="21"/>
        <v>7</v>
      </c>
    </row>
    <row r="1363" spans="1:12" ht="16.5" x14ac:dyDescent="0.2">
      <c r="A1363" s="4" t="s">
        <v>183</v>
      </c>
      <c r="B1363">
        <v>2016</v>
      </c>
      <c r="C1363" s="14">
        <f>1261.4*(2/3*10)</f>
        <v>8409.3333333333339</v>
      </c>
      <c r="D1363" s="14">
        <f>100.3*(2/3*10)</f>
        <v>668.66666666666663</v>
      </c>
      <c r="E1363" s="14">
        <f>643.5*(2/3*10)</f>
        <v>4290</v>
      </c>
      <c r="F1363" s="14">
        <f>82.6*(2/3*10)</f>
        <v>550.66666666666663</v>
      </c>
      <c r="G1363" s="14">
        <f>326.4*(2/3*10)</f>
        <v>2176</v>
      </c>
      <c r="H1363" s="14">
        <f>61.1*(2/3*10)</f>
        <v>407.33333333333331</v>
      </c>
      <c r="I1363" s="14">
        <f>320.3*(2/3*10)</f>
        <v>2135.333333333333</v>
      </c>
      <c r="K1363" s="15">
        <v>1360</v>
      </c>
      <c r="L1363">
        <f t="shared" si="21"/>
        <v>0</v>
      </c>
    </row>
    <row r="1364" spans="1:12" ht="16.5" x14ac:dyDescent="0.2">
      <c r="A1364" s="4" t="s">
        <v>182</v>
      </c>
      <c r="B1364">
        <v>2009</v>
      </c>
      <c r="C1364" s="14">
        <f>1293.2*(2/3*10)</f>
        <v>8621.3333333333321</v>
      </c>
      <c r="D1364" s="14">
        <f>8.1*(2/3*10)</f>
        <v>53.999999999999993</v>
      </c>
      <c r="E1364" s="14">
        <f>67.1*(2/3*10)</f>
        <v>447.33333333333326</v>
      </c>
      <c r="F1364" s="14">
        <f>0.2*(2/3*10)</f>
        <v>1.3333333333333333</v>
      </c>
      <c r="G1364" s="14">
        <f>274.5*(2/3*10)</f>
        <v>1829.9999999999998</v>
      </c>
      <c r="H1364" s="14">
        <f>54*(2/3*10)</f>
        <v>359.99999999999994</v>
      </c>
      <c r="I1364" s="14">
        <f>93.7*(2/3*10)</f>
        <v>624.66666666666663</v>
      </c>
      <c r="K1364">
        <v>1361</v>
      </c>
      <c r="L1364">
        <f t="shared" si="21"/>
        <v>1</v>
      </c>
    </row>
    <row r="1365" spans="1:12" ht="16.5" x14ac:dyDescent="0.2">
      <c r="A1365" s="4" t="s">
        <v>182</v>
      </c>
      <c r="B1365">
        <v>2010</v>
      </c>
      <c r="C1365" s="14">
        <f>1291.1*(2/3*10)</f>
        <v>8607.3333333333321</v>
      </c>
      <c r="D1365" s="14">
        <f>8*(2/3*10)</f>
        <v>53.333333333333329</v>
      </c>
      <c r="E1365" s="14">
        <f>67*(2/3*10)</f>
        <v>446.66666666666663</v>
      </c>
      <c r="F1365" s="14">
        <f>0.2*(2/3*10)</f>
        <v>1.3333333333333333</v>
      </c>
      <c r="G1365" s="14">
        <f>276.4*(2/3*10)</f>
        <v>1842.6666666666663</v>
      </c>
      <c r="H1365" s="14">
        <f>54.3*(2/3*10)</f>
        <v>361.99999999999994</v>
      </c>
      <c r="I1365" s="14">
        <f>93.7*(2/3*10)</f>
        <v>624.66666666666663</v>
      </c>
      <c r="K1365">
        <v>1362</v>
      </c>
      <c r="L1365">
        <f t="shared" si="21"/>
        <v>2</v>
      </c>
    </row>
    <row r="1366" spans="1:12" ht="16.5" x14ac:dyDescent="0.2">
      <c r="A1366" s="4" t="s">
        <v>182</v>
      </c>
      <c r="B1366">
        <v>2011</v>
      </c>
      <c r="C1366" s="14">
        <f>1289*(2/3*10)</f>
        <v>8593.3333333333321</v>
      </c>
      <c r="D1366" s="14">
        <f>7.8*(2/3*10)</f>
        <v>51.999999999999993</v>
      </c>
      <c r="E1366" s="14">
        <f>66.6*(2/3*10)</f>
        <v>443.99999999999994</v>
      </c>
      <c r="F1366" s="14">
        <f>0.2*(2/3*10)</f>
        <v>1.3333333333333333</v>
      </c>
      <c r="G1366" s="14">
        <f>278.8*(2/3*10)</f>
        <v>1858.6666666666665</v>
      </c>
      <c r="H1366" s="14">
        <f>54.6*(2/3*10)</f>
        <v>364</v>
      </c>
      <c r="I1366" s="14">
        <f>93.6*(2/3*10)</f>
        <v>623.99999999999989</v>
      </c>
      <c r="K1366" s="15">
        <v>1363</v>
      </c>
      <c r="L1366">
        <f t="shared" si="21"/>
        <v>3</v>
      </c>
    </row>
    <row r="1367" spans="1:12" ht="16.5" x14ac:dyDescent="0.2">
      <c r="A1367" s="4" t="s">
        <v>182</v>
      </c>
      <c r="B1367">
        <v>2012</v>
      </c>
      <c r="C1367" s="14">
        <f>1286.7*(2/3*10)</f>
        <v>8578</v>
      </c>
      <c r="D1367" s="14">
        <f>7.7*(2/3*10)</f>
        <v>51.333333333333329</v>
      </c>
      <c r="E1367" s="14">
        <f>65.8*(2/3*10)</f>
        <v>438.66666666666663</v>
      </c>
      <c r="F1367" s="14">
        <f>0.2*(2/3*10)</f>
        <v>1.3333333333333333</v>
      </c>
      <c r="G1367" s="14">
        <f>281.9*(2/3*10)</f>
        <v>1879.3333333333335</v>
      </c>
      <c r="H1367" s="14">
        <f>54.8*(2/3*10)</f>
        <v>365.33333333333326</v>
      </c>
      <c r="I1367" s="14">
        <f>93.5*(2/3*10)</f>
        <v>623.33333333333326</v>
      </c>
      <c r="K1367">
        <v>1364</v>
      </c>
      <c r="L1367">
        <f t="shared" si="21"/>
        <v>4</v>
      </c>
    </row>
    <row r="1368" spans="1:12" ht="16.5" x14ac:dyDescent="0.2">
      <c r="A1368" s="4" t="s">
        <v>182</v>
      </c>
      <c r="B1368">
        <v>2013</v>
      </c>
      <c r="C1368" s="14">
        <f>1284.3*(2/3*10)</f>
        <v>8561.9999999999982</v>
      </c>
      <c r="D1368" s="14">
        <f>7.6*(2/3*10)</f>
        <v>50.666666666666657</v>
      </c>
      <c r="E1368" s="14">
        <f>65.7*(2/3*10)</f>
        <v>438</v>
      </c>
      <c r="F1368" s="14">
        <f>0.2*(2/3*10)</f>
        <v>1.3333333333333333</v>
      </c>
      <c r="G1368" s="14">
        <f>283.9*(2/3*10)</f>
        <v>1892.6666666666667</v>
      </c>
      <c r="H1368" s="14">
        <f>55.6*(2/3*10)</f>
        <v>370.66666666666663</v>
      </c>
      <c r="I1368" s="14">
        <f>93*(2/3*10)</f>
        <v>620</v>
      </c>
      <c r="K1368" s="15">
        <v>1365</v>
      </c>
      <c r="L1368">
        <f t="shared" si="21"/>
        <v>5</v>
      </c>
    </row>
    <row r="1369" spans="1:12" ht="16.5" x14ac:dyDescent="0.2">
      <c r="A1369" s="4" t="s">
        <v>182</v>
      </c>
      <c r="B1369">
        <v>2014</v>
      </c>
      <c r="C1369" s="14">
        <f>1281.8*(2/3*10)</f>
        <v>8545.3333333333321</v>
      </c>
      <c r="D1369" s="14">
        <f>7.3*(2/3*10)</f>
        <v>48.666666666666664</v>
      </c>
      <c r="E1369" s="14">
        <f>65.3*(2/3*10)</f>
        <v>435.33333333333326</v>
      </c>
      <c r="F1369" s="14">
        <f>0.2*(2/3*10)</f>
        <v>1.3333333333333333</v>
      </c>
      <c r="G1369" s="14">
        <f>287*(2/3*10)</f>
        <v>1913.3333333333333</v>
      </c>
      <c r="H1369" s="14">
        <f>56.1*(2/3*10)</f>
        <v>374</v>
      </c>
      <c r="I1369" s="14">
        <f>91.9*(2/3*10)</f>
        <v>612.66666666666663</v>
      </c>
      <c r="K1369">
        <v>1366</v>
      </c>
      <c r="L1369">
        <f t="shared" si="21"/>
        <v>6</v>
      </c>
    </row>
    <row r="1370" spans="1:12" ht="16.5" x14ac:dyDescent="0.2">
      <c r="A1370" s="4" t="s">
        <v>182</v>
      </c>
      <c r="B1370">
        <v>2015</v>
      </c>
      <c r="C1370" s="14">
        <f>1279.6*(2/3*10)</f>
        <v>8530.6666666666661</v>
      </c>
      <c r="D1370" s="14">
        <f>7.2*(2/3*10)</f>
        <v>48</v>
      </c>
      <c r="E1370" s="14">
        <f>64.8*(2/3*10)</f>
        <v>431.99999999999994</v>
      </c>
      <c r="F1370" s="14">
        <f>0.2*(2/3*10)</f>
        <v>1.3333333333333333</v>
      </c>
      <c r="G1370" s="14">
        <f>289.4*(2/3*10)</f>
        <v>1929.3333333333335</v>
      </c>
      <c r="H1370" s="14">
        <f>56.3*(2/3*10)</f>
        <v>375.33333333333326</v>
      </c>
      <c r="I1370" s="14">
        <f>91.6*(2/3*10)</f>
        <v>610.66666666666663</v>
      </c>
      <c r="K1370">
        <v>1367</v>
      </c>
      <c r="L1370">
        <f t="shared" si="21"/>
        <v>7</v>
      </c>
    </row>
    <row r="1371" spans="1:12" ht="16.5" x14ac:dyDescent="0.2">
      <c r="A1371" s="4" t="s">
        <v>182</v>
      </c>
      <c r="B1371">
        <v>2016</v>
      </c>
      <c r="C1371" s="14">
        <f>1284.2*(2/3*10)</f>
        <v>8561.3333333333321</v>
      </c>
      <c r="D1371" s="14">
        <f>6.2*(2/3*10)</f>
        <v>41.333333333333329</v>
      </c>
      <c r="E1371" s="14">
        <f>59.8*(2/3*10)</f>
        <v>398.66666666666663</v>
      </c>
      <c r="F1371" s="14">
        <f>0.2*(2/3*10)</f>
        <v>1.3333333333333333</v>
      </c>
      <c r="G1371" s="14">
        <f>290.8*(2/3*10)</f>
        <v>1938.6666666666663</v>
      </c>
      <c r="H1371" s="14">
        <f>56.6*(2/3*10)</f>
        <v>377.33333333333331</v>
      </c>
      <c r="I1371" s="14">
        <f>90.3*(2/3*10)</f>
        <v>601.99999999999989</v>
      </c>
      <c r="K1371" s="15">
        <v>1368</v>
      </c>
      <c r="L1371">
        <f t="shared" si="21"/>
        <v>0</v>
      </c>
    </row>
    <row r="1372" spans="1:12" ht="16.5" x14ac:dyDescent="0.2">
      <c r="A1372" s="4" t="s">
        <v>181</v>
      </c>
      <c r="B1372">
        <v>2009</v>
      </c>
      <c r="C1372" s="14">
        <f>1432.1*(2/3*10)</f>
        <v>9547.3333333333321</v>
      </c>
      <c r="D1372" s="14">
        <f>4.1*(2/3*10)</f>
        <v>27.333333333333329</v>
      </c>
      <c r="E1372" s="14">
        <f>243.8*(2/3*10)</f>
        <v>1625.3333333333333</v>
      </c>
      <c r="F1372" s="14">
        <f>47*(2/3*10)</f>
        <v>313.33333333333331</v>
      </c>
      <c r="G1372" s="14">
        <f>264.9*(2/3*10)</f>
        <v>1765.9999999999998</v>
      </c>
      <c r="H1372" s="14">
        <f>74.6*(2/3*10)</f>
        <v>497.33333333333326</v>
      </c>
      <c r="I1372" s="14">
        <f>163.9*(2/3*10)</f>
        <v>1092.6666666666665</v>
      </c>
      <c r="K1372">
        <v>1369</v>
      </c>
      <c r="L1372">
        <f t="shared" si="21"/>
        <v>1</v>
      </c>
    </row>
    <row r="1373" spans="1:12" ht="16.5" x14ac:dyDescent="0.2">
      <c r="A1373" s="4" t="s">
        <v>181</v>
      </c>
      <c r="B1373">
        <v>2010</v>
      </c>
      <c r="C1373" s="14">
        <f>1432.6*(2/3*10)</f>
        <v>9550.6666666666661</v>
      </c>
      <c r="D1373" s="14">
        <f>4.1*(2/3*10)</f>
        <v>27.333333333333329</v>
      </c>
      <c r="E1373" s="14">
        <f>243.4*(2/3*10)</f>
        <v>1622.6666666666665</v>
      </c>
      <c r="F1373" s="14">
        <f>45*(2/3*10)</f>
        <v>300</v>
      </c>
      <c r="G1373" s="14">
        <f>267*(2/3*10)</f>
        <v>1779.9999999999998</v>
      </c>
      <c r="H1373" s="14">
        <f>74.7*(2/3*10)</f>
        <v>498</v>
      </c>
      <c r="I1373" s="14">
        <f>163.9*(2/3*10)</f>
        <v>1092.6666666666665</v>
      </c>
      <c r="K1373" s="15">
        <v>1370</v>
      </c>
      <c r="L1373">
        <f t="shared" si="21"/>
        <v>2</v>
      </c>
    </row>
    <row r="1374" spans="1:12" ht="16.5" x14ac:dyDescent="0.2">
      <c r="A1374" s="4" t="s">
        <v>181</v>
      </c>
      <c r="B1374">
        <v>2011</v>
      </c>
      <c r="C1374" s="14">
        <f>1429.9*(2/3*10)</f>
        <v>9532.6666666666661</v>
      </c>
      <c r="D1374" s="14">
        <f>4*(2/3*10)</f>
        <v>26.666666666666664</v>
      </c>
      <c r="E1374" s="14">
        <f>242.9*(2/3*10)</f>
        <v>1619.3333333333333</v>
      </c>
      <c r="F1374" s="14">
        <f>44.9*(2/3*10)</f>
        <v>299.33333333333331</v>
      </c>
      <c r="G1374" s="14">
        <f>269.9*(2/3*10)</f>
        <v>1799.3333333333335</v>
      </c>
      <c r="H1374" s="14">
        <f>75*(2/3*10)</f>
        <v>499.99999999999994</v>
      </c>
      <c r="I1374" s="14">
        <f>163.8*(2/3*10)</f>
        <v>1092</v>
      </c>
      <c r="K1374">
        <v>1371</v>
      </c>
      <c r="L1374">
        <f t="shared" si="21"/>
        <v>3</v>
      </c>
    </row>
    <row r="1375" spans="1:12" ht="16.5" x14ac:dyDescent="0.2">
      <c r="A1375" s="4" t="s">
        <v>181</v>
      </c>
      <c r="B1375">
        <v>2012</v>
      </c>
      <c r="C1375" s="14">
        <f>1427.4*(2/3*10)</f>
        <v>9516</v>
      </c>
      <c r="D1375" s="14">
        <f>4*(2/3*10)</f>
        <v>26.666666666666664</v>
      </c>
      <c r="E1375" s="14">
        <f>242.6*(2/3*10)</f>
        <v>1617.3333333333333</v>
      </c>
      <c r="F1375" s="14">
        <f>44.6*(2/3*10)</f>
        <v>297.33333333333331</v>
      </c>
      <c r="G1375" s="14">
        <f>272.7*(2/3*10)</f>
        <v>1818.0000000000002</v>
      </c>
      <c r="H1375" s="14">
        <f>75.2*(2/3*10)</f>
        <v>501.33333333333331</v>
      </c>
      <c r="I1375" s="14">
        <f>163.7*(2/3*10)</f>
        <v>1091.3333333333333</v>
      </c>
      <c r="K1375">
        <v>1372</v>
      </c>
      <c r="L1375">
        <f t="shared" si="21"/>
        <v>4</v>
      </c>
    </row>
    <row r="1376" spans="1:12" ht="16.5" x14ac:dyDescent="0.2">
      <c r="A1376" s="4" t="s">
        <v>181</v>
      </c>
      <c r="B1376">
        <v>2013</v>
      </c>
      <c r="C1376" s="14">
        <f>1424.8*(2/3*10)</f>
        <v>9498.6666666666661</v>
      </c>
      <c r="D1376" s="14">
        <f>4*(2/3*10)</f>
        <v>26.666666666666664</v>
      </c>
      <c r="E1376" s="14">
        <f>242.3*(2/3*10)</f>
        <v>1615.3333333333333</v>
      </c>
      <c r="F1376" s="14">
        <f>44.3*(2/3*10)</f>
        <v>295.33333333333331</v>
      </c>
      <c r="G1376" s="14">
        <f>275.5*(2/3*10)</f>
        <v>1836.6666666666665</v>
      </c>
      <c r="H1376" s="14">
        <f>75.8*(2/3*10)</f>
        <v>505.33333333333326</v>
      </c>
      <c r="I1376" s="14">
        <f>163.6*(2/3*10)</f>
        <v>1090.6666666666665</v>
      </c>
      <c r="K1376" s="15">
        <v>1373</v>
      </c>
      <c r="L1376">
        <f t="shared" si="21"/>
        <v>5</v>
      </c>
    </row>
    <row r="1377" spans="1:12" ht="16.5" x14ac:dyDescent="0.2">
      <c r="A1377" s="4" t="s">
        <v>181</v>
      </c>
      <c r="B1377">
        <v>2014</v>
      </c>
      <c r="C1377" s="14">
        <f>1422.6*(2/3*10)</f>
        <v>9483.9999999999982</v>
      </c>
      <c r="D1377" s="14">
        <f>3.9*(2/3*10)</f>
        <v>25.999999999999996</v>
      </c>
      <c r="E1377" s="14">
        <f>241.7*(2/3*10)</f>
        <v>1611.333333333333</v>
      </c>
      <c r="F1377" s="14">
        <f>43.7*(2/3*10)</f>
        <v>291.33333333333331</v>
      </c>
      <c r="G1377" s="14">
        <f>278.2*(2/3*10)</f>
        <v>1854.6666666666665</v>
      </c>
      <c r="H1377" s="14">
        <f>76.3*(2/3*10)</f>
        <v>508.66666666666663</v>
      </c>
      <c r="I1377" s="14">
        <f>163.5*(2/3*10)</f>
        <v>1090</v>
      </c>
      <c r="K1377">
        <v>1374</v>
      </c>
      <c r="L1377">
        <f t="shared" si="21"/>
        <v>6</v>
      </c>
    </row>
    <row r="1378" spans="1:12" ht="16.5" x14ac:dyDescent="0.2">
      <c r="A1378" s="4" t="s">
        <v>181</v>
      </c>
      <c r="B1378">
        <v>2015</v>
      </c>
      <c r="C1378" s="14">
        <f>1420.6*(2/3*10)</f>
        <v>9470.6666666666661</v>
      </c>
      <c r="D1378" s="14">
        <f>3.9*(2/3*10)</f>
        <v>25.999999999999996</v>
      </c>
      <c r="E1378" s="14">
        <f>241.3*(2/3*10)</f>
        <v>1608.6666666666665</v>
      </c>
      <c r="F1378" s="14">
        <f>42.7*(2/3*10)</f>
        <v>284.66666666666669</v>
      </c>
      <c r="G1378" s="14">
        <f>281.5*(2/3*10)</f>
        <v>1876.6666666666665</v>
      </c>
      <c r="H1378" s="14">
        <f>76.6*(2/3*10)</f>
        <v>510.66666666666657</v>
      </c>
      <c r="I1378" s="14">
        <f>163.3*(2/3*10)</f>
        <v>1088.6666666666667</v>
      </c>
      <c r="K1378" s="15">
        <v>1375</v>
      </c>
      <c r="L1378">
        <f t="shared" si="21"/>
        <v>7</v>
      </c>
    </row>
    <row r="1379" spans="1:12" ht="16.5" x14ac:dyDescent="0.2">
      <c r="A1379" s="4" t="s">
        <v>181</v>
      </c>
      <c r="B1379">
        <v>2016</v>
      </c>
      <c r="C1379" s="14">
        <f>1418.3*(2/3*10)</f>
        <v>9455.3333333333321</v>
      </c>
      <c r="D1379" s="14">
        <f>3.9*(2/3*10)</f>
        <v>25.999999999999996</v>
      </c>
      <c r="E1379" s="14">
        <f>241*(2/3*10)</f>
        <v>1606.6666666666665</v>
      </c>
      <c r="F1379" s="14">
        <f>42.3*(2/3*10)</f>
        <v>281.99999999999994</v>
      </c>
      <c r="G1379" s="14">
        <f>284.9*(2/3*10)</f>
        <v>1899.333333333333</v>
      </c>
      <c r="H1379" s="14">
        <f>76.6*(2/3*10)</f>
        <v>510.66666666666657</v>
      </c>
      <c r="I1379" s="14">
        <f>162.9*(2/3*10)</f>
        <v>1086</v>
      </c>
      <c r="K1379">
        <v>1376</v>
      </c>
      <c r="L1379">
        <f t="shared" si="21"/>
        <v>0</v>
      </c>
    </row>
    <row r="1380" spans="1:12" ht="16.5" x14ac:dyDescent="0.2">
      <c r="A1380" s="4" t="s">
        <v>180</v>
      </c>
      <c r="B1380">
        <v>2009</v>
      </c>
      <c r="C1380" s="14">
        <f>70.7*(2/3*10)</f>
        <v>471.33333333333331</v>
      </c>
      <c r="D1380" s="14">
        <f>6*(2/3*10)</f>
        <v>40</v>
      </c>
      <c r="E1380" s="14">
        <f>133.9*(2/3*10)</f>
        <v>892.66666666666663</v>
      </c>
      <c r="F1380" s="14">
        <f>8*(2/3*10)</f>
        <v>53.333333333333329</v>
      </c>
      <c r="G1380" s="14">
        <f>26.7*(2/3*10)</f>
        <v>178</v>
      </c>
      <c r="H1380" s="14">
        <f>6.8*(2/3*10)</f>
        <v>45.333333333333329</v>
      </c>
      <c r="I1380" s="14">
        <f>18.8*(2/3*10)</f>
        <v>125.33333333333333</v>
      </c>
      <c r="K1380">
        <v>1377</v>
      </c>
      <c r="L1380">
        <f t="shared" si="21"/>
        <v>1</v>
      </c>
    </row>
    <row r="1381" spans="1:12" ht="16.5" x14ac:dyDescent="0.2">
      <c r="A1381" s="4" t="s">
        <v>180</v>
      </c>
      <c r="B1381">
        <v>2010</v>
      </c>
      <c r="C1381" s="14">
        <f>70.5*(2/3*10)</f>
        <v>469.99999999999994</v>
      </c>
      <c r="D1381" s="14">
        <f>5.9*(2/3*10)</f>
        <v>39.333333333333336</v>
      </c>
      <c r="E1381" s="14">
        <f>133.4*(2/3*10)</f>
        <v>889.33333333333326</v>
      </c>
      <c r="F1381" s="14">
        <f>8.4*(2/3*10)</f>
        <v>56</v>
      </c>
      <c r="G1381" s="14">
        <f>27.1*(2/3*10)</f>
        <v>180.66666666666666</v>
      </c>
      <c r="H1381" s="14">
        <f>6.8*(2/3*10)</f>
        <v>45.333333333333329</v>
      </c>
      <c r="I1381" s="14">
        <f>18.8*(2/3*10)</f>
        <v>125.33333333333333</v>
      </c>
      <c r="K1381" s="15">
        <v>1378</v>
      </c>
      <c r="L1381">
        <f t="shared" si="21"/>
        <v>2</v>
      </c>
    </row>
    <row r="1382" spans="1:12" ht="16.5" x14ac:dyDescent="0.2">
      <c r="A1382" s="4" t="s">
        <v>180</v>
      </c>
      <c r="B1382">
        <v>2011</v>
      </c>
      <c r="C1382" s="14">
        <f>70.2*(2/3*10)</f>
        <v>468</v>
      </c>
      <c r="D1382" s="14">
        <f>5.8*(2/3*10)</f>
        <v>38.666666666666664</v>
      </c>
      <c r="E1382" s="14">
        <f>133.1*(2/3*10)</f>
        <v>887.33333333333326</v>
      </c>
      <c r="F1382" s="14">
        <f>8.6*(2/3*10)</f>
        <v>57.333333333333329</v>
      </c>
      <c r="G1382" s="14">
        <f>27.5*(2/3*10)</f>
        <v>183.33333333333331</v>
      </c>
      <c r="H1382" s="14">
        <f>6.8*(2/3*10)</f>
        <v>45.333333333333329</v>
      </c>
      <c r="I1382" s="14">
        <f>18.8*(2/3*10)</f>
        <v>125.33333333333333</v>
      </c>
      <c r="K1382">
        <v>1379</v>
      </c>
      <c r="L1382">
        <f t="shared" si="21"/>
        <v>3</v>
      </c>
    </row>
    <row r="1383" spans="1:12" ht="16.5" x14ac:dyDescent="0.2">
      <c r="A1383" s="4" t="s">
        <v>180</v>
      </c>
      <c r="B1383">
        <v>2012</v>
      </c>
      <c r="C1383" s="14">
        <f>69.7*(2/3*10)</f>
        <v>464.66666666666663</v>
      </c>
      <c r="D1383" s="14">
        <f>5.7*(2/3*10)</f>
        <v>38</v>
      </c>
      <c r="E1383" s="14">
        <f>133*(2/3*10)</f>
        <v>886.66666666666663</v>
      </c>
      <c r="F1383" s="14">
        <f>8.5*(2/3*10)</f>
        <v>56.666666666666664</v>
      </c>
      <c r="G1383" s="14">
        <f>28.1*(2/3*10)</f>
        <v>187.33333333333331</v>
      </c>
      <c r="H1383" s="14">
        <f>6.9*(2/3*10)</f>
        <v>46</v>
      </c>
      <c r="I1383" s="14">
        <f>18.8*(2/3*10)</f>
        <v>125.33333333333333</v>
      </c>
      <c r="K1383" s="15">
        <v>1380</v>
      </c>
      <c r="L1383">
        <f t="shared" si="21"/>
        <v>4</v>
      </c>
    </row>
    <row r="1384" spans="1:12" ht="16.5" x14ac:dyDescent="0.2">
      <c r="A1384" s="4" t="s">
        <v>180</v>
      </c>
      <c r="B1384">
        <v>2013</v>
      </c>
      <c r="C1384" s="14">
        <f>69.1*(2/3*10)</f>
        <v>460.66666666666657</v>
      </c>
      <c r="D1384" s="14">
        <f>5.7*(2/3*10)</f>
        <v>38</v>
      </c>
      <c r="E1384" s="14">
        <f>132.9*(2/3*10)</f>
        <v>886</v>
      </c>
      <c r="F1384" s="14">
        <f>8.5*(2/3*10)</f>
        <v>56.666666666666664</v>
      </c>
      <c r="G1384" s="14">
        <f>28.9*(2/3*10)</f>
        <v>192.66666666666663</v>
      </c>
      <c r="H1384" s="14">
        <f>7*(2/3*10)</f>
        <v>46.666666666666664</v>
      </c>
      <c r="I1384" s="14">
        <f>18.8*(2/3*10)</f>
        <v>125.33333333333333</v>
      </c>
      <c r="K1384">
        <v>1381</v>
      </c>
      <c r="L1384">
        <f t="shared" si="21"/>
        <v>5</v>
      </c>
    </row>
    <row r="1385" spans="1:12" ht="16.5" x14ac:dyDescent="0.2">
      <c r="A1385" s="4" t="s">
        <v>180</v>
      </c>
      <c r="B1385">
        <v>2014</v>
      </c>
      <c r="C1385" s="14">
        <f>68.9*(2/3*10)</f>
        <v>459.33333333333331</v>
      </c>
      <c r="D1385" s="14">
        <f>5.7*(2/3*10)</f>
        <v>38</v>
      </c>
      <c r="E1385" s="14">
        <f>132.9*(2/3*10)</f>
        <v>886</v>
      </c>
      <c r="F1385" s="14">
        <f>8.4*(2/3*10)</f>
        <v>56</v>
      </c>
      <c r="G1385" s="14">
        <f>29.1*(2/3*10)</f>
        <v>194</v>
      </c>
      <c r="H1385" s="14">
        <f>7.1*(2/3*10)</f>
        <v>47.333333333333329</v>
      </c>
      <c r="I1385" s="14">
        <f>18.8*(2/3*10)</f>
        <v>125.33333333333333</v>
      </c>
      <c r="K1385">
        <v>1382</v>
      </c>
      <c r="L1385">
        <f t="shared" si="21"/>
        <v>6</v>
      </c>
    </row>
    <row r="1386" spans="1:12" ht="16.5" x14ac:dyDescent="0.2">
      <c r="A1386" s="4" t="s">
        <v>180</v>
      </c>
      <c r="B1386">
        <v>2015</v>
      </c>
      <c r="C1386" s="14">
        <f>68.7*(2/3*10)</f>
        <v>458</v>
      </c>
      <c r="D1386" s="14">
        <f>5.7*(2/3*10)</f>
        <v>38</v>
      </c>
      <c r="E1386" s="14">
        <f>132.8*(2/3*10)</f>
        <v>885.33333333333337</v>
      </c>
      <c r="F1386" s="14">
        <f>8.4*(2/3*10)</f>
        <v>56</v>
      </c>
      <c r="G1386" s="14">
        <f>29.4*(2/3*10)</f>
        <v>196</v>
      </c>
      <c r="H1386" s="14">
        <f>7.1*(2/3*10)</f>
        <v>47.333333333333329</v>
      </c>
      <c r="I1386" s="14">
        <f>18.8*(2/3*10)</f>
        <v>125.33333333333333</v>
      </c>
      <c r="K1386" s="15">
        <v>1383</v>
      </c>
      <c r="L1386">
        <f t="shared" si="21"/>
        <v>7</v>
      </c>
    </row>
    <row r="1387" spans="1:12" ht="16.5" x14ac:dyDescent="0.2">
      <c r="A1387" s="4" t="s">
        <v>180</v>
      </c>
      <c r="B1387">
        <v>2016</v>
      </c>
      <c r="C1387" s="14">
        <f>68.6*(2/3*10)</f>
        <v>457.33333333333326</v>
      </c>
      <c r="D1387" s="14">
        <f>5.6*(2/3*10)</f>
        <v>37.333333333333329</v>
      </c>
      <c r="E1387" s="14">
        <f>132.9*(2/3*10)</f>
        <v>886</v>
      </c>
      <c r="F1387" s="14">
        <f>8.4*(2/3*10)</f>
        <v>56</v>
      </c>
      <c r="G1387" s="14">
        <f>29.5*(2/3*10)</f>
        <v>196.66666666666666</v>
      </c>
      <c r="H1387" s="14">
        <f>7*(2/3*10)</f>
        <v>46.666666666666664</v>
      </c>
      <c r="I1387" s="14">
        <f>18.8*(2/3*10)</f>
        <v>125.33333333333333</v>
      </c>
      <c r="K1387">
        <v>1384</v>
      </c>
      <c r="L1387">
        <f t="shared" si="21"/>
        <v>0</v>
      </c>
    </row>
    <row r="1388" spans="1:12" ht="16.5" x14ac:dyDescent="0.2">
      <c r="A1388" s="4" t="s">
        <v>179</v>
      </c>
      <c r="B1388">
        <v>2009</v>
      </c>
      <c r="C1388" s="14">
        <f>481.3*(2/3*10)</f>
        <v>3208.6666666666665</v>
      </c>
      <c r="D1388" s="14">
        <f>12.4*(2/3*10)</f>
        <v>82.666666666666657</v>
      </c>
      <c r="E1388" s="14">
        <f>147*(2/3*10)</f>
        <v>979.99999999999989</v>
      </c>
      <c r="F1388" s="14">
        <f>6*(2/3*10)</f>
        <v>40</v>
      </c>
      <c r="G1388" s="14">
        <f>189.7*(2/3*10)</f>
        <v>1264.6666666666667</v>
      </c>
      <c r="H1388" s="14">
        <f>36.5*(2/3*10)</f>
        <v>243.33333333333331</v>
      </c>
      <c r="I1388" s="14">
        <f>383.5*(2/3*10)</f>
        <v>2556.6666666666665</v>
      </c>
      <c r="K1388" s="15">
        <v>1385</v>
      </c>
      <c r="L1388">
        <f t="shared" si="21"/>
        <v>1</v>
      </c>
    </row>
    <row r="1389" spans="1:12" ht="16.5" x14ac:dyDescent="0.2">
      <c r="A1389" s="4" t="s">
        <v>179</v>
      </c>
      <c r="B1389">
        <v>2010</v>
      </c>
      <c r="C1389" s="14">
        <f>476.2*(2/3*10)</f>
        <v>3174.6666666666665</v>
      </c>
      <c r="D1389" s="14">
        <f>12.2*(2/3*10)</f>
        <v>81.333333333333314</v>
      </c>
      <c r="E1389" s="14">
        <f>146.4*(2/3*10)</f>
        <v>976</v>
      </c>
      <c r="F1389" s="14">
        <f>5.8*(2/3*10)</f>
        <v>38.666666666666664</v>
      </c>
      <c r="G1389" s="14">
        <f>195.9*(2/3*10)</f>
        <v>1306</v>
      </c>
      <c r="H1389" s="14">
        <f>37.8*(2/3*10)</f>
        <v>251.99999999999997</v>
      </c>
      <c r="I1389" s="14">
        <f>381.4*(2/3*10)</f>
        <v>2542.6666666666665</v>
      </c>
      <c r="K1389">
        <v>1386</v>
      </c>
      <c r="L1389">
        <f t="shared" si="21"/>
        <v>2</v>
      </c>
    </row>
    <row r="1390" spans="1:12" ht="16.5" x14ac:dyDescent="0.2">
      <c r="A1390" s="4" t="s">
        <v>179</v>
      </c>
      <c r="B1390">
        <v>2011</v>
      </c>
      <c r="C1390" s="14">
        <f>469.5*(2/3*10)</f>
        <v>3129.9999999999995</v>
      </c>
      <c r="D1390" s="14">
        <f>12.2*(2/3*10)</f>
        <v>81.333333333333314</v>
      </c>
      <c r="E1390" s="14">
        <f>145.7*(2/3*10)</f>
        <v>971.33333333333314</v>
      </c>
      <c r="F1390" s="14">
        <f>5.5*(2/3*10)</f>
        <v>36.666666666666664</v>
      </c>
      <c r="G1390" s="14">
        <f>205.4*(2/3*10)</f>
        <v>1369.333333333333</v>
      </c>
      <c r="H1390" s="14">
        <f>39*(2/3*10)</f>
        <v>260</v>
      </c>
      <c r="I1390" s="14">
        <f>378.4*(2/3*10)</f>
        <v>2522.6666666666665</v>
      </c>
      <c r="K1390">
        <v>1387</v>
      </c>
      <c r="L1390">
        <f t="shared" si="21"/>
        <v>3</v>
      </c>
    </row>
    <row r="1391" spans="1:12" ht="16.5" x14ac:dyDescent="0.2">
      <c r="A1391" s="4" t="s">
        <v>179</v>
      </c>
      <c r="B1391">
        <v>2012</v>
      </c>
      <c r="C1391" s="14">
        <f>462.5*(2/3*10)</f>
        <v>3083.333333333333</v>
      </c>
      <c r="D1391" s="14">
        <f>11.9*(2/3*10)</f>
        <v>79.333333333333329</v>
      </c>
      <c r="E1391" s="14">
        <f>145.1*(2/3*10)</f>
        <v>967.33333333333326</v>
      </c>
      <c r="F1391" s="14">
        <f>5.4*(2/3*10)</f>
        <v>36</v>
      </c>
      <c r="G1391" s="14">
        <f>214.8*(2/3*10)</f>
        <v>1432</v>
      </c>
      <c r="H1391" s="14">
        <f>40.3*(2/3*10)</f>
        <v>268.66666666666663</v>
      </c>
      <c r="I1391" s="14">
        <f>375.9*(2/3*10)</f>
        <v>2505.9999999999995</v>
      </c>
      <c r="K1391" s="15">
        <v>1388</v>
      </c>
      <c r="L1391">
        <f t="shared" si="21"/>
        <v>4</v>
      </c>
    </row>
    <row r="1392" spans="1:12" ht="16.5" x14ac:dyDescent="0.2">
      <c r="A1392" s="4" t="s">
        <v>179</v>
      </c>
      <c r="B1392">
        <v>2013</v>
      </c>
      <c r="C1392" s="14">
        <f>457.3*(2/3*10)</f>
        <v>3048.6666666666665</v>
      </c>
      <c r="D1392" s="14">
        <f>11.9*(2/3*10)</f>
        <v>79.333333333333329</v>
      </c>
      <c r="E1392" s="14">
        <f>144.5*(2/3*10)</f>
        <v>963.33333333333326</v>
      </c>
      <c r="F1392" s="14">
        <f>5.3*(2/3*10)</f>
        <v>35.333333333333329</v>
      </c>
      <c r="G1392" s="14">
        <f>220.9*(2/3*10)</f>
        <v>1472.6666666666663</v>
      </c>
      <c r="H1392" s="14">
        <f>42.1*(2/3*10)</f>
        <v>280.66666666666663</v>
      </c>
      <c r="I1392" s="14">
        <f>373.7*(2/3*10)</f>
        <v>2491.333333333333</v>
      </c>
      <c r="K1392">
        <v>1389</v>
      </c>
      <c r="L1392">
        <f t="shared" si="21"/>
        <v>5</v>
      </c>
    </row>
    <row r="1393" spans="1:12" ht="16.5" x14ac:dyDescent="0.2">
      <c r="A1393" s="4" t="s">
        <v>179</v>
      </c>
      <c r="B1393">
        <v>2014</v>
      </c>
      <c r="C1393" s="14">
        <f>452.8*(2/3*10)</f>
        <v>3018.6666666666665</v>
      </c>
      <c r="D1393" s="14">
        <f>11.7*(2/3*10)</f>
        <v>77.999999999999986</v>
      </c>
      <c r="E1393" s="14">
        <f>144.2*(2/3*10)</f>
        <v>961.33333333333314</v>
      </c>
      <c r="F1393" s="14">
        <f>5.1*(2/3*10)</f>
        <v>33.999999999999993</v>
      </c>
      <c r="G1393" s="14">
        <f>226*(2/3*10)</f>
        <v>1506.6666666666665</v>
      </c>
      <c r="H1393" s="14">
        <f>43.9*(2/3*10)</f>
        <v>292.66666666666663</v>
      </c>
      <c r="I1393" s="14">
        <f>371.8*(2/3*10)</f>
        <v>2478.6666666666665</v>
      </c>
      <c r="K1393" s="15">
        <v>1390</v>
      </c>
      <c r="L1393">
        <f t="shared" si="21"/>
        <v>6</v>
      </c>
    </row>
    <row r="1394" spans="1:12" ht="16.5" x14ac:dyDescent="0.2">
      <c r="A1394" s="4" t="s">
        <v>179</v>
      </c>
      <c r="B1394">
        <v>2015</v>
      </c>
      <c r="C1394" s="14">
        <f>448.6*(2/3*10)</f>
        <v>2990.6666666666665</v>
      </c>
      <c r="D1394" s="14">
        <f>11.6*(2/3*10)</f>
        <v>77.333333333333329</v>
      </c>
      <c r="E1394" s="14">
        <f>143.8*(2/3*10)</f>
        <v>958.66666666666663</v>
      </c>
      <c r="F1394" s="14">
        <f>5.1*(2/3*10)</f>
        <v>33.999999999999993</v>
      </c>
      <c r="G1394" s="14">
        <f>231.2*(2/3*10)</f>
        <v>1541.333333333333</v>
      </c>
      <c r="H1394" s="14">
        <f>44.9*(2/3*10)</f>
        <v>299.33333333333331</v>
      </c>
      <c r="I1394" s="14">
        <f>370.3*(2/3*10)</f>
        <v>2468.6666666666665</v>
      </c>
      <c r="K1394">
        <v>1391</v>
      </c>
      <c r="L1394">
        <f t="shared" si="21"/>
        <v>7</v>
      </c>
    </row>
    <row r="1395" spans="1:12" ht="16.5" x14ac:dyDescent="0.2">
      <c r="A1395" s="4" t="s">
        <v>179</v>
      </c>
      <c r="B1395">
        <v>2016</v>
      </c>
      <c r="C1395" s="14">
        <f>446.5*(2/3*10)</f>
        <v>2976.6666666666665</v>
      </c>
      <c r="D1395" s="14">
        <f>11.5*(2/3*10)</f>
        <v>76.666666666666657</v>
      </c>
      <c r="E1395" s="14">
        <f>143.5*(2/3*10)</f>
        <v>956.66666666666663</v>
      </c>
      <c r="F1395" s="14">
        <f>5*(2/3*10)</f>
        <v>33.333333333333329</v>
      </c>
      <c r="G1395" s="14">
        <f>233.4*(2/3*10)</f>
        <v>1556</v>
      </c>
      <c r="H1395" s="14">
        <f>46*(2/3*10)</f>
        <v>306.66666666666663</v>
      </c>
      <c r="I1395" s="14">
        <f>369.3*(2/3*10)</f>
        <v>2462</v>
      </c>
      <c r="K1395">
        <v>1392</v>
      </c>
      <c r="L1395">
        <f t="shared" si="21"/>
        <v>0</v>
      </c>
    </row>
    <row r="1396" spans="1:12" ht="16.5" x14ac:dyDescent="0.2">
      <c r="A1396" s="4" t="s">
        <v>178</v>
      </c>
      <c r="B1396">
        <v>2009</v>
      </c>
      <c r="C1396" s="14">
        <f>180.7*(2/3*10)</f>
        <v>1204.6666666666665</v>
      </c>
      <c r="D1396" s="14">
        <f>10.7*(2/3*10)</f>
        <v>71.333333333333329</v>
      </c>
      <c r="E1396" s="14">
        <f>256*(2/3*10)</f>
        <v>1706.6666666666665</v>
      </c>
      <c r="F1396" s="14">
        <f>32.5*(2/3*10)</f>
        <v>216.66666666666666</v>
      </c>
      <c r="G1396" s="14">
        <f>67.3*(2/3*10)</f>
        <v>448.66666666666663</v>
      </c>
      <c r="H1396" s="14">
        <f>9.5*(2/3*10)</f>
        <v>63.333333333333329</v>
      </c>
      <c r="I1396" s="14">
        <f>104.2*(2/3*10)</f>
        <v>694.66666666666663</v>
      </c>
      <c r="K1396" s="15">
        <v>1393</v>
      </c>
      <c r="L1396">
        <f t="shared" si="21"/>
        <v>1</v>
      </c>
    </row>
    <row r="1397" spans="1:12" ht="16.5" x14ac:dyDescent="0.2">
      <c r="A1397" s="4" t="s">
        <v>178</v>
      </c>
      <c r="B1397">
        <v>2010</v>
      </c>
      <c r="C1397" s="14">
        <f>180.5*(2/3*10)</f>
        <v>1203.3333333333333</v>
      </c>
      <c r="D1397" s="14">
        <f>10.7*(2/3*10)</f>
        <v>71.333333333333329</v>
      </c>
      <c r="E1397" s="14">
        <f>255.6*(2/3*10)</f>
        <v>1703.9999999999998</v>
      </c>
      <c r="F1397" s="14">
        <f>31.9*(2/3*10)</f>
        <v>212.66666666666663</v>
      </c>
      <c r="G1397" s="14">
        <f>68.4*(2/3*10)</f>
        <v>456</v>
      </c>
      <c r="H1397" s="14">
        <f>9.7*(2/3*10)</f>
        <v>64.666666666666657</v>
      </c>
      <c r="I1397" s="14">
        <f>104.1*(2/3*10)</f>
        <v>693.99999999999989</v>
      </c>
      <c r="K1397">
        <v>1394</v>
      </c>
      <c r="L1397">
        <f t="shared" si="21"/>
        <v>2</v>
      </c>
    </row>
    <row r="1398" spans="1:12" ht="16.5" x14ac:dyDescent="0.2">
      <c r="A1398" s="4" t="s">
        <v>178</v>
      </c>
      <c r="B1398">
        <v>2011</v>
      </c>
      <c r="C1398" s="14">
        <f>180.7*(2/3*10)</f>
        <v>1204.6666666666665</v>
      </c>
      <c r="D1398" s="14">
        <f>10.6*(2/3*10)</f>
        <v>70.666666666666657</v>
      </c>
      <c r="E1398" s="14">
        <f>254.7*(2/3*10)</f>
        <v>1697.9999999999998</v>
      </c>
      <c r="F1398" s="14">
        <f>30.3*(2/3*10)</f>
        <v>202</v>
      </c>
      <c r="G1398" s="14">
        <f>70.4*(2/3*10)</f>
        <v>469.33333333333326</v>
      </c>
      <c r="H1398" s="14">
        <f>9.9*(2/3*10)</f>
        <v>66</v>
      </c>
      <c r="I1398" s="14">
        <f>104*(2/3*10)</f>
        <v>693.33333333333326</v>
      </c>
      <c r="K1398" s="15">
        <v>1395</v>
      </c>
      <c r="L1398">
        <f t="shared" si="21"/>
        <v>3</v>
      </c>
    </row>
    <row r="1399" spans="1:12" ht="16.5" x14ac:dyDescent="0.2">
      <c r="A1399" s="4" t="s">
        <v>178</v>
      </c>
      <c r="B1399">
        <v>2012</v>
      </c>
      <c r="C1399" s="14">
        <f>177.9*(2/3*10)</f>
        <v>1186</v>
      </c>
      <c r="D1399" s="14">
        <f>10.4*(2/3*10)</f>
        <v>69.333333333333329</v>
      </c>
      <c r="E1399" s="14">
        <f>254.1*(2/3*10)</f>
        <v>1693.9999999999998</v>
      </c>
      <c r="F1399" s="14">
        <f>29.3*(2/3*10)</f>
        <v>195.33333333333331</v>
      </c>
      <c r="G1399" s="14">
        <f>75.2*(2/3*10)</f>
        <v>501.33333333333331</v>
      </c>
      <c r="H1399" s="14">
        <f>10.3*(2/3*10)</f>
        <v>68.666666666666671</v>
      </c>
      <c r="I1399" s="14">
        <f>103.7*(2/3*10)</f>
        <v>691.33333333333326</v>
      </c>
      <c r="K1399">
        <v>1396</v>
      </c>
      <c r="L1399">
        <f t="shared" si="21"/>
        <v>4</v>
      </c>
    </row>
    <row r="1400" spans="1:12" ht="16.5" x14ac:dyDescent="0.2">
      <c r="A1400" s="4" t="s">
        <v>178</v>
      </c>
      <c r="B1400">
        <v>2013</v>
      </c>
      <c r="C1400" s="14">
        <f>178.9*(2/3*10)</f>
        <v>1192.6666666666665</v>
      </c>
      <c r="D1400" s="14">
        <f>10.5*(2/3*10)</f>
        <v>70</v>
      </c>
      <c r="E1400" s="14">
        <f>254.2*(2/3*10)</f>
        <v>1694.6666666666665</v>
      </c>
      <c r="F1400" s="14">
        <f>28.7*(2/3*10)</f>
        <v>191.33333333333331</v>
      </c>
      <c r="G1400" s="14">
        <f>74.3*(2/3*10)</f>
        <v>495.33333333333326</v>
      </c>
      <c r="H1400" s="14">
        <f>10.5*(2/3*10)</f>
        <v>70</v>
      </c>
      <c r="I1400" s="14">
        <f>103.5*(2/3*10)</f>
        <v>689.99999999999989</v>
      </c>
      <c r="K1400">
        <v>1397</v>
      </c>
      <c r="L1400">
        <f t="shared" si="21"/>
        <v>5</v>
      </c>
    </row>
    <row r="1401" spans="1:12" ht="16.5" x14ac:dyDescent="0.2">
      <c r="A1401" s="4" t="s">
        <v>178</v>
      </c>
      <c r="B1401">
        <v>2014</v>
      </c>
      <c r="C1401" s="14">
        <f>177.4*(2/3*10)</f>
        <v>1182.6666666666665</v>
      </c>
      <c r="D1401" s="14">
        <f>10.4*(2/3*10)</f>
        <v>69.333333333333329</v>
      </c>
      <c r="E1401" s="14">
        <f>254.2*(2/3*10)</f>
        <v>1694.6666666666665</v>
      </c>
      <c r="F1401" s="14">
        <f>28.5*(2/3*10)</f>
        <v>189.99999999999997</v>
      </c>
      <c r="G1401" s="14">
        <f>76.5*(2/3*10)</f>
        <v>509.99999999999994</v>
      </c>
      <c r="H1401" s="14">
        <f>10.7*(2/3*10)</f>
        <v>71.333333333333329</v>
      </c>
      <c r="I1401" s="14">
        <f>103.1*(2/3*10)</f>
        <v>687.33333333333326</v>
      </c>
      <c r="K1401" s="15">
        <v>1398</v>
      </c>
      <c r="L1401">
        <f t="shared" si="21"/>
        <v>6</v>
      </c>
    </row>
    <row r="1402" spans="1:12" ht="16.5" x14ac:dyDescent="0.2">
      <c r="A1402" s="4" t="s">
        <v>178</v>
      </c>
      <c r="B1402">
        <v>2015</v>
      </c>
      <c r="C1402" s="14">
        <f>177.1*(2/3*10)</f>
        <v>1180.6666666666665</v>
      </c>
      <c r="D1402" s="14">
        <f>10.3*(2/3*10)</f>
        <v>68.666666666666671</v>
      </c>
      <c r="E1402" s="14">
        <f>254*(2/3*10)</f>
        <v>1693.3333333333333</v>
      </c>
      <c r="F1402" s="14">
        <f>27.8*(2/3*10)</f>
        <v>185.33333333333331</v>
      </c>
      <c r="G1402" s="14">
        <f>77.4*(2/3*10)</f>
        <v>515.99999999999989</v>
      </c>
      <c r="H1402" s="14">
        <f>11.3*(2/3*10)</f>
        <v>75.333333333333329</v>
      </c>
      <c r="I1402" s="14">
        <f>102.8*(2/3*10)</f>
        <v>685.33333333333326</v>
      </c>
      <c r="K1402">
        <v>1399</v>
      </c>
      <c r="L1402">
        <f t="shared" si="21"/>
        <v>7</v>
      </c>
    </row>
    <row r="1403" spans="1:12" ht="16.5" x14ac:dyDescent="0.2">
      <c r="A1403" s="4" t="s">
        <v>178</v>
      </c>
      <c r="B1403">
        <v>2016</v>
      </c>
      <c r="C1403" s="14">
        <f>176.5*(2/3*10)</f>
        <v>1176.6666666666665</v>
      </c>
      <c r="D1403" s="14">
        <f>10.2*(2/3*10)</f>
        <v>67.999999999999986</v>
      </c>
      <c r="E1403" s="14">
        <f>253.9*(2/3*10)</f>
        <v>1692.6666666666665</v>
      </c>
      <c r="F1403" s="14">
        <f>27.7*(2/3*10)</f>
        <v>184.66666666666666</v>
      </c>
      <c r="G1403" s="14">
        <f>77.8*(2/3*10)</f>
        <v>518.66666666666674</v>
      </c>
      <c r="H1403" s="14">
        <f>11.9*(2/3*10)</f>
        <v>79.333333333333329</v>
      </c>
      <c r="I1403" s="14">
        <f>102.7*(2/3*10)</f>
        <v>684.66666666666663</v>
      </c>
      <c r="K1403" s="15">
        <v>1400</v>
      </c>
      <c r="L1403">
        <f t="shared" si="21"/>
        <v>0</v>
      </c>
    </row>
    <row r="1404" spans="1:12" ht="16.5" x14ac:dyDescent="0.2">
      <c r="A1404" s="4" t="s">
        <v>177</v>
      </c>
      <c r="B1404">
        <v>2009</v>
      </c>
      <c r="C1404" s="14">
        <f>367.1*(2/3*10)</f>
        <v>2447.3333333333335</v>
      </c>
      <c r="D1404" s="14">
        <f>89.3*(2/3*10)</f>
        <v>595.33333333333326</v>
      </c>
      <c r="E1404" s="14">
        <f>2749.6*(2/3*10)</f>
        <v>18330.666666666664</v>
      </c>
      <c r="F1404" s="14">
        <f>77.3*(2/3*10)</f>
        <v>515.33333333333326</v>
      </c>
      <c r="G1404" s="14">
        <f>84.6*(2/3*10)</f>
        <v>563.99999999999989</v>
      </c>
      <c r="H1404" s="14">
        <f>20.8*(2/3*10)</f>
        <v>138.66666666666666</v>
      </c>
      <c r="I1404" s="14">
        <f>109.3*(2/3*10)</f>
        <v>728.66666666666663</v>
      </c>
      <c r="K1404">
        <v>1401</v>
      </c>
      <c r="L1404">
        <f t="shared" si="21"/>
        <v>1</v>
      </c>
    </row>
    <row r="1405" spans="1:12" ht="16.5" x14ac:dyDescent="0.2">
      <c r="A1405" s="4" t="s">
        <v>177</v>
      </c>
      <c r="B1405">
        <v>2010</v>
      </c>
      <c r="C1405" s="14">
        <f>366.8*(2/3*10)</f>
        <v>2445.333333333333</v>
      </c>
      <c r="D1405" s="14">
        <f>89*(2/3*10)</f>
        <v>593.33333333333326</v>
      </c>
      <c r="E1405" s="14">
        <f>2746.6*(2/3*10)</f>
        <v>18310.666666666664</v>
      </c>
      <c r="F1405" s="14">
        <f>77*(2/3*10)</f>
        <v>513.33333333333326</v>
      </c>
      <c r="G1405" s="14">
        <f>86.4*(2/3*10)</f>
        <v>576</v>
      </c>
      <c r="H1405" s="14">
        <f>22.4*(2/3*10)</f>
        <v>149.33333333333331</v>
      </c>
      <c r="I1405" s="14">
        <f>109.3*(2/3*10)</f>
        <v>728.66666666666663</v>
      </c>
      <c r="K1405">
        <v>1402</v>
      </c>
      <c r="L1405">
        <f t="shared" si="21"/>
        <v>2</v>
      </c>
    </row>
    <row r="1406" spans="1:12" ht="16.5" x14ac:dyDescent="0.2">
      <c r="A1406" s="4" t="s">
        <v>177</v>
      </c>
      <c r="B1406">
        <v>2011</v>
      </c>
      <c r="C1406" s="14">
        <f>367.3*(2/3*10)</f>
        <v>2448.6666666666665</v>
      </c>
      <c r="D1406" s="14">
        <f>88.6*(2/3*10)</f>
        <v>590.66666666666663</v>
      </c>
      <c r="E1406" s="14">
        <f>2744.7*(2/3*10)</f>
        <v>18297.999999999996</v>
      </c>
      <c r="F1406" s="14">
        <f>76.8*(2/3*10)</f>
        <v>511.99999999999994</v>
      </c>
      <c r="G1406" s="14">
        <f>87.8*(2/3*10)</f>
        <v>585.33333333333337</v>
      </c>
      <c r="H1406" s="14">
        <f>22.5*(2/3*10)</f>
        <v>150</v>
      </c>
      <c r="I1406" s="14">
        <f>109.5*(2/3*10)</f>
        <v>729.99999999999989</v>
      </c>
      <c r="K1406" s="15">
        <v>1403</v>
      </c>
      <c r="L1406">
        <f t="shared" si="21"/>
        <v>3</v>
      </c>
    </row>
    <row r="1407" spans="1:12" ht="16.5" x14ac:dyDescent="0.2">
      <c r="A1407" s="4" t="s">
        <v>177</v>
      </c>
      <c r="B1407">
        <v>2012</v>
      </c>
      <c r="C1407" s="14">
        <f>367.2*(2/3*10)</f>
        <v>2447.9999999999995</v>
      </c>
      <c r="D1407" s="14">
        <f>87.6*(2/3*10)</f>
        <v>583.99999999999989</v>
      </c>
      <c r="E1407" s="14">
        <f>2741.7*(2/3*10)</f>
        <v>18277.999999999996</v>
      </c>
      <c r="F1407" s="14">
        <f>76.5*(2/3*10)</f>
        <v>509.99999999999994</v>
      </c>
      <c r="G1407" s="14">
        <f>91.4*(2/3*10)</f>
        <v>609.33333333333326</v>
      </c>
      <c r="H1407" s="14">
        <f>23.4*(2/3*10)</f>
        <v>155.99999999999997</v>
      </c>
      <c r="I1407" s="14">
        <f>109.2*(2/3*10)</f>
        <v>728</v>
      </c>
      <c r="K1407">
        <v>1404</v>
      </c>
      <c r="L1407">
        <f t="shared" si="21"/>
        <v>4</v>
      </c>
    </row>
    <row r="1408" spans="1:12" ht="16.5" x14ac:dyDescent="0.2">
      <c r="A1408" s="4" t="s">
        <v>177</v>
      </c>
      <c r="B1408">
        <v>2013</v>
      </c>
      <c r="C1408" s="14">
        <f>367.3*(2/3*10)</f>
        <v>2448.6666666666665</v>
      </c>
      <c r="D1408" s="14">
        <f>87.3*(2/3*10)</f>
        <v>581.99999999999989</v>
      </c>
      <c r="E1408" s="14">
        <f>2739.4*(2/3*10)</f>
        <v>18262.666666666664</v>
      </c>
      <c r="F1408" s="14">
        <f>76.4*(2/3*10)</f>
        <v>509.33333333333331</v>
      </c>
      <c r="G1408" s="14">
        <f>93.3*(2/3*10)</f>
        <v>621.99999999999989</v>
      </c>
      <c r="H1408" s="14">
        <f>24.2*(2/3*10)</f>
        <v>161.33333333333331</v>
      </c>
      <c r="I1408" s="14">
        <f>109.1*(2/3*10)</f>
        <v>727.33333333333326</v>
      </c>
      <c r="K1408" s="15">
        <v>1405</v>
      </c>
      <c r="L1408">
        <f t="shared" ref="L1408:L1471" si="22">MOD(K1408,8)</f>
        <v>5</v>
      </c>
    </row>
    <row r="1409" spans="1:12" ht="16.5" x14ac:dyDescent="0.2">
      <c r="A1409" s="4" t="s">
        <v>177</v>
      </c>
      <c r="B1409">
        <v>2014</v>
      </c>
      <c r="C1409" s="14">
        <f>364.2*(2/3*10)</f>
        <v>2427.9999999999995</v>
      </c>
      <c r="D1409" s="14">
        <f>86.6*(2/3*10)</f>
        <v>577.33333333333326</v>
      </c>
      <c r="E1409" s="14">
        <f>2734.6*(2/3*10)</f>
        <v>18230.666666666664</v>
      </c>
      <c r="F1409" s="14">
        <f>76*(2/3*10)</f>
        <v>506.66666666666663</v>
      </c>
      <c r="G1409" s="14">
        <f>96*(2/3*10)</f>
        <v>640</v>
      </c>
      <c r="H1409" s="14">
        <f>24.8*(2/3*10)</f>
        <v>165.33333333333331</v>
      </c>
      <c r="I1409" s="14">
        <f>115.2*(2/3*10)</f>
        <v>768</v>
      </c>
      <c r="K1409">
        <v>1406</v>
      </c>
      <c r="L1409">
        <f t="shared" si="22"/>
        <v>6</v>
      </c>
    </row>
    <row r="1410" spans="1:12" ht="16.5" x14ac:dyDescent="0.2">
      <c r="A1410" s="4" t="s">
        <v>177</v>
      </c>
      <c r="B1410">
        <v>2015</v>
      </c>
      <c r="C1410" s="14">
        <f>363.3*(2/3*10)</f>
        <v>2422</v>
      </c>
      <c r="D1410" s="14">
        <f>86.3*(2/3*10)</f>
        <v>575.33333333333326</v>
      </c>
      <c r="E1410" s="14">
        <f>2733.5*(2/3*10)</f>
        <v>18223.333333333332</v>
      </c>
      <c r="F1410" s="14">
        <f>75.9*(2/3*10)</f>
        <v>506</v>
      </c>
      <c r="G1410" s="14">
        <f>97.6*(2/3*10)</f>
        <v>650.66666666666663</v>
      </c>
      <c r="H1410" s="14">
        <f>25.2*(2/3*10)</f>
        <v>167.99999999999997</v>
      </c>
      <c r="I1410" s="14">
        <f>115.3*(2/3*10)</f>
        <v>768.66666666666663</v>
      </c>
      <c r="K1410">
        <v>1407</v>
      </c>
      <c r="L1410">
        <f t="shared" si="22"/>
        <v>7</v>
      </c>
    </row>
    <row r="1411" spans="1:12" ht="16.5" x14ac:dyDescent="0.2">
      <c r="A1411" s="4" t="s">
        <v>177</v>
      </c>
      <c r="B1411">
        <v>2016</v>
      </c>
      <c r="C1411" s="14">
        <f>360*(2/3*10)</f>
        <v>2400</v>
      </c>
      <c r="D1411" s="14">
        <f>86.1*(2/3*10)</f>
        <v>573.99999999999989</v>
      </c>
      <c r="E1411" s="14">
        <f>2733.7*(2/3*10)</f>
        <v>18224.666666666664</v>
      </c>
      <c r="F1411" s="14">
        <f>75.7*(2/3*10)</f>
        <v>504.66666666666663</v>
      </c>
      <c r="G1411" s="14">
        <f>99.1*(2/3*10)</f>
        <v>660.66666666666663</v>
      </c>
      <c r="H1411" s="14">
        <f>25.5*(2/3*10)</f>
        <v>169.99999999999997</v>
      </c>
      <c r="I1411" s="14">
        <f>117.4*(2/3*10)</f>
        <v>782.66666666666663</v>
      </c>
      <c r="K1411" s="15">
        <v>1408</v>
      </c>
      <c r="L1411">
        <f t="shared" si="22"/>
        <v>0</v>
      </c>
    </row>
    <row r="1412" spans="1:12" ht="16.5" x14ac:dyDescent="0.2">
      <c r="A1412" s="4" t="s">
        <v>176</v>
      </c>
      <c r="B1412">
        <v>2009</v>
      </c>
      <c r="C1412" s="14">
        <f>520.6*(2/3*10)</f>
        <v>3470.6666666666665</v>
      </c>
      <c r="D1412" s="14">
        <f>243.3*(2/3*10)</f>
        <v>1622</v>
      </c>
      <c r="E1412" s="14">
        <f>2017.6*(2/3*10)</f>
        <v>13450.666666666664</v>
      </c>
      <c r="F1412" s="14">
        <f>18.4*(2/3*10)</f>
        <v>122.66666666666664</v>
      </c>
      <c r="G1412" s="14">
        <f>128.2*(2/3*10)</f>
        <v>854.66666666666652</v>
      </c>
      <c r="H1412" s="14">
        <f>37.6*(2/3*10)</f>
        <v>250.66666666666666</v>
      </c>
      <c r="I1412" s="14">
        <f>175.2*(2/3*10)</f>
        <v>1167.9999999999998</v>
      </c>
      <c r="K1412">
        <v>1409</v>
      </c>
      <c r="L1412">
        <f t="shared" si="22"/>
        <v>1</v>
      </c>
    </row>
    <row r="1413" spans="1:12" ht="16.5" x14ac:dyDescent="0.2">
      <c r="A1413" s="4" t="s">
        <v>176</v>
      </c>
      <c r="B1413">
        <v>2010</v>
      </c>
      <c r="C1413" s="14">
        <f>520.5*(2/3*10)</f>
        <v>3469.9999999999995</v>
      </c>
      <c r="D1413" s="14">
        <f>241*(2/3*10)</f>
        <v>1606.6666666666665</v>
      </c>
      <c r="E1413" s="14">
        <f>2015.2*(2/3*10)</f>
        <v>13434.666666666666</v>
      </c>
      <c r="F1413" s="14">
        <f>18.3*(2/3*10)</f>
        <v>122</v>
      </c>
      <c r="G1413" s="14">
        <f>131.9*(2/3*10)</f>
        <v>879.33333333333326</v>
      </c>
      <c r="H1413" s="14">
        <f>38.9*(2/3*10)</f>
        <v>259.33333333333331</v>
      </c>
      <c r="I1413" s="14">
        <f>174.6*(2/3*10)</f>
        <v>1163.9999999999998</v>
      </c>
      <c r="K1413" s="15">
        <v>1410</v>
      </c>
      <c r="L1413">
        <f t="shared" si="22"/>
        <v>2</v>
      </c>
    </row>
    <row r="1414" spans="1:12" ht="16.5" x14ac:dyDescent="0.2">
      <c r="A1414" s="4" t="s">
        <v>176</v>
      </c>
      <c r="B1414">
        <v>2011</v>
      </c>
      <c r="C1414" s="14">
        <f>521.3*(2/3*10)</f>
        <v>3475.3333333333326</v>
      </c>
      <c r="D1414" s="14">
        <f>239.3*(2/3*10)</f>
        <v>1595.3333333333333</v>
      </c>
      <c r="E1414" s="14">
        <f>2012.4*(2/3*10)</f>
        <v>13416</v>
      </c>
      <c r="F1414" s="14">
        <f>18.2*(2/3*10)</f>
        <v>121.33333333333331</v>
      </c>
      <c r="G1414" s="14">
        <f>135.5*(2/3*10)</f>
        <v>903.33333333333326</v>
      </c>
      <c r="H1414" s="14">
        <f>39.1*(2/3*10)</f>
        <v>260.66666666666663</v>
      </c>
      <c r="I1414" s="14">
        <f>174.2*(2/3*10)</f>
        <v>1161.3333333333333</v>
      </c>
      <c r="K1414">
        <v>1411</v>
      </c>
      <c r="L1414">
        <f t="shared" si="22"/>
        <v>3</v>
      </c>
    </row>
    <row r="1415" spans="1:12" ht="16.5" x14ac:dyDescent="0.2">
      <c r="A1415" s="4" t="s">
        <v>176</v>
      </c>
      <c r="B1415">
        <v>2012</v>
      </c>
      <c r="C1415" s="14">
        <f>522.5*(2/3*10)</f>
        <v>3483.333333333333</v>
      </c>
      <c r="D1415" s="14">
        <f>237.4*(2/3*10)</f>
        <v>1582.6666666666665</v>
      </c>
      <c r="E1415" s="14">
        <f>2009.5*(2/3*10)</f>
        <v>13396.666666666666</v>
      </c>
      <c r="F1415" s="14">
        <f>18*(2/3*10)</f>
        <v>119.99999999999999</v>
      </c>
      <c r="G1415" s="14">
        <f>138.5*(2/3*10)</f>
        <v>923.33333333333326</v>
      </c>
      <c r="H1415" s="14">
        <f>40*(2/3*10)</f>
        <v>266.66666666666663</v>
      </c>
      <c r="I1415" s="14">
        <f>173.9*(2/3*10)</f>
        <v>1159.3333333333333</v>
      </c>
      <c r="K1415">
        <v>1412</v>
      </c>
      <c r="L1415">
        <f t="shared" si="22"/>
        <v>4</v>
      </c>
    </row>
    <row r="1416" spans="1:12" ht="16.5" x14ac:dyDescent="0.2">
      <c r="A1416" s="4" t="s">
        <v>176</v>
      </c>
      <c r="B1416">
        <v>2013</v>
      </c>
      <c r="C1416" s="14">
        <f>522.7*(2/3*10)</f>
        <v>3484.6666666666665</v>
      </c>
      <c r="D1416" s="14">
        <f>235.9*(2/3*10)</f>
        <v>1572.6666666666665</v>
      </c>
      <c r="E1416" s="14">
        <f>2008*(2/3*10)</f>
        <v>13386.666666666666</v>
      </c>
      <c r="F1416" s="14">
        <f>18*(2/3*10)</f>
        <v>119.99999999999999</v>
      </c>
      <c r="G1416" s="14">
        <f>140.6*(2/3*10)</f>
        <v>937.33333333333326</v>
      </c>
      <c r="H1416" s="14">
        <f>40.9*(2/3*10)</f>
        <v>272.66666666666663</v>
      </c>
      <c r="I1416" s="14">
        <f>173.5*(2/3*10)</f>
        <v>1156.6666666666665</v>
      </c>
      <c r="K1416" s="15">
        <v>1413</v>
      </c>
      <c r="L1416">
        <f t="shared" si="22"/>
        <v>5</v>
      </c>
    </row>
    <row r="1417" spans="1:12" ht="16.5" x14ac:dyDescent="0.2">
      <c r="A1417" s="4" t="s">
        <v>176</v>
      </c>
      <c r="B1417">
        <v>2014</v>
      </c>
      <c r="C1417" s="14">
        <f>521.5*(2/3*10)</f>
        <v>3476.6666666666665</v>
      </c>
      <c r="D1417" s="14">
        <f>233.2*(2/3*10)</f>
        <v>1554.6666666666665</v>
      </c>
      <c r="E1417" s="14">
        <f>2006.6*(2/3*10)</f>
        <v>13377.333333333332</v>
      </c>
      <c r="F1417" s="14">
        <f>17.9*(2/3*10)</f>
        <v>119.33333333333331</v>
      </c>
      <c r="G1417" s="14">
        <f>144.8*(2/3*10)</f>
        <v>965.33333333333337</v>
      </c>
      <c r="H1417" s="14">
        <f>42.5*(2/3*10)</f>
        <v>283.33333333333331</v>
      </c>
      <c r="I1417" s="14">
        <f>173.1*(2/3*10)</f>
        <v>1153.9999999999998</v>
      </c>
      <c r="K1417">
        <v>1414</v>
      </c>
      <c r="L1417">
        <f t="shared" si="22"/>
        <v>6</v>
      </c>
    </row>
    <row r="1418" spans="1:12" ht="16.5" x14ac:dyDescent="0.2">
      <c r="A1418" s="4" t="s">
        <v>176</v>
      </c>
      <c r="B1418">
        <v>2015</v>
      </c>
      <c r="C1418" s="14">
        <f>521.9*(2/3*10)</f>
        <v>3479.333333333333</v>
      </c>
      <c r="D1418" s="14">
        <f>231.7*(2/3*10)</f>
        <v>1544.6666666666665</v>
      </c>
      <c r="E1418" s="14">
        <f>2005.8*(2/3*10)</f>
        <v>13371.999999999998</v>
      </c>
      <c r="F1418" s="14">
        <f>17.9*(2/3*10)</f>
        <v>119.33333333333331</v>
      </c>
      <c r="G1418" s="14">
        <f>146.6*(2/3*10)</f>
        <v>977.33333333333326</v>
      </c>
      <c r="H1418" s="14">
        <f>42.8*(2/3*10)</f>
        <v>285.33333333333331</v>
      </c>
      <c r="I1418" s="14">
        <f>172.9*(2/3*10)</f>
        <v>1152.6666666666665</v>
      </c>
      <c r="K1418" s="15">
        <v>1415</v>
      </c>
      <c r="L1418">
        <f t="shared" si="22"/>
        <v>7</v>
      </c>
    </row>
    <row r="1419" spans="1:12" ht="16.5" x14ac:dyDescent="0.2">
      <c r="A1419" s="4" t="s">
        <v>176</v>
      </c>
      <c r="B1419">
        <v>2016</v>
      </c>
      <c r="C1419" s="14">
        <f>521.9*(2/3*10)</f>
        <v>3479.333333333333</v>
      </c>
      <c r="D1419" s="14">
        <f>231.1*(2/3*10)</f>
        <v>1540.6666666666665</v>
      </c>
      <c r="E1419" s="14">
        <f>2005*(2/3*10)</f>
        <v>13366.666666666666</v>
      </c>
      <c r="F1419" s="14">
        <f>17.8*(2/3*10)</f>
        <v>118.66666666666666</v>
      </c>
      <c r="G1419" s="14">
        <f>147.8*(2/3*10)</f>
        <v>985.33333333333337</v>
      </c>
      <c r="H1419" s="14">
        <f>43.1*(2/3*10)</f>
        <v>287.33333333333331</v>
      </c>
      <c r="I1419" s="14">
        <f>172.8*(2/3*10)</f>
        <v>1152</v>
      </c>
      <c r="K1419">
        <v>1416</v>
      </c>
      <c r="L1419">
        <f t="shared" si="22"/>
        <v>0</v>
      </c>
    </row>
    <row r="1420" spans="1:12" ht="16.5" x14ac:dyDescent="0.2">
      <c r="A1420" s="4" t="s">
        <v>175</v>
      </c>
      <c r="B1420">
        <v>2009</v>
      </c>
      <c r="C1420" s="14">
        <f>1078.6*(2/3*10)</f>
        <v>7190.6666666666652</v>
      </c>
      <c r="D1420" s="14">
        <f>38.2*(2/3*10)</f>
        <v>254.66666666666666</v>
      </c>
      <c r="E1420" s="14">
        <f>1278.8*(2/3*10)</f>
        <v>8525.3333333333321</v>
      </c>
      <c r="F1420" s="14">
        <f>38.8*(2/3*10)</f>
        <v>258.66666666666663</v>
      </c>
      <c r="G1420" s="14">
        <f>178.9*(2/3*10)</f>
        <v>1192.6666666666665</v>
      </c>
      <c r="H1420" s="14">
        <f>54*(2/3*10)</f>
        <v>359.99999999999994</v>
      </c>
      <c r="I1420" s="14">
        <f>226.1*(2/3*10)</f>
        <v>1507.3333333333333</v>
      </c>
      <c r="K1420">
        <v>1417</v>
      </c>
      <c r="L1420">
        <f t="shared" si="22"/>
        <v>1</v>
      </c>
    </row>
    <row r="1421" spans="1:12" ht="16.5" x14ac:dyDescent="0.2">
      <c r="A1421" s="4" t="s">
        <v>175</v>
      </c>
      <c r="B1421">
        <v>2010</v>
      </c>
      <c r="C1421" s="14">
        <f>1075.1*(2/3*10)</f>
        <v>7167.3333333333321</v>
      </c>
      <c r="D1421" s="14">
        <f>38.2*(2/3*10)</f>
        <v>254.66666666666666</v>
      </c>
      <c r="E1421" s="14">
        <f>1277.8*(2/3*10)</f>
        <v>8518.6666666666661</v>
      </c>
      <c r="F1421" s="14">
        <f>38.6*(2/3*10)</f>
        <v>257.33333333333331</v>
      </c>
      <c r="G1421" s="14">
        <f>182.6*(2/3*10)</f>
        <v>1217.3333333333333</v>
      </c>
      <c r="H1421" s="14">
        <f>54.7*(2/3*10)</f>
        <v>364.66666666666663</v>
      </c>
      <c r="I1421" s="14">
        <f>225.8*(2/3*10)</f>
        <v>1505.3333333333333</v>
      </c>
      <c r="K1421" s="15">
        <v>1418</v>
      </c>
      <c r="L1421">
        <f t="shared" si="22"/>
        <v>2</v>
      </c>
    </row>
    <row r="1422" spans="1:12" ht="16.5" x14ac:dyDescent="0.2">
      <c r="A1422" s="4" t="s">
        <v>175</v>
      </c>
      <c r="B1422">
        <v>2011</v>
      </c>
      <c r="C1422" s="14">
        <f>1070.7*(2/3*10)</f>
        <v>7138</v>
      </c>
      <c r="D1422" s="14">
        <f>39.2*(2/3*10)</f>
        <v>261.33333333333331</v>
      </c>
      <c r="E1422" s="14">
        <f>1276.8*(2/3*10)</f>
        <v>8511.9999999999982</v>
      </c>
      <c r="F1422" s="14">
        <f>38.6*(2/3*10)</f>
        <v>257.33333333333331</v>
      </c>
      <c r="G1422" s="14">
        <f>186.9*(2/3*10)</f>
        <v>1246</v>
      </c>
      <c r="H1422" s="14">
        <f>54.8*(2/3*10)</f>
        <v>365.33333333333326</v>
      </c>
      <c r="I1422" s="14">
        <f>225.5*(2/3*10)</f>
        <v>1503.3333333333333</v>
      </c>
      <c r="K1422">
        <v>1419</v>
      </c>
      <c r="L1422">
        <f t="shared" si="22"/>
        <v>3</v>
      </c>
    </row>
    <row r="1423" spans="1:12" ht="16.5" x14ac:dyDescent="0.2">
      <c r="A1423" s="4" t="s">
        <v>175</v>
      </c>
      <c r="B1423">
        <v>2012</v>
      </c>
      <c r="C1423" s="14">
        <f>1065.3*(2/3*10)</f>
        <v>7101.9999999999991</v>
      </c>
      <c r="D1423" s="14">
        <f>41*(2/3*10)</f>
        <v>273.33333333333331</v>
      </c>
      <c r="E1423" s="14">
        <f>1275.5*(2/3*10)</f>
        <v>8503.3333333333321</v>
      </c>
      <c r="F1423" s="14">
        <f>38.4*(2/3*10)</f>
        <v>255.99999999999997</v>
      </c>
      <c r="G1423" s="14">
        <f>191.9*(2/3*10)</f>
        <v>1279.3333333333333</v>
      </c>
      <c r="H1423" s="14">
        <f>55.4*(2/3*10)</f>
        <v>369.33333333333331</v>
      </c>
      <c r="I1423" s="14">
        <f>225.1*(2/3*10)</f>
        <v>1500.6666666666665</v>
      </c>
      <c r="K1423" s="15">
        <v>1420</v>
      </c>
      <c r="L1423">
        <f t="shared" si="22"/>
        <v>4</v>
      </c>
    </row>
    <row r="1424" spans="1:12" ht="16.5" x14ac:dyDescent="0.2">
      <c r="A1424" s="4" t="s">
        <v>175</v>
      </c>
      <c r="B1424">
        <v>2013</v>
      </c>
      <c r="C1424" s="14">
        <f>1062.3*(2/3*10)</f>
        <v>7081.9999999999991</v>
      </c>
      <c r="D1424" s="14">
        <f>41.8*(2/3*10)</f>
        <v>278.66666666666663</v>
      </c>
      <c r="E1424" s="14">
        <f>1273.6*(2/3*10)</f>
        <v>8490.6666666666661</v>
      </c>
      <c r="F1424" s="14">
        <f>38.1*(2/3*10)</f>
        <v>254</v>
      </c>
      <c r="G1424" s="14">
        <f>195.2*(2/3*10)</f>
        <v>1301.333333333333</v>
      </c>
      <c r="H1424" s="14">
        <f>56.8*(2/3*10)</f>
        <v>378.66666666666663</v>
      </c>
      <c r="I1424" s="14">
        <f>224.5*(2/3*10)</f>
        <v>1496.6666666666665</v>
      </c>
      <c r="K1424">
        <v>1421</v>
      </c>
      <c r="L1424">
        <f t="shared" si="22"/>
        <v>5</v>
      </c>
    </row>
    <row r="1425" spans="1:12" ht="16.5" x14ac:dyDescent="0.2">
      <c r="A1425" s="4" t="s">
        <v>175</v>
      </c>
      <c r="B1425">
        <v>2014</v>
      </c>
      <c r="C1425" s="14">
        <f>1056.7*(2/3*10)</f>
        <v>7044.6666666666661</v>
      </c>
      <c r="D1425" s="14">
        <f>42.4*(2/3*10)</f>
        <v>282.66666666666663</v>
      </c>
      <c r="E1425" s="14">
        <f>1272.2*(2/3*10)</f>
        <v>8481.3333333333321</v>
      </c>
      <c r="F1425" s="14">
        <f>38*(2/3*10)</f>
        <v>253.33333333333331</v>
      </c>
      <c r="G1425" s="14">
        <f>199.9*(2/3*10)</f>
        <v>1332.6666666666663</v>
      </c>
      <c r="H1425" s="14">
        <f>58.6*(2/3*10)</f>
        <v>390.66666666666663</v>
      </c>
      <c r="I1425" s="14">
        <f>224.3*(2/3*10)</f>
        <v>1495.3333333333333</v>
      </c>
      <c r="K1425">
        <v>1422</v>
      </c>
      <c r="L1425">
        <f t="shared" si="22"/>
        <v>6</v>
      </c>
    </row>
    <row r="1426" spans="1:12" ht="16.5" x14ac:dyDescent="0.2">
      <c r="A1426" s="4" t="s">
        <v>175</v>
      </c>
      <c r="B1426">
        <v>2015</v>
      </c>
      <c r="C1426" s="14">
        <f>1056.5*(2/3*10)</f>
        <v>7043.333333333333</v>
      </c>
      <c r="D1426" s="14">
        <f>42.3*(2/3*10)</f>
        <v>281.99999999999994</v>
      </c>
      <c r="E1426" s="14">
        <f>1271.2*(2/3*10)</f>
        <v>8474.6666666666661</v>
      </c>
      <c r="F1426" s="14">
        <f>36.7*(2/3*10)</f>
        <v>244.66666666666666</v>
      </c>
      <c r="G1426" s="14">
        <f>202.3*(2/3*10)</f>
        <v>1348.6666666666665</v>
      </c>
      <c r="H1426" s="14">
        <f>59*(2/3*10)</f>
        <v>393.33333333333331</v>
      </c>
      <c r="I1426" s="14">
        <f>224*(2/3*10)</f>
        <v>1493.3333333333333</v>
      </c>
      <c r="K1426" s="15">
        <v>1423</v>
      </c>
      <c r="L1426">
        <f t="shared" si="22"/>
        <v>7</v>
      </c>
    </row>
    <row r="1427" spans="1:12" ht="16.5" x14ac:dyDescent="0.2">
      <c r="A1427" s="4" t="s">
        <v>175</v>
      </c>
      <c r="B1427">
        <v>2016</v>
      </c>
      <c r="C1427" s="14">
        <f>1055.9*(2/3*10)</f>
        <v>7039.333333333333</v>
      </c>
      <c r="D1427" s="14">
        <f>41.9*(2/3*10)</f>
        <v>279.33333333333331</v>
      </c>
      <c r="E1427" s="14">
        <f>1269.4*(2/3*10)</f>
        <v>8462.6666666666661</v>
      </c>
      <c r="F1427" s="14">
        <f>35.5*(2/3*10)</f>
        <v>236.66666666666666</v>
      </c>
      <c r="G1427" s="14">
        <f>203.9*(2/3*10)</f>
        <v>1359.3333333333333</v>
      </c>
      <c r="H1427" s="14">
        <f>61.3*(2/3*10)</f>
        <v>408.66666666666663</v>
      </c>
      <c r="I1427" s="14">
        <f>223.7*(2/3*10)</f>
        <v>1491.333333333333</v>
      </c>
      <c r="K1427">
        <v>1424</v>
      </c>
      <c r="L1427">
        <f t="shared" si="22"/>
        <v>0</v>
      </c>
    </row>
    <row r="1428" spans="1:12" ht="16.5" x14ac:dyDescent="0.2">
      <c r="A1428" s="4" t="s">
        <v>174</v>
      </c>
      <c r="B1428">
        <v>2009</v>
      </c>
      <c r="C1428" s="14">
        <f>88.9*(2/3*10)</f>
        <v>592.66666666666663</v>
      </c>
      <c r="D1428" s="14">
        <f>1.4*(2/3*10)</f>
        <v>9.3333333333333321</v>
      </c>
      <c r="E1428" s="14">
        <f>22.3*(2/3*10)</f>
        <v>148.66666666666666</v>
      </c>
      <c r="F1428" s="14">
        <f>4*(2/3*10)</f>
        <v>26.666666666666664</v>
      </c>
      <c r="G1428" s="14">
        <f>30.3*(2/3*10)</f>
        <v>202</v>
      </c>
      <c r="H1428" s="14">
        <f>4.5*(2/3*10)</f>
        <v>29.999999999999996</v>
      </c>
      <c r="I1428" s="14">
        <f>83.6*(2/3*10)</f>
        <v>557.33333333333326</v>
      </c>
      <c r="K1428" s="15">
        <v>1425</v>
      </c>
      <c r="L1428">
        <f t="shared" si="22"/>
        <v>1</v>
      </c>
    </row>
    <row r="1429" spans="1:12" ht="16.5" x14ac:dyDescent="0.2">
      <c r="A1429" s="4" t="s">
        <v>174</v>
      </c>
      <c r="B1429">
        <v>2010</v>
      </c>
      <c r="C1429" s="14">
        <f>87.8*(2/3*10)</f>
        <v>585.33333333333326</v>
      </c>
      <c r="D1429" s="14">
        <f>1.3*(2/3*10)</f>
        <v>8.6666666666666661</v>
      </c>
      <c r="E1429" s="14">
        <f>22.1*(2/3*10)</f>
        <v>147.33333333333334</v>
      </c>
      <c r="F1429" s="14">
        <f>4*(2/3*10)</f>
        <v>26.666666666666664</v>
      </c>
      <c r="G1429" s="14">
        <f>31.4*(2/3*10)</f>
        <v>209.33333333333331</v>
      </c>
      <c r="H1429" s="14">
        <f>5.2*(2/3*10)</f>
        <v>34.666666666666664</v>
      </c>
      <c r="I1429" s="14">
        <f>83.3*(2/3*10)</f>
        <v>555.33333333333326</v>
      </c>
      <c r="K1429">
        <v>1426</v>
      </c>
      <c r="L1429">
        <f t="shared" si="22"/>
        <v>2</v>
      </c>
    </row>
    <row r="1430" spans="1:12" ht="16.5" x14ac:dyDescent="0.2">
      <c r="A1430" s="4" t="s">
        <v>174</v>
      </c>
      <c r="B1430">
        <v>2011</v>
      </c>
      <c r="C1430" s="14">
        <f>87.7*(2/3*10)</f>
        <v>584.66666666666663</v>
      </c>
      <c r="D1430" s="14">
        <f>1.3*(2/3*10)</f>
        <v>8.6666666666666661</v>
      </c>
      <c r="E1430" s="14">
        <f>21.6*(2/3*10)</f>
        <v>144</v>
      </c>
      <c r="F1430" s="14">
        <f>3.8*(2/3*10)</f>
        <v>25.333333333333329</v>
      </c>
      <c r="G1430" s="14">
        <f>32.5*(2/3*10)</f>
        <v>216.66666666666666</v>
      </c>
      <c r="H1430" s="14">
        <f>5.3*(2/3*10)</f>
        <v>35.333333333333329</v>
      </c>
      <c r="I1430" s="14">
        <f>82.8*(2/3*10)</f>
        <v>551.99999999999989</v>
      </c>
      <c r="K1430">
        <v>1427</v>
      </c>
      <c r="L1430">
        <f t="shared" si="22"/>
        <v>3</v>
      </c>
    </row>
    <row r="1431" spans="1:12" ht="16.5" x14ac:dyDescent="0.2">
      <c r="A1431" s="4" t="s">
        <v>174</v>
      </c>
      <c r="B1431">
        <v>2012</v>
      </c>
      <c r="C1431" s="14">
        <f>87.7*(2/3*10)</f>
        <v>584.66666666666663</v>
      </c>
      <c r="D1431" s="14">
        <f>1.3*(2/3*10)</f>
        <v>8.6666666666666661</v>
      </c>
      <c r="E1431" s="14">
        <f>21.6*(2/3*10)</f>
        <v>144</v>
      </c>
      <c r="F1431" s="14">
        <f>3.6*(2/3*10)</f>
        <v>24</v>
      </c>
      <c r="G1431" s="14">
        <f>33.1*(2/3*10)</f>
        <v>220.66666666666666</v>
      </c>
      <c r="H1431" s="14">
        <f>5.6*(2/3*10)</f>
        <v>37.333333333333329</v>
      </c>
      <c r="I1431" s="14">
        <f>82.3*(2/3*10)</f>
        <v>548.66666666666663</v>
      </c>
      <c r="K1431" s="15">
        <v>1428</v>
      </c>
      <c r="L1431">
        <f t="shared" si="22"/>
        <v>4</v>
      </c>
    </row>
    <row r="1432" spans="1:12" ht="16.5" x14ac:dyDescent="0.2">
      <c r="A1432" s="4" t="s">
        <v>174</v>
      </c>
      <c r="B1432">
        <v>2013</v>
      </c>
      <c r="C1432" s="14">
        <f>87*(2/3*10)</f>
        <v>580</v>
      </c>
      <c r="D1432" s="14">
        <f>1.3*(2/3*10)</f>
        <v>8.6666666666666661</v>
      </c>
      <c r="E1432" s="14">
        <f>21.6*(2/3*10)</f>
        <v>144</v>
      </c>
      <c r="F1432" s="14">
        <f>3.6*(2/3*10)</f>
        <v>24</v>
      </c>
      <c r="G1432" s="14">
        <f>33.8*(2/3*10)</f>
        <v>225.33333333333334</v>
      </c>
      <c r="H1432" s="14">
        <f>5.8*(2/3*10)</f>
        <v>38.666666666666664</v>
      </c>
      <c r="I1432" s="14">
        <f>82.2*(2/3*10)</f>
        <v>548</v>
      </c>
      <c r="K1432">
        <v>1429</v>
      </c>
      <c r="L1432">
        <f t="shared" si="22"/>
        <v>5</v>
      </c>
    </row>
    <row r="1433" spans="1:12" ht="16.5" x14ac:dyDescent="0.2">
      <c r="A1433" s="4" t="s">
        <v>174</v>
      </c>
      <c r="B1433">
        <v>2014</v>
      </c>
      <c r="C1433" s="14">
        <f>85.5*(2/3*10)</f>
        <v>570</v>
      </c>
      <c r="D1433" s="14">
        <f>1.3*(2/3*10)</f>
        <v>8.6666666666666661</v>
      </c>
      <c r="E1433" s="14">
        <f>21.3*(2/3*10)</f>
        <v>142</v>
      </c>
      <c r="F1433" s="14">
        <f>3.5*(2/3*10)</f>
        <v>23.333333333333332</v>
      </c>
      <c r="G1433" s="14">
        <f>36*(2/3*10)</f>
        <v>239.99999999999997</v>
      </c>
      <c r="H1433" s="14">
        <f>6*(2/3*10)</f>
        <v>40</v>
      </c>
      <c r="I1433" s="14">
        <f>81.4*(2/3*10)</f>
        <v>542.66666666666663</v>
      </c>
      <c r="K1433" s="15">
        <v>1430</v>
      </c>
      <c r="L1433">
        <f t="shared" si="22"/>
        <v>6</v>
      </c>
    </row>
    <row r="1434" spans="1:12" ht="16.5" x14ac:dyDescent="0.2">
      <c r="A1434" s="4" t="s">
        <v>174</v>
      </c>
      <c r="B1434">
        <v>2015</v>
      </c>
      <c r="C1434" s="14">
        <f>85*(2/3*10)</f>
        <v>566.66666666666663</v>
      </c>
      <c r="D1434" s="14">
        <f>1.3*(2/3*10)</f>
        <v>8.6666666666666661</v>
      </c>
      <c r="E1434" s="14">
        <f>21.3*(2/3*10)</f>
        <v>142</v>
      </c>
      <c r="F1434" s="14">
        <f>3.5*(2/3*10)</f>
        <v>23.333333333333332</v>
      </c>
      <c r="G1434" s="14">
        <f>37*(2/3*10)</f>
        <v>246.66666666666666</v>
      </c>
      <c r="H1434" s="14">
        <f>6.2*(2/3*10)</f>
        <v>41.333333333333329</v>
      </c>
      <c r="I1434" s="14">
        <f>81*(2/3*10)</f>
        <v>540</v>
      </c>
      <c r="K1434">
        <v>1431</v>
      </c>
      <c r="L1434">
        <f t="shared" si="22"/>
        <v>7</v>
      </c>
    </row>
    <row r="1435" spans="1:12" ht="16.5" x14ac:dyDescent="0.2">
      <c r="A1435" s="4" t="s">
        <v>174</v>
      </c>
      <c r="B1435">
        <v>2016</v>
      </c>
      <c r="C1435" s="14">
        <f>84.3*(2/3*10)</f>
        <v>561.99999999999989</v>
      </c>
      <c r="D1435" s="14">
        <f>1.2*(2/3*10)</f>
        <v>7.9999999999999991</v>
      </c>
      <c r="E1435" s="14">
        <f>21.3*(2/3*10)</f>
        <v>142</v>
      </c>
      <c r="F1435" s="14">
        <f>3.5*(2/3*10)</f>
        <v>23.333333333333332</v>
      </c>
      <c r="G1435" s="14">
        <f>37.5*(2/3*10)</f>
        <v>249.99999999999997</v>
      </c>
      <c r="H1435" s="14">
        <f>6.3*(2/3*10)</f>
        <v>41.999999999999993</v>
      </c>
      <c r="I1435" s="14">
        <f>81*(2/3*10)</f>
        <v>540</v>
      </c>
      <c r="K1435">
        <v>1432</v>
      </c>
      <c r="L1435">
        <f t="shared" si="22"/>
        <v>0</v>
      </c>
    </row>
    <row r="1436" spans="1:12" ht="16.5" x14ac:dyDescent="0.2">
      <c r="A1436" s="4" t="s">
        <v>173</v>
      </c>
      <c r="B1436">
        <v>2009</v>
      </c>
      <c r="C1436" s="14">
        <f>754.4*(2/3*10)</f>
        <v>5029.333333333333</v>
      </c>
      <c r="D1436" s="14">
        <f>30*(2/3*10)</f>
        <v>199.99999999999997</v>
      </c>
      <c r="E1436" s="14">
        <f>576.4*(2/3*10)</f>
        <v>3842.6666666666661</v>
      </c>
      <c r="F1436" s="14">
        <f>40.9*(2/3*10)</f>
        <v>272.66666666666663</v>
      </c>
      <c r="G1436" s="14">
        <f>134.4*(2/3*10)</f>
        <v>896</v>
      </c>
      <c r="H1436" s="14">
        <f>31.4*(2/3*10)</f>
        <v>209.33333333333331</v>
      </c>
      <c r="I1436" s="14">
        <f>248.9*(2/3*10)</f>
        <v>1659.3333333333333</v>
      </c>
      <c r="K1436" s="15">
        <v>1433</v>
      </c>
      <c r="L1436">
        <f t="shared" si="22"/>
        <v>1</v>
      </c>
    </row>
    <row r="1437" spans="1:12" ht="16.5" x14ac:dyDescent="0.2">
      <c r="A1437" s="4" t="s">
        <v>173</v>
      </c>
      <c r="B1437">
        <v>2010</v>
      </c>
      <c r="C1437" s="14">
        <f>753.7*(2/3*10)</f>
        <v>5024.666666666667</v>
      </c>
      <c r="D1437" s="14">
        <f>30.1*(2/3*10)</f>
        <v>200.66666666666666</v>
      </c>
      <c r="E1437" s="14">
        <f>575*(2/3*10)</f>
        <v>3833.333333333333</v>
      </c>
      <c r="F1437" s="14">
        <f>40.6*(2/3*10)</f>
        <v>270.66666666666663</v>
      </c>
      <c r="G1437" s="14">
        <f>136.8*(2/3*10)</f>
        <v>911.99999999999977</v>
      </c>
      <c r="H1437" s="14">
        <f>31.5*(2/3*10)</f>
        <v>209.99999999999997</v>
      </c>
      <c r="I1437" s="14">
        <f>248.6*(2/3*10)</f>
        <v>1657.3333333333333</v>
      </c>
      <c r="K1437">
        <v>1434</v>
      </c>
      <c r="L1437">
        <f t="shared" si="22"/>
        <v>2</v>
      </c>
    </row>
    <row r="1438" spans="1:12" ht="16.5" x14ac:dyDescent="0.2">
      <c r="A1438" s="4" t="s">
        <v>173</v>
      </c>
      <c r="B1438">
        <v>2011</v>
      </c>
      <c r="C1438" s="14">
        <f>753.1*(2/3*10)</f>
        <v>5020.6666666666661</v>
      </c>
      <c r="D1438" s="14">
        <f>29.8*(2/3*10)</f>
        <v>198.66666666666666</v>
      </c>
      <c r="E1438" s="14">
        <f>574.2*(2/3*10)</f>
        <v>3828</v>
      </c>
      <c r="F1438" s="14">
        <f>40.4*(2/3*10)</f>
        <v>269.33333333333331</v>
      </c>
      <c r="G1438" s="14">
        <f>138.6*(2/3*10)</f>
        <v>923.99999999999989</v>
      </c>
      <c r="H1438" s="14">
        <f>31.5*(2/3*10)</f>
        <v>209.99999999999997</v>
      </c>
      <c r="I1438" s="14">
        <f>248.6*(2/3*10)</f>
        <v>1657.3333333333333</v>
      </c>
      <c r="K1438" s="15">
        <v>1435</v>
      </c>
      <c r="L1438">
        <f t="shared" si="22"/>
        <v>3</v>
      </c>
    </row>
    <row r="1439" spans="1:12" ht="16.5" x14ac:dyDescent="0.2">
      <c r="A1439" s="4" t="s">
        <v>173</v>
      </c>
      <c r="B1439">
        <v>2012</v>
      </c>
      <c r="C1439" s="14">
        <f>752.2*(2/3*10)</f>
        <v>5014.666666666667</v>
      </c>
      <c r="D1439" s="14">
        <f>29.7*(2/3*10)</f>
        <v>197.99999999999997</v>
      </c>
      <c r="E1439" s="14">
        <f>573.7*(2/3*10)</f>
        <v>3824.6666666666665</v>
      </c>
      <c r="F1439" s="14">
        <f>40.3*(2/3*10)</f>
        <v>268.66666666666663</v>
      </c>
      <c r="G1439" s="14">
        <f>140.1*(2/3*10)</f>
        <v>933.99999999999989</v>
      </c>
      <c r="H1439" s="14">
        <f>31.5*(2/3*10)</f>
        <v>209.99999999999997</v>
      </c>
      <c r="I1439" s="14">
        <f>248.5*(2/3*10)</f>
        <v>1656.6666666666665</v>
      </c>
      <c r="K1439">
        <v>1436</v>
      </c>
      <c r="L1439">
        <f t="shared" si="22"/>
        <v>4</v>
      </c>
    </row>
    <row r="1440" spans="1:12" ht="16.5" x14ac:dyDescent="0.2">
      <c r="A1440" s="4" t="s">
        <v>173</v>
      </c>
      <c r="B1440">
        <v>2013</v>
      </c>
      <c r="C1440" s="14">
        <f>752.7*(2/3*10)</f>
        <v>5018</v>
      </c>
      <c r="D1440" s="14">
        <f>29.4*(2/3*10)</f>
        <v>195.99999999999997</v>
      </c>
      <c r="E1440" s="14">
        <f>571.7*(2/3*10)</f>
        <v>3811.3333333333335</v>
      </c>
      <c r="F1440" s="14">
        <f>40.3*(2/3*10)</f>
        <v>268.66666666666663</v>
      </c>
      <c r="G1440" s="14">
        <f>141.9*(2/3*10)</f>
        <v>946</v>
      </c>
      <c r="H1440" s="14">
        <f>31.6*(2/3*10)</f>
        <v>210.66666666666666</v>
      </c>
      <c r="I1440" s="14">
        <f>248.2*(2/3*10)</f>
        <v>1654.6666666666665</v>
      </c>
      <c r="K1440">
        <v>1437</v>
      </c>
      <c r="L1440">
        <f t="shared" si="22"/>
        <v>5</v>
      </c>
    </row>
    <row r="1441" spans="1:12" ht="16.5" x14ac:dyDescent="0.2">
      <c r="A1441" s="4" t="s">
        <v>173</v>
      </c>
      <c r="B1441">
        <v>2014</v>
      </c>
      <c r="C1441" s="14">
        <f>752*(2/3*10)</f>
        <v>5013.333333333333</v>
      </c>
      <c r="D1441" s="14">
        <f>29.3*(2/3*10)</f>
        <v>195.33333333333331</v>
      </c>
      <c r="E1441" s="14">
        <f>570.7*(2/3*10)</f>
        <v>3804.6666666666665</v>
      </c>
      <c r="F1441" s="14">
        <f>40*(2/3*10)</f>
        <v>266.66666666666663</v>
      </c>
      <c r="G1441" s="14">
        <f>143.8*(2/3*10)</f>
        <v>958.66666666666663</v>
      </c>
      <c r="H1441" s="14">
        <f>31.9*(2/3*10)</f>
        <v>212.66666666666663</v>
      </c>
      <c r="I1441" s="14">
        <f>247.9*(2/3*10)</f>
        <v>1652.6666666666665</v>
      </c>
      <c r="K1441" s="15">
        <v>1438</v>
      </c>
      <c r="L1441">
        <f t="shared" si="22"/>
        <v>6</v>
      </c>
    </row>
    <row r="1442" spans="1:12" ht="16.5" x14ac:dyDescent="0.2">
      <c r="A1442" s="4" t="s">
        <v>173</v>
      </c>
      <c r="B1442">
        <v>2015</v>
      </c>
      <c r="C1442" s="14">
        <f>752.7*(2/3*10)</f>
        <v>5018</v>
      </c>
      <c r="D1442" s="14">
        <f>28.8*(2/3*10)</f>
        <v>192</v>
      </c>
      <c r="E1442" s="14">
        <f>569.9*(2/3*10)</f>
        <v>3799.333333333333</v>
      </c>
      <c r="F1442" s="14">
        <f>39*(2/3*10)</f>
        <v>260</v>
      </c>
      <c r="G1442" s="14">
        <f>145*(2/3*10)</f>
        <v>966.66666666666663</v>
      </c>
      <c r="H1442" s="14">
        <f>32*(2/3*10)</f>
        <v>213.33333333333331</v>
      </c>
      <c r="I1442" s="14">
        <f>247.6*(2/3*10)</f>
        <v>1650.6666666666665</v>
      </c>
      <c r="K1442">
        <v>1439</v>
      </c>
      <c r="L1442">
        <f t="shared" si="22"/>
        <v>7</v>
      </c>
    </row>
    <row r="1443" spans="1:12" ht="16.5" x14ac:dyDescent="0.2">
      <c r="A1443" s="4" t="s">
        <v>173</v>
      </c>
      <c r="B1443">
        <v>2016</v>
      </c>
      <c r="C1443" s="14">
        <f>750.6*(2/3*10)</f>
        <v>5004</v>
      </c>
      <c r="D1443" s="14">
        <f>28.8*(2/3*10)</f>
        <v>192</v>
      </c>
      <c r="E1443" s="14">
        <f>569.4*(2/3*10)</f>
        <v>3795.9999999999995</v>
      </c>
      <c r="F1443" s="14">
        <f>38.8*(2/3*10)</f>
        <v>258.66666666666663</v>
      </c>
      <c r="G1443" s="14">
        <f>147.2*(2/3*10)</f>
        <v>981.33333333333314</v>
      </c>
      <c r="H1443" s="14">
        <f>32.9*(2/3*10)</f>
        <v>219.33333333333331</v>
      </c>
      <c r="I1443" s="14">
        <f>247.2*(2/3*10)</f>
        <v>1647.9999999999998</v>
      </c>
      <c r="K1443" s="15">
        <v>1440</v>
      </c>
      <c r="L1443">
        <f t="shared" si="22"/>
        <v>0</v>
      </c>
    </row>
    <row r="1444" spans="1:12" ht="16.5" x14ac:dyDescent="0.2">
      <c r="A1444" s="4" t="s">
        <v>172</v>
      </c>
      <c r="B1444">
        <v>2009</v>
      </c>
      <c r="C1444" s="14">
        <f>673*(2/3*10)</f>
        <v>4486.6666666666661</v>
      </c>
      <c r="D1444" s="14">
        <f>29.3*(2/3*10)</f>
        <v>195.33333333333331</v>
      </c>
      <c r="E1444" s="14">
        <f>217.2*(2/3*10)</f>
        <v>1447.9999999999998</v>
      </c>
      <c r="F1444" s="14">
        <f>21.2*(2/3*10)</f>
        <v>141.33333333333331</v>
      </c>
      <c r="G1444" s="14">
        <f>132.1*(2/3*10)</f>
        <v>880.66666666666652</v>
      </c>
      <c r="H1444" s="14">
        <f>22.7*(2/3*10)</f>
        <v>151.33333333333331</v>
      </c>
      <c r="I1444" s="14">
        <f>216.7*(2/3*10)</f>
        <v>1444.6666666666665</v>
      </c>
      <c r="K1444">
        <v>1441</v>
      </c>
      <c r="L1444">
        <f t="shared" si="22"/>
        <v>1</v>
      </c>
    </row>
    <row r="1445" spans="1:12" ht="16.5" x14ac:dyDescent="0.2">
      <c r="A1445" s="4" t="s">
        <v>172</v>
      </c>
      <c r="B1445">
        <v>2010</v>
      </c>
      <c r="C1445" s="14">
        <f>671*(2/3*10)</f>
        <v>4473.333333333333</v>
      </c>
      <c r="D1445" s="14">
        <f>29.2*(2/3*10)</f>
        <v>194.66666666666666</v>
      </c>
      <c r="E1445" s="14">
        <f>216.7*(2/3*10)</f>
        <v>1444.6666666666665</v>
      </c>
      <c r="F1445" s="14">
        <f>21*(2/3*10)</f>
        <v>140</v>
      </c>
      <c r="G1445" s="14">
        <f>135*(2/3*10)</f>
        <v>899.99999999999989</v>
      </c>
      <c r="H1445" s="14">
        <f>23.2*(2/3*10)</f>
        <v>154.66666666666666</v>
      </c>
      <c r="I1445" s="14">
        <f>216.1*(2/3*10)</f>
        <v>1440.6666666666665</v>
      </c>
      <c r="K1445">
        <v>1442</v>
      </c>
      <c r="L1445">
        <f t="shared" si="22"/>
        <v>2</v>
      </c>
    </row>
    <row r="1446" spans="1:12" ht="16.5" x14ac:dyDescent="0.2">
      <c r="A1446" s="4" t="s">
        <v>172</v>
      </c>
      <c r="B1446">
        <v>2011</v>
      </c>
      <c r="C1446" s="14">
        <f>668.8*(2/3*10)</f>
        <v>4458.6666666666661</v>
      </c>
      <c r="D1446" s="14">
        <f>28.8*(2/3*10)</f>
        <v>192</v>
      </c>
      <c r="E1446" s="14">
        <f>216*(2/3*10)</f>
        <v>1439.9999999999998</v>
      </c>
      <c r="F1446" s="14">
        <f>20.8*(2/3*10)</f>
        <v>138.66666666666666</v>
      </c>
      <c r="G1446" s="14">
        <f>138.7*(2/3*10)</f>
        <v>924.66666666666652</v>
      </c>
      <c r="H1446" s="14">
        <f>23.4*(2/3*10)</f>
        <v>155.99999999999997</v>
      </c>
      <c r="I1446" s="14">
        <f>215.3*(2/3*10)</f>
        <v>1435.3333333333333</v>
      </c>
      <c r="K1446" s="15">
        <v>1443</v>
      </c>
      <c r="L1446">
        <f t="shared" si="22"/>
        <v>3</v>
      </c>
    </row>
    <row r="1447" spans="1:12" ht="16.5" x14ac:dyDescent="0.2">
      <c r="A1447" s="4" t="s">
        <v>172</v>
      </c>
      <c r="B1447">
        <v>2012</v>
      </c>
      <c r="C1447" s="14">
        <f>667.3*(2/3*10)</f>
        <v>4448.6666666666661</v>
      </c>
      <c r="D1447" s="14">
        <f>28.8*(2/3*10)</f>
        <v>192</v>
      </c>
      <c r="E1447" s="14">
        <f>215.9*(2/3*10)</f>
        <v>1439.3333333333333</v>
      </c>
      <c r="F1447" s="14">
        <f>20.3*(2/3*10)</f>
        <v>135.33333333333331</v>
      </c>
      <c r="G1447" s="14">
        <f>140.8*(2/3*10)</f>
        <v>938.66666666666663</v>
      </c>
      <c r="H1447" s="14">
        <f>23.8*(2/3*10)</f>
        <v>158.66666666666666</v>
      </c>
      <c r="I1447" s="14">
        <f>214.7*(2/3*10)</f>
        <v>1431.333333333333</v>
      </c>
      <c r="K1447">
        <v>1444</v>
      </c>
      <c r="L1447">
        <f t="shared" si="22"/>
        <v>4</v>
      </c>
    </row>
    <row r="1448" spans="1:12" ht="16.5" x14ac:dyDescent="0.2">
      <c r="A1448" s="4" t="s">
        <v>172</v>
      </c>
      <c r="B1448">
        <v>2013</v>
      </c>
      <c r="C1448" s="14">
        <f>665.4*(2/3*10)</f>
        <v>4435.9999999999991</v>
      </c>
      <c r="D1448" s="14">
        <f>28.8*(2/3*10)</f>
        <v>192</v>
      </c>
      <c r="E1448" s="14">
        <f>215.7*(2/3*10)</f>
        <v>1437.9999999999998</v>
      </c>
      <c r="F1448" s="14">
        <f>20.2*(2/3*10)</f>
        <v>134.66666666666666</v>
      </c>
      <c r="G1448" s="14">
        <f>142.8*(2/3*10)</f>
        <v>951.99999999999977</v>
      </c>
      <c r="H1448" s="14">
        <f>24.1*(2/3*10)</f>
        <v>160.66666666666666</v>
      </c>
      <c r="I1448" s="14">
        <f>214.2*(2/3*10)</f>
        <v>1427.9999999999998</v>
      </c>
      <c r="K1448" s="15">
        <v>1445</v>
      </c>
      <c r="L1448">
        <f t="shared" si="22"/>
        <v>5</v>
      </c>
    </row>
    <row r="1449" spans="1:12" ht="16.5" x14ac:dyDescent="0.2">
      <c r="A1449" s="4" t="s">
        <v>172</v>
      </c>
      <c r="B1449">
        <v>2014</v>
      </c>
      <c r="C1449" s="14">
        <f>662*(2/3*10)</f>
        <v>4413.333333333333</v>
      </c>
      <c r="D1449" s="14">
        <f>28.6*(2/3*10)</f>
        <v>190.66666666666666</v>
      </c>
      <c r="E1449" s="14">
        <f>215.2*(2/3*10)</f>
        <v>1434.6666666666665</v>
      </c>
      <c r="F1449" s="14">
        <f>20.1*(2/3*10)</f>
        <v>134</v>
      </c>
      <c r="G1449" s="14">
        <f>146.7*(2/3*10)</f>
        <v>977.99999999999989</v>
      </c>
      <c r="H1449" s="14">
        <f>24.4*(2/3*10)</f>
        <v>162.66666666666663</v>
      </c>
      <c r="I1449" s="14">
        <f>213.4*(2/3*10)</f>
        <v>1422.6666666666665</v>
      </c>
      <c r="K1449">
        <v>1446</v>
      </c>
      <c r="L1449">
        <f t="shared" si="22"/>
        <v>6</v>
      </c>
    </row>
    <row r="1450" spans="1:12" ht="16.5" x14ac:dyDescent="0.2">
      <c r="A1450" s="4" t="s">
        <v>172</v>
      </c>
      <c r="B1450">
        <v>2015</v>
      </c>
      <c r="C1450" s="14">
        <f>661*(2/3*10)</f>
        <v>4406.6666666666661</v>
      </c>
      <c r="D1450" s="14">
        <f>28.6*(2/3*10)</f>
        <v>190.66666666666666</v>
      </c>
      <c r="E1450" s="14">
        <f>214.9*(2/3*10)</f>
        <v>1432.6666666666665</v>
      </c>
      <c r="F1450" s="14">
        <f>19.9*(2/3*10)</f>
        <v>132.66666666666666</v>
      </c>
      <c r="G1450" s="14">
        <f>148.5*(2/3*10)</f>
        <v>989.99999999999989</v>
      </c>
      <c r="H1450" s="14">
        <f>24.5*(2/3*10)</f>
        <v>163.33333333333331</v>
      </c>
      <c r="I1450" s="14">
        <f>212.8*(2/3*10)</f>
        <v>1418.6666666666665</v>
      </c>
      <c r="K1450">
        <v>1447</v>
      </c>
      <c r="L1450">
        <f t="shared" si="22"/>
        <v>7</v>
      </c>
    </row>
    <row r="1451" spans="1:12" ht="16.5" x14ac:dyDescent="0.2">
      <c r="A1451" s="4" t="s">
        <v>172</v>
      </c>
      <c r="B1451">
        <v>2016</v>
      </c>
      <c r="C1451" s="14">
        <f>660.3*(2/3*10)</f>
        <v>4401.9999999999991</v>
      </c>
      <c r="D1451" s="14">
        <f>28.5*(2/3*10)</f>
        <v>189.99999999999997</v>
      </c>
      <c r="E1451" s="14">
        <f>214.4*(2/3*10)</f>
        <v>1429.3333333333333</v>
      </c>
      <c r="F1451" s="14">
        <f>19.9*(2/3*10)</f>
        <v>132.66666666666666</v>
      </c>
      <c r="G1451" s="14">
        <f>149.4*(2/3*10)</f>
        <v>996</v>
      </c>
      <c r="H1451" s="14">
        <f>26.1*(2/3*10)</f>
        <v>174</v>
      </c>
      <c r="I1451" s="14">
        <f>211.4*(2/3*10)</f>
        <v>1409.3333333333333</v>
      </c>
      <c r="K1451" s="15">
        <v>1448</v>
      </c>
      <c r="L1451">
        <f t="shared" si="22"/>
        <v>0</v>
      </c>
    </row>
    <row r="1452" spans="1:12" ht="16.5" x14ac:dyDescent="0.2">
      <c r="A1452" s="4" t="s">
        <v>171</v>
      </c>
      <c r="B1452">
        <v>2009</v>
      </c>
      <c r="C1452" s="14">
        <f>1037.4*(2/3*10)</f>
        <v>6916</v>
      </c>
      <c r="D1452" s="14">
        <f>23.1*(2/3*10)</f>
        <v>154</v>
      </c>
      <c r="E1452" s="14">
        <f>130.5*(2/3*10)</f>
        <v>869.99999999999989</v>
      </c>
      <c r="F1452" s="14">
        <f>2.6*(2/3*10)</f>
        <v>17.333333333333332</v>
      </c>
      <c r="G1452" s="14">
        <f>201*(2/3*10)</f>
        <v>1339.9999999999998</v>
      </c>
      <c r="H1452" s="14">
        <f>44.4*(2/3*10)</f>
        <v>295.99999999999994</v>
      </c>
      <c r="I1452" s="14">
        <f>666.7*(2/3*10)</f>
        <v>4444.666666666667</v>
      </c>
      <c r="K1452">
        <v>1449</v>
      </c>
      <c r="L1452">
        <f t="shared" si="22"/>
        <v>1</v>
      </c>
    </row>
    <row r="1453" spans="1:12" ht="16.5" x14ac:dyDescent="0.2">
      <c r="A1453" s="4" t="s">
        <v>171</v>
      </c>
      <c r="B1453">
        <v>2010</v>
      </c>
      <c r="C1453" s="14">
        <f>1036.5*(2/3*10)</f>
        <v>6909.9999999999991</v>
      </c>
      <c r="D1453" s="14">
        <f>22.9*(2/3*10)</f>
        <v>152.66666666666666</v>
      </c>
      <c r="E1453" s="14">
        <f>129.9*(2/3*10)</f>
        <v>866</v>
      </c>
      <c r="F1453" s="14">
        <f>2.6*(2/3*10)</f>
        <v>17.333333333333332</v>
      </c>
      <c r="G1453" s="14">
        <f>202.7*(2/3*10)</f>
        <v>1351.333333333333</v>
      </c>
      <c r="H1453" s="14">
        <f>44.8*(2/3*10)</f>
        <v>298.66666666666663</v>
      </c>
      <c r="I1453" s="14">
        <f>666.1*(2/3*10)</f>
        <v>4440.6666666666661</v>
      </c>
      <c r="K1453" s="15">
        <v>1450</v>
      </c>
      <c r="L1453">
        <f t="shared" si="22"/>
        <v>2</v>
      </c>
    </row>
    <row r="1454" spans="1:12" ht="16.5" x14ac:dyDescent="0.2">
      <c r="A1454" s="4" t="s">
        <v>171</v>
      </c>
      <c r="B1454">
        <v>2011</v>
      </c>
      <c r="C1454" s="14">
        <f>1035.5*(2/3*10)</f>
        <v>6903.333333333333</v>
      </c>
      <c r="D1454" s="14">
        <f>22.8*(2/3*10)</f>
        <v>152</v>
      </c>
      <c r="E1454" s="14">
        <f>129.5*(2/3*10)</f>
        <v>863.33333333333326</v>
      </c>
      <c r="F1454" s="14">
        <f>2.7*(2/3*10)</f>
        <v>18</v>
      </c>
      <c r="G1454" s="14">
        <f>204.7*(2/3*10)</f>
        <v>1364.6666666666667</v>
      </c>
      <c r="H1454" s="14">
        <f>44.9*(2/3*10)</f>
        <v>299.33333333333331</v>
      </c>
      <c r="I1454" s="14">
        <f>665.5*(2/3*10)</f>
        <v>4436.6666666666661</v>
      </c>
      <c r="K1454">
        <v>1451</v>
      </c>
      <c r="L1454">
        <f t="shared" si="22"/>
        <v>3</v>
      </c>
    </row>
    <row r="1455" spans="1:12" ht="16.5" x14ac:dyDescent="0.2">
      <c r="A1455" s="4" t="s">
        <v>171</v>
      </c>
      <c r="B1455">
        <v>2012</v>
      </c>
      <c r="C1455" s="14">
        <f>1033*(2/3*10)</f>
        <v>6886.6666666666661</v>
      </c>
      <c r="D1455" s="14">
        <f>22.9*(2/3*10)</f>
        <v>152.66666666666666</v>
      </c>
      <c r="E1455" s="14">
        <f>128.5*(2/3*10)</f>
        <v>856.66666666666663</v>
      </c>
      <c r="F1455" s="14">
        <f>2.6*(2/3*10)</f>
        <v>17.333333333333332</v>
      </c>
      <c r="G1455" s="14">
        <f>207.9*(2/3*10)</f>
        <v>1386</v>
      </c>
      <c r="H1455" s="14">
        <f>45.9*(2/3*10)</f>
        <v>305.99999999999994</v>
      </c>
      <c r="I1455" s="14">
        <f>664.5*(2/3*10)</f>
        <v>4430</v>
      </c>
      <c r="K1455">
        <v>1452</v>
      </c>
      <c r="L1455">
        <f t="shared" si="22"/>
        <v>4</v>
      </c>
    </row>
    <row r="1456" spans="1:12" ht="16.5" x14ac:dyDescent="0.2">
      <c r="A1456" s="4" t="s">
        <v>171</v>
      </c>
      <c r="B1456">
        <v>2013</v>
      </c>
      <c r="C1456" s="14">
        <f>1032.3*(2/3*10)</f>
        <v>6881.9999999999991</v>
      </c>
      <c r="D1456" s="14">
        <f>22.8*(2/3*10)</f>
        <v>152</v>
      </c>
      <c r="E1456" s="14">
        <f>128.1*(2/3*10)</f>
        <v>853.99999999999989</v>
      </c>
      <c r="F1456" s="14">
        <f>2.6*(2/3*10)</f>
        <v>17.333333333333332</v>
      </c>
      <c r="G1456" s="14">
        <f>209.8*(2/3*10)</f>
        <v>1398.6666666666665</v>
      </c>
      <c r="H1456" s="14">
        <f>46.7*(2/3*10)</f>
        <v>311.33333333333331</v>
      </c>
      <c r="I1456" s="14">
        <f>663.2*(2/3*10)</f>
        <v>4421.333333333333</v>
      </c>
      <c r="K1456" s="15">
        <v>1453</v>
      </c>
      <c r="L1456">
        <f t="shared" si="22"/>
        <v>5</v>
      </c>
    </row>
    <row r="1457" spans="1:12" ht="16.5" x14ac:dyDescent="0.2">
      <c r="A1457" s="4" t="s">
        <v>171</v>
      </c>
      <c r="B1457">
        <v>2014</v>
      </c>
      <c r="C1457" s="14">
        <f>1029.9*(2/3*10)</f>
        <v>6866</v>
      </c>
      <c r="D1457" s="14">
        <f>22.6*(2/3*10)</f>
        <v>150.66666666666666</v>
      </c>
      <c r="E1457" s="14">
        <f>127.6*(2/3*10)</f>
        <v>850.66666666666652</v>
      </c>
      <c r="F1457" s="14">
        <f>2.6*(2/3*10)</f>
        <v>17.333333333333332</v>
      </c>
      <c r="G1457" s="14">
        <f>213.1*(2/3*10)</f>
        <v>1420.6666666666667</v>
      </c>
      <c r="H1457" s="14">
        <f>47.7*(2/3*10)</f>
        <v>318</v>
      </c>
      <c r="I1457" s="14">
        <f>661.6*(2/3*10)</f>
        <v>4410.6666666666661</v>
      </c>
      <c r="K1457">
        <v>1454</v>
      </c>
      <c r="L1457">
        <f t="shared" si="22"/>
        <v>6</v>
      </c>
    </row>
    <row r="1458" spans="1:12" ht="16.5" x14ac:dyDescent="0.2">
      <c r="A1458" s="4" t="s">
        <v>171</v>
      </c>
      <c r="B1458">
        <v>2015</v>
      </c>
      <c r="C1458" s="14">
        <f>1028.8*(2/3*10)</f>
        <v>6858.6666666666661</v>
      </c>
      <c r="D1458" s="14">
        <f>22.5*(2/3*10)</f>
        <v>150</v>
      </c>
      <c r="E1458" s="14">
        <f>126.9*(2/3*10)</f>
        <v>846</v>
      </c>
      <c r="F1458" s="14">
        <f>2.5*(2/3*10)</f>
        <v>16.666666666666664</v>
      </c>
      <c r="G1458" s="14">
        <f>214.5*(2/3*10)</f>
        <v>1430</v>
      </c>
      <c r="H1458" s="14">
        <f>49.1*(2/3*10)</f>
        <v>327.33333333333331</v>
      </c>
      <c r="I1458" s="14">
        <f>660.4*(2/3*10)</f>
        <v>4402.6666666666661</v>
      </c>
      <c r="K1458" s="15">
        <v>1455</v>
      </c>
      <c r="L1458">
        <f t="shared" si="22"/>
        <v>7</v>
      </c>
    </row>
    <row r="1459" spans="1:12" ht="16.5" x14ac:dyDescent="0.2">
      <c r="A1459" s="4" t="s">
        <v>171</v>
      </c>
      <c r="B1459">
        <v>2016</v>
      </c>
      <c r="C1459" s="14">
        <f>1027.4*(2/3*10)</f>
        <v>6849.333333333333</v>
      </c>
      <c r="D1459" s="14">
        <f>22.4*(2/3*10)</f>
        <v>149.33333333333331</v>
      </c>
      <c r="E1459" s="14">
        <f>126.5*(2/3*10)</f>
        <v>843.33333333333326</v>
      </c>
      <c r="F1459" s="14">
        <f>2.5*(2/3*10)</f>
        <v>16.666666666666664</v>
      </c>
      <c r="G1459" s="14">
        <f>215.9*(2/3*10)</f>
        <v>1439.3333333333333</v>
      </c>
      <c r="H1459" s="14">
        <f>50.2*(2/3*10)</f>
        <v>334.66666666666663</v>
      </c>
      <c r="I1459" s="14">
        <f>659.5*(2/3*10)</f>
        <v>4396.6666666666661</v>
      </c>
      <c r="K1459">
        <v>1456</v>
      </c>
      <c r="L1459">
        <f t="shared" si="22"/>
        <v>0</v>
      </c>
    </row>
    <row r="1460" spans="1:12" ht="16.5" x14ac:dyDescent="0.2">
      <c r="A1460" s="4" t="s">
        <v>170</v>
      </c>
      <c r="B1460">
        <v>2009</v>
      </c>
      <c r="C1460" s="14">
        <f>809.6*(2/3*10)</f>
        <v>5397.333333333333</v>
      </c>
      <c r="D1460" s="14">
        <f>122.9*(2/3*10)</f>
        <v>819.33333333333326</v>
      </c>
      <c r="E1460" s="14">
        <f>1039.9*(2/3*10)</f>
        <v>6932.666666666667</v>
      </c>
      <c r="F1460" s="14">
        <f>51.2*(2/3*10)</f>
        <v>341.33333333333331</v>
      </c>
      <c r="G1460" s="14">
        <f>191.9*(2/3*10)</f>
        <v>1279.3333333333335</v>
      </c>
      <c r="H1460" s="14">
        <f>40.2*(2/3*10)</f>
        <v>268</v>
      </c>
      <c r="I1460" s="14">
        <f>301.9*(2/3*10)</f>
        <v>2012.6666666666663</v>
      </c>
      <c r="K1460">
        <v>1457</v>
      </c>
      <c r="L1460">
        <f t="shared" si="22"/>
        <v>1</v>
      </c>
    </row>
    <row r="1461" spans="1:12" ht="16.5" x14ac:dyDescent="0.2">
      <c r="A1461" s="4" t="s">
        <v>170</v>
      </c>
      <c r="B1461">
        <v>2010</v>
      </c>
      <c r="C1461" s="14">
        <f>808.6*(2/3*10)</f>
        <v>5390.6666666666661</v>
      </c>
      <c r="D1461" s="14">
        <f>122.5*(2/3*10)</f>
        <v>816.66666666666663</v>
      </c>
      <c r="E1461" s="14">
        <f>1038.7*(2/3*10)</f>
        <v>6924.6666666666661</v>
      </c>
      <c r="F1461" s="14">
        <f>50.8*(2/3*10)</f>
        <v>338.66666666666663</v>
      </c>
      <c r="G1461" s="14">
        <f>195.1*(2/3*10)</f>
        <v>1300.6666666666665</v>
      </c>
      <c r="H1461" s="14">
        <f>40.7*(2/3*10)</f>
        <v>271.33333333333331</v>
      </c>
      <c r="I1461" s="14">
        <f>301.2*(2/3*10)</f>
        <v>2007.9999999999998</v>
      </c>
      <c r="K1461" s="15">
        <v>1458</v>
      </c>
      <c r="L1461">
        <f t="shared" si="22"/>
        <v>2</v>
      </c>
    </row>
    <row r="1462" spans="1:12" ht="16.5" x14ac:dyDescent="0.2">
      <c r="A1462" s="4" t="s">
        <v>170</v>
      </c>
      <c r="B1462">
        <v>2011</v>
      </c>
      <c r="C1462" s="14">
        <f>807.4*(2/3*10)</f>
        <v>5382.6666666666661</v>
      </c>
      <c r="D1462" s="14">
        <f>122.3*(2/3*10)</f>
        <v>815.33333333333326</v>
      </c>
      <c r="E1462" s="14">
        <f>1037.6*(2/3*10)</f>
        <v>6917.3333333333321</v>
      </c>
      <c r="F1462" s="14">
        <f>50.6*(2/3*10)</f>
        <v>337.33333333333331</v>
      </c>
      <c r="G1462" s="14">
        <f>197.3*(2/3*10)</f>
        <v>1315.333333333333</v>
      </c>
      <c r="H1462" s="14">
        <f>41.1*(2/3*10)</f>
        <v>274</v>
      </c>
      <c r="I1462" s="14">
        <f>300.8*(2/3*10)</f>
        <v>2005.3333333333333</v>
      </c>
      <c r="K1462">
        <v>1459</v>
      </c>
      <c r="L1462">
        <f t="shared" si="22"/>
        <v>3</v>
      </c>
    </row>
    <row r="1463" spans="1:12" ht="16.5" x14ac:dyDescent="0.2">
      <c r="A1463" s="4" t="s">
        <v>170</v>
      </c>
      <c r="B1463">
        <v>2012</v>
      </c>
      <c r="C1463" s="14">
        <f>806.8*(2/3*10)</f>
        <v>5378.6666666666661</v>
      </c>
      <c r="D1463" s="14">
        <f>121.8*(2/3*10)</f>
        <v>811.99999999999989</v>
      </c>
      <c r="E1463" s="14">
        <f>1036.2*(2/3*10)</f>
        <v>6908</v>
      </c>
      <c r="F1463" s="14">
        <f>50*(2/3*10)</f>
        <v>333.33333333333331</v>
      </c>
      <c r="G1463" s="14">
        <f>200.9*(2/3*10)</f>
        <v>1339.3333333333333</v>
      </c>
      <c r="H1463" s="14">
        <f>41.5*(2/3*10)</f>
        <v>276.66666666666663</v>
      </c>
      <c r="I1463" s="14">
        <f>299.7*(2/3*10)</f>
        <v>1997.9999999999998</v>
      </c>
      <c r="K1463" s="15">
        <v>1460</v>
      </c>
      <c r="L1463">
        <f t="shared" si="22"/>
        <v>4</v>
      </c>
    </row>
    <row r="1464" spans="1:12" ht="16.5" x14ac:dyDescent="0.2">
      <c r="A1464" s="4" t="s">
        <v>170</v>
      </c>
      <c r="B1464">
        <v>2013</v>
      </c>
      <c r="C1464" s="14">
        <f>805.2*(2/3*10)</f>
        <v>5368</v>
      </c>
      <c r="D1464" s="14">
        <f>121.2*(2/3*10)</f>
        <v>808</v>
      </c>
      <c r="E1464" s="14">
        <f>1034.8*(2/3*10)</f>
        <v>6898.6666666666661</v>
      </c>
      <c r="F1464" s="14">
        <f>49.4*(2/3*10)</f>
        <v>329.33333333333331</v>
      </c>
      <c r="G1464" s="14">
        <f>203.8*(2/3*10)</f>
        <v>1358.6666666666665</v>
      </c>
      <c r="H1464" s="14">
        <f>43.4*(2/3*10)</f>
        <v>289.33333333333331</v>
      </c>
      <c r="I1464" s="14">
        <f>298.8*(2/3*10)</f>
        <v>1992</v>
      </c>
      <c r="K1464">
        <v>1461</v>
      </c>
      <c r="L1464">
        <f t="shared" si="22"/>
        <v>5</v>
      </c>
    </row>
    <row r="1465" spans="1:12" ht="16.5" x14ac:dyDescent="0.2">
      <c r="A1465" s="4" t="s">
        <v>170</v>
      </c>
      <c r="B1465">
        <v>2014</v>
      </c>
      <c r="C1465" s="14">
        <f>801.3*(2/3*10)</f>
        <v>5341.9999999999991</v>
      </c>
      <c r="D1465" s="14">
        <f>120.7*(2/3*10)</f>
        <v>804.66666666666663</v>
      </c>
      <c r="E1465" s="14">
        <f>1033.8*(2/3*10)</f>
        <v>6891.9999999999991</v>
      </c>
      <c r="F1465" s="14">
        <f>49.3*(2/3*10)</f>
        <v>328.66666666666663</v>
      </c>
      <c r="G1465" s="14">
        <f>209.3*(2/3*10)</f>
        <v>1395.3333333333333</v>
      </c>
      <c r="H1465" s="14">
        <f>44.5*(2/3*10)</f>
        <v>296.66666666666663</v>
      </c>
      <c r="I1465" s="14">
        <f>297.6*(2/3*10)</f>
        <v>1984</v>
      </c>
      <c r="K1465">
        <v>1462</v>
      </c>
      <c r="L1465">
        <f t="shared" si="22"/>
        <v>6</v>
      </c>
    </row>
    <row r="1466" spans="1:12" ht="16.5" x14ac:dyDescent="0.2">
      <c r="A1466" s="4" t="s">
        <v>170</v>
      </c>
      <c r="B1466">
        <v>2015</v>
      </c>
      <c r="C1466" s="14">
        <f>799.8*(2/3*10)</f>
        <v>5331.9999999999991</v>
      </c>
      <c r="D1466" s="14">
        <f>120.4*(2/3*10)</f>
        <v>802.66666666666663</v>
      </c>
      <c r="E1466" s="14">
        <f>1032.9*(2/3*10)</f>
        <v>6886</v>
      </c>
      <c r="F1466" s="14">
        <f>48.8*(2/3*10)</f>
        <v>325.33333333333326</v>
      </c>
      <c r="G1466" s="14">
        <f>212.2*(2/3*10)</f>
        <v>1414.6666666666665</v>
      </c>
      <c r="H1466" s="14">
        <f>45.1*(2/3*10)</f>
        <v>300.66666666666663</v>
      </c>
      <c r="I1466" s="14">
        <f>297*(2/3*10)</f>
        <v>1979.9999999999998</v>
      </c>
      <c r="K1466" s="15">
        <v>1463</v>
      </c>
      <c r="L1466">
        <f t="shared" si="22"/>
        <v>7</v>
      </c>
    </row>
    <row r="1467" spans="1:12" ht="16.5" x14ac:dyDescent="0.2">
      <c r="A1467" s="4" t="s">
        <v>170</v>
      </c>
      <c r="B1467">
        <v>2016</v>
      </c>
      <c r="C1467" s="14">
        <f>798.6*(2/3*10)</f>
        <v>5324</v>
      </c>
      <c r="D1467" s="14">
        <f>120.2*(2/3*10)</f>
        <v>801.33333333333326</v>
      </c>
      <c r="E1467" s="14">
        <f>1031*(2/3*10)</f>
        <v>6873.333333333333</v>
      </c>
      <c r="F1467" s="14">
        <f>48.6*(2/3*10)</f>
        <v>324</v>
      </c>
      <c r="G1467" s="14">
        <f>213.9*(2/3*10)</f>
        <v>1425.9999999999998</v>
      </c>
      <c r="H1467" s="14">
        <f>45.3*(2/3*10)</f>
        <v>301.99999999999994</v>
      </c>
      <c r="I1467" s="14">
        <f>297.6*(2/3*10)</f>
        <v>1984</v>
      </c>
      <c r="K1467">
        <v>1464</v>
      </c>
      <c r="L1467">
        <f t="shared" si="22"/>
        <v>0</v>
      </c>
    </row>
    <row r="1468" spans="1:12" ht="16.5" x14ac:dyDescent="0.2">
      <c r="A1468" s="4" t="s">
        <v>169</v>
      </c>
      <c r="B1468">
        <v>2009</v>
      </c>
      <c r="C1468" s="14">
        <f>298.2*(2/3*10)</f>
        <v>1987.9999999999998</v>
      </c>
      <c r="D1468" s="14">
        <f>32.1*(2/3*10)</f>
        <v>214</v>
      </c>
      <c r="E1468" s="14">
        <f>818.4*(2/3*10)</f>
        <v>5455.9999999999991</v>
      </c>
      <c r="F1468" s="14">
        <f>49.2*(2/3*10)</f>
        <v>328</v>
      </c>
      <c r="G1468" s="14">
        <f>68*(2/3*10)</f>
        <v>453.33333333333331</v>
      </c>
      <c r="H1468" s="14">
        <f>18.3*(2/3*10)</f>
        <v>122</v>
      </c>
      <c r="I1468" s="14">
        <f>161.4*(2/3*10)</f>
        <v>1076</v>
      </c>
      <c r="K1468" s="15">
        <v>1465</v>
      </c>
      <c r="L1468">
        <f t="shared" si="22"/>
        <v>1</v>
      </c>
    </row>
    <row r="1469" spans="1:12" ht="16.5" x14ac:dyDescent="0.2">
      <c r="A1469" s="4" t="s">
        <v>169</v>
      </c>
      <c r="B1469">
        <v>2010</v>
      </c>
      <c r="C1469" s="14">
        <f>298.9*(2/3*10)</f>
        <v>1992.6666666666663</v>
      </c>
      <c r="D1469" s="14">
        <f>31.2*(2/3*10)</f>
        <v>207.99999999999997</v>
      </c>
      <c r="E1469" s="14">
        <f>815.8*(2/3*10)</f>
        <v>5438.6666666666661</v>
      </c>
      <c r="F1469" s="14">
        <f>49.7*(2/3*10)</f>
        <v>331.33333333333331</v>
      </c>
      <c r="G1469" s="14">
        <f>70.1*(2/3*10)</f>
        <v>467.33333333333326</v>
      </c>
      <c r="H1469" s="14">
        <f>18.5*(2/3*10)</f>
        <v>123.33333333333333</v>
      </c>
      <c r="I1469" s="14">
        <f>161.2*(2/3*10)</f>
        <v>1074.6666666666665</v>
      </c>
      <c r="K1469">
        <v>1466</v>
      </c>
      <c r="L1469">
        <f t="shared" si="22"/>
        <v>2</v>
      </c>
    </row>
    <row r="1470" spans="1:12" ht="16.5" x14ac:dyDescent="0.2">
      <c r="A1470" s="4" t="s">
        <v>169</v>
      </c>
      <c r="B1470">
        <v>2011</v>
      </c>
      <c r="C1470" s="14">
        <f>298.6*(2/3*10)</f>
        <v>1990.6666666666667</v>
      </c>
      <c r="D1470" s="14">
        <f>30.4*(2/3*10)</f>
        <v>202.66666666666663</v>
      </c>
      <c r="E1470" s="14">
        <f>810.9*(2/3*10)</f>
        <v>5405.9999999999991</v>
      </c>
      <c r="F1470" s="14">
        <f>49.5*(2/3*10)</f>
        <v>329.99999999999994</v>
      </c>
      <c r="G1470" s="14">
        <f>72.3*(2/3*10)</f>
        <v>481.99999999999994</v>
      </c>
      <c r="H1470" s="14">
        <f>19.3*(2/3*10)</f>
        <v>128.66666666666666</v>
      </c>
      <c r="I1470" s="14">
        <f>161.3*(2/3*10)</f>
        <v>1075.3333333333333</v>
      </c>
      <c r="K1470">
        <v>1467</v>
      </c>
      <c r="L1470">
        <f t="shared" si="22"/>
        <v>3</v>
      </c>
    </row>
    <row r="1471" spans="1:12" ht="16.5" x14ac:dyDescent="0.2">
      <c r="A1471" s="4" t="s">
        <v>169</v>
      </c>
      <c r="B1471">
        <v>2012</v>
      </c>
      <c r="C1471" s="14">
        <f>301.1*(2/3*10)</f>
        <v>2007.3333333333333</v>
      </c>
      <c r="D1471" s="14">
        <f>30*(2/3*10)</f>
        <v>199.99999999999997</v>
      </c>
      <c r="E1471" s="14">
        <f>808.4*(2/3*10)</f>
        <v>5389.333333333333</v>
      </c>
      <c r="F1471" s="14">
        <f>49.3*(2/3*10)</f>
        <v>328.66666666666663</v>
      </c>
      <c r="G1471" s="14">
        <f>74*(2/3*10)</f>
        <v>493.33333333333331</v>
      </c>
      <c r="H1471" s="14">
        <f>19.6*(2/3*10)</f>
        <v>130.66666666666666</v>
      </c>
      <c r="I1471" s="14">
        <f>161.1*(2/3*10)</f>
        <v>1073.9999999999998</v>
      </c>
      <c r="K1471" s="15">
        <v>1468</v>
      </c>
      <c r="L1471">
        <f t="shared" si="22"/>
        <v>4</v>
      </c>
    </row>
    <row r="1472" spans="1:12" ht="16.5" x14ac:dyDescent="0.2">
      <c r="A1472" s="4" t="s">
        <v>169</v>
      </c>
      <c r="B1472">
        <v>2013</v>
      </c>
      <c r="C1472" s="14">
        <f>302.1*(2/3*10)</f>
        <v>2014</v>
      </c>
      <c r="D1472" s="14">
        <f>29.6*(2/3*10)</f>
        <v>197.33333333333331</v>
      </c>
      <c r="E1472" s="14">
        <f>804.6*(2/3*10)</f>
        <v>5364</v>
      </c>
      <c r="F1472" s="14">
        <f>49*(2/3*10)</f>
        <v>326.66666666666663</v>
      </c>
      <c r="G1472" s="14">
        <f>77.1*(2/3*10)</f>
        <v>514</v>
      </c>
      <c r="H1472" s="14">
        <f>20.3*(2/3*10)</f>
        <v>135.33333333333331</v>
      </c>
      <c r="I1472" s="14">
        <f>160.6*(2/3*10)</f>
        <v>1070.6666666666665</v>
      </c>
      <c r="K1472">
        <v>1469</v>
      </c>
      <c r="L1472">
        <f t="shared" ref="L1472:L1535" si="23">MOD(K1472,8)</f>
        <v>5</v>
      </c>
    </row>
    <row r="1473" spans="1:12" ht="16.5" x14ac:dyDescent="0.2">
      <c r="A1473" s="4" t="s">
        <v>169</v>
      </c>
      <c r="B1473">
        <v>2014</v>
      </c>
      <c r="C1473" s="14">
        <f>301.9*(2/3*10)</f>
        <v>2012.6666666666663</v>
      </c>
      <c r="D1473" s="14">
        <f>29.3*(2/3*10)</f>
        <v>195.33333333333331</v>
      </c>
      <c r="E1473" s="14">
        <f>800.2*(2/3*10)</f>
        <v>5334.6666666666661</v>
      </c>
      <c r="F1473" s="14">
        <f>48.7*(2/3*10)</f>
        <v>324.66666666666663</v>
      </c>
      <c r="G1473" s="14">
        <f>81.5*(2/3*10)</f>
        <v>543.33333333333326</v>
      </c>
      <c r="H1473" s="14">
        <f>21.5*(2/3*10)</f>
        <v>143.33333333333331</v>
      </c>
      <c r="I1473" s="14">
        <f>160.1*(2/3*10)</f>
        <v>1067.3333333333333</v>
      </c>
      <c r="K1473" s="15">
        <v>1470</v>
      </c>
      <c r="L1473">
        <f t="shared" si="23"/>
        <v>6</v>
      </c>
    </row>
    <row r="1474" spans="1:12" ht="16.5" x14ac:dyDescent="0.2">
      <c r="A1474" s="4" t="s">
        <v>169</v>
      </c>
      <c r="B1474">
        <v>2015</v>
      </c>
      <c r="C1474" s="14">
        <f>302.5*(2/3*10)</f>
        <v>2016.6666666666665</v>
      </c>
      <c r="D1474" s="14">
        <f>29.2*(2/3*10)</f>
        <v>194.66666666666666</v>
      </c>
      <c r="E1474" s="14">
        <f>798.1*(2/3*10)</f>
        <v>5320.6666666666661</v>
      </c>
      <c r="F1474" s="14">
        <f>48.5*(2/3*10)</f>
        <v>323.33333333333331</v>
      </c>
      <c r="G1474" s="14">
        <f>82.9*(2/3*10)</f>
        <v>552.66666666666663</v>
      </c>
      <c r="H1474" s="14">
        <f>21.7*(2/3*10)</f>
        <v>144.66666666666666</v>
      </c>
      <c r="I1474" s="14">
        <f>160.2*(2/3*10)</f>
        <v>1067.9999999999998</v>
      </c>
      <c r="K1474">
        <v>1471</v>
      </c>
      <c r="L1474">
        <f t="shared" si="23"/>
        <v>7</v>
      </c>
    </row>
    <row r="1475" spans="1:12" ht="16.5" x14ac:dyDescent="0.2">
      <c r="A1475" s="4" t="s">
        <v>169</v>
      </c>
      <c r="B1475">
        <v>2016</v>
      </c>
      <c r="C1475" s="14">
        <f>302.1*(2/3*10)</f>
        <v>2014</v>
      </c>
      <c r="D1475" s="14">
        <f>29.1*(2/3*10)</f>
        <v>194</v>
      </c>
      <c r="E1475" s="14">
        <f>797.4*(2/3*10)</f>
        <v>5315.9999999999991</v>
      </c>
      <c r="F1475" s="14">
        <f>48.5*(2/3*10)</f>
        <v>323.33333333333331</v>
      </c>
      <c r="G1475" s="14">
        <f>84.1*(2/3*10)</f>
        <v>560.66666666666663</v>
      </c>
      <c r="H1475" s="14">
        <f>21.8*(2/3*10)</f>
        <v>145.33333333333331</v>
      </c>
      <c r="I1475" s="14">
        <f>160.1*(2/3*10)</f>
        <v>1067.3333333333333</v>
      </c>
      <c r="K1475">
        <v>1472</v>
      </c>
      <c r="L1475">
        <f t="shared" si="23"/>
        <v>0</v>
      </c>
    </row>
    <row r="1476" spans="1:12" ht="16.5" x14ac:dyDescent="0.2">
      <c r="A1476" s="4" t="s">
        <v>168</v>
      </c>
      <c r="B1476">
        <v>2009</v>
      </c>
      <c r="C1476" s="14">
        <f>383.5*(2/3*10)</f>
        <v>2556.6666666666665</v>
      </c>
      <c r="D1476" s="14">
        <f>21.5*(2/3*10)</f>
        <v>143.33333333333331</v>
      </c>
      <c r="E1476" s="14">
        <f>756.2*(2/3*10)</f>
        <v>5041.333333333333</v>
      </c>
      <c r="F1476" s="14">
        <f>35.3*(2/3*10)</f>
        <v>235.33333333333329</v>
      </c>
      <c r="G1476" s="14">
        <f>83.3*(2/3*10)</f>
        <v>555.33333333333314</v>
      </c>
      <c r="H1476" s="14">
        <f>18.3*(2/3*10)</f>
        <v>122</v>
      </c>
      <c r="I1476" s="14">
        <f>111.8*(2/3*10)</f>
        <v>745.33333333333326</v>
      </c>
      <c r="K1476" s="15">
        <v>1473</v>
      </c>
      <c r="L1476">
        <f t="shared" si="23"/>
        <v>1</v>
      </c>
    </row>
    <row r="1477" spans="1:12" ht="16.5" x14ac:dyDescent="0.2">
      <c r="A1477" s="4" t="s">
        <v>168</v>
      </c>
      <c r="B1477">
        <v>2010</v>
      </c>
      <c r="C1477" s="14">
        <f>382.7*(2/3*10)</f>
        <v>2551.333333333333</v>
      </c>
      <c r="D1477" s="14">
        <f>21.3*(2/3*10)</f>
        <v>142</v>
      </c>
      <c r="E1477" s="14">
        <f>755.6*(2/3*10)</f>
        <v>5037.333333333333</v>
      </c>
      <c r="F1477" s="14">
        <f>35.2*(2/3*10)</f>
        <v>234.66666666666666</v>
      </c>
      <c r="G1477" s="14">
        <f>84.7*(2/3*10)</f>
        <v>564.66666666666663</v>
      </c>
      <c r="H1477" s="14">
        <f>18.4*(2/3*10)</f>
        <v>122.66666666666664</v>
      </c>
      <c r="I1477" s="14">
        <f>111.6*(2/3*10)</f>
        <v>743.99999999999989</v>
      </c>
      <c r="K1477">
        <v>1474</v>
      </c>
      <c r="L1477">
        <f t="shared" si="23"/>
        <v>2</v>
      </c>
    </row>
    <row r="1478" spans="1:12" ht="16.5" x14ac:dyDescent="0.2">
      <c r="A1478" s="4" t="s">
        <v>168</v>
      </c>
      <c r="B1478">
        <v>2011</v>
      </c>
      <c r="C1478" s="14">
        <f>382.5*(2/3*10)</f>
        <v>2550</v>
      </c>
      <c r="D1478" s="14">
        <f>21.4*(2/3*10)</f>
        <v>142.66666666666666</v>
      </c>
      <c r="E1478" s="14">
        <f>755*(2/3*10)</f>
        <v>5033.333333333333</v>
      </c>
      <c r="F1478" s="14">
        <f>35*(2/3*10)</f>
        <v>233.33333333333331</v>
      </c>
      <c r="G1478" s="14">
        <f>85.8*(2/3*10)</f>
        <v>571.99999999999989</v>
      </c>
      <c r="H1478" s="14">
        <f>18.5*(2/3*10)</f>
        <v>123.33333333333333</v>
      </c>
      <c r="I1478" s="14">
        <f>111.5*(2/3*10)</f>
        <v>743.33333333333326</v>
      </c>
      <c r="K1478" s="15">
        <v>1475</v>
      </c>
      <c r="L1478">
        <f t="shared" si="23"/>
        <v>3</v>
      </c>
    </row>
    <row r="1479" spans="1:12" ht="16.5" x14ac:dyDescent="0.2">
      <c r="A1479" s="4" t="s">
        <v>168</v>
      </c>
      <c r="B1479">
        <v>2012</v>
      </c>
      <c r="C1479" s="14">
        <f>382*(2/3*10)</f>
        <v>2546.6666666666665</v>
      </c>
      <c r="D1479" s="14">
        <f>21.4*(2/3*10)</f>
        <v>142.66666666666666</v>
      </c>
      <c r="E1479" s="14">
        <f>754.6*(2/3*10)</f>
        <v>5030.6666666666661</v>
      </c>
      <c r="F1479" s="14">
        <f>34.9*(2/3*10)</f>
        <v>232.66666666666663</v>
      </c>
      <c r="G1479" s="14">
        <f>86.9*(2/3*10)</f>
        <v>579.33333333333337</v>
      </c>
      <c r="H1479" s="14">
        <f>18.5*(2/3*10)</f>
        <v>123.33333333333333</v>
      </c>
      <c r="I1479" s="14">
        <f>111.3*(2/3*10)</f>
        <v>741.99999999999989</v>
      </c>
      <c r="K1479">
        <v>1476</v>
      </c>
      <c r="L1479">
        <f t="shared" si="23"/>
        <v>4</v>
      </c>
    </row>
    <row r="1480" spans="1:12" ht="16.5" x14ac:dyDescent="0.2">
      <c r="A1480" s="4" t="s">
        <v>168</v>
      </c>
      <c r="B1480">
        <v>2013</v>
      </c>
      <c r="C1480" s="14">
        <f>381.2*(2/3*10)</f>
        <v>2541.333333333333</v>
      </c>
      <c r="D1480" s="14">
        <f>21.3*(2/3*10)</f>
        <v>142</v>
      </c>
      <c r="E1480" s="14">
        <f>753.9*(2/3*10)</f>
        <v>5025.9999999999991</v>
      </c>
      <c r="F1480" s="14">
        <f>34.8*(2/3*10)</f>
        <v>231.99999999999997</v>
      </c>
      <c r="G1480" s="14">
        <f>87.9*(2/3*10)</f>
        <v>585.99999999999989</v>
      </c>
      <c r="H1480" s="14">
        <f>19.2*(2/3*10)</f>
        <v>127.99999999999999</v>
      </c>
      <c r="I1480" s="14">
        <f>111.1*(2/3*10)</f>
        <v>740.66666666666652</v>
      </c>
      <c r="K1480">
        <v>1477</v>
      </c>
      <c r="L1480">
        <f t="shared" si="23"/>
        <v>5</v>
      </c>
    </row>
    <row r="1481" spans="1:12" ht="16.5" x14ac:dyDescent="0.2">
      <c r="A1481" s="4" t="s">
        <v>168</v>
      </c>
      <c r="B1481">
        <v>2014</v>
      </c>
      <c r="C1481" s="14">
        <f>380.4*(2/3*10)</f>
        <v>2535.9999999999995</v>
      </c>
      <c r="D1481" s="14">
        <f>21.3*(2/3*10)</f>
        <v>142</v>
      </c>
      <c r="E1481" s="14">
        <f>753.6*(2/3*10)</f>
        <v>5024</v>
      </c>
      <c r="F1481" s="14">
        <f>34.7*(2/3*10)</f>
        <v>231.33333333333334</v>
      </c>
      <c r="G1481" s="14">
        <f>88.9*(2/3*10)</f>
        <v>592.66666666666652</v>
      </c>
      <c r="H1481" s="14">
        <f>19.3*(2/3*10)</f>
        <v>128.66666666666666</v>
      </c>
      <c r="I1481" s="14">
        <f>111*(2/3*10)</f>
        <v>739.99999999999989</v>
      </c>
      <c r="K1481" s="15">
        <v>1478</v>
      </c>
      <c r="L1481">
        <f t="shared" si="23"/>
        <v>6</v>
      </c>
    </row>
    <row r="1482" spans="1:12" ht="16.5" x14ac:dyDescent="0.2">
      <c r="A1482" s="4" t="s">
        <v>168</v>
      </c>
      <c r="B1482">
        <v>2015</v>
      </c>
      <c r="C1482" s="14">
        <f>379.9*(2/3*10)</f>
        <v>2532.6666666666665</v>
      </c>
      <c r="D1482" s="14">
        <f>21.3*(2/3*10)</f>
        <v>142</v>
      </c>
      <c r="E1482" s="14">
        <f>753.3*(2/3*10)</f>
        <v>5021.9999999999991</v>
      </c>
      <c r="F1482" s="14">
        <f>34.6*(2/3*10)</f>
        <v>230.66666666666666</v>
      </c>
      <c r="G1482" s="14">
        <f>89.5*(2/3*10)</f>
        <v>596.66666666666663</v>
      </c>
      <c r="H1482" s="14">
        <f>19.5*(2/3*10)</f>
        <v>130</v>
      </c>
      <c r="I1482" s="14">
        <f>110.9*(2/3*10)</f>
        <v>739.33333333333326</v>
      </c>
      <c r="K1482">
        <v>1479</v>
      </c>
      <c r="L1482">
        <f t="shared" si="23"/>
        <v>7</v>
      </c>
    </row>
    <row r="1483" spans="1:12" ht="16.5" x14ac:dyDescent="0.2">
      <c r="A1483" s="4" t="s">
        <v>168</v>
      </c>
      <c r="B1483">
        <v>2016</v>
      </c>
      <c r="C1483" s="14">
        <f>380.6*(2/3*10)</f>
        <v>2537.3333333333335</v>
      </c>
      <c r="D1483" s="14">
        <f>21.2*(2/3*10)</f>
        <v>141.33333333333331</v>
      </c>
      <c r="E1483" s="14">
        <f>751.8*(2/3*10)</f>
        <v>5011.9999999999991</v>
      </c>
      <c r="F1483" s="14">
        <f>34.6*(2/3*10)</f>
        <v>230.66666666666666</v>
      </c>
      <c r="G1483" s="14">
        <f>90.1*(2/3*10)</f>
        <v>600.66666666666663</v>
      </c>
      <c r="H1483" s="14">
        <f>20*(2/3*10)</f>
        <v>133.33333333333331</v>
      </c>
      <c r="I1483" s="14">
        <f>110.7*(2/3*10)</f>
        <v>738</v>
      </c>
      <c r="K1483" s="15">
        <v>1480</v>
      </c>
      <c r="L1483">
        <f t="shared" si="23"/>
        <v>0</v>
      </c>
    </row>
    <row r="1484" spans="1:12" ht="16.5" x14ac:dyDescent="0.2">
      <c r="A1484" s="4" t="s">
        <v>167</v>
      </c>
      <c r="B1484">
        <v>2009</v>
      </c>
      <c r="C1484" s="14">
        <f>679.7*(2/3*10)</f>
        <v>4531.333333333333</v>
      </c>
      <c r="D1484" s="14">
        <f>84.2*(2/3*10)</f>
        <v>561.33333333333326</v>
      </c>
      <c r="E1484" s="14">
        <f>2495.3*(2/3*10)</f>
        <v>16635.333333333332</v>
      </c>
      <c r="F1484" s="14">
        <f>60.2*(2/3*10)</f>
        <v>401.33333333333331</v>
      </c>
      <c r="G1484" s="14">
        <f>109.1*(2/3*10)</f>
        <v>727.33333333333326</v>
      </c>
      <c r="H1484" s="14">
        <f>30.7*(2/3*10)</f>
        <v>204.66666666666666</v>
      </c>
      <c r="I1484" s="14">
        <f>59*(2/3*10)</f>
        <v>393.33333333333331</v>
      </c>
      <c r="K1484">
        <v>1481</v>
      </c>
      <c r="L1484">
        <f t="shared" si="23"/>
        <v>1</v>
      </c>
    </row>
    <row r="1485" spans="1:12" ht="16.5" x14ac:dyDescent="0.2">
      <c r="A1485" s="4" t="s">
        <v>167</v>
      </c>
      <c r="B1485">
        <v>2010</v>
      </c>
      <c r="C1485" s="14">
        <f>679.8*(2/3*10)</f>
        <v>4531.9999999999991</v>
      </c>
      <c r="D1485" s="14">
        <f>83.9*(2/3*10)</f>
        <v>559.33333333333337</v>
      </c>
      <c r="E1485" s="14">
        <f>2494.3*(2/3*10)</f>
        <v>16628.666666666668</v>
      </c>
      <c r="F1485" s="14">
        <f>60.1*(2/3*10)</f>
        <v>400.66666666666663</v>
      </c>
      <c r="G1485" s="14">
        <f>109.5*(2/3*10)</f>
        <v>729.99999999999989</v>
      </c>
      <c r="H1485" s="14">
        <f>30.9*(2/3*10)</f>
        <v>205.99999999999997</v>
      </c>
      <c r="I1485" s="14">
        <f>59.4*(2/3*10)</f>
        <v>395.99999999999994</v>
      </c>
      <c r="K1485">
        <v>1482</v>
      </c>
      <c r="L1485">
        <f t="shared" si="23"/>
        <v>2</v>
      </c>
    </row>
    <row r="1486" spans="1:12" ht="16.5" x14ac:dyDescent="0.2">
      <c r="A1486" s="4" t="s">
        <v>167</v>
      </c>
      <c r="B1486">
        <v>2011</v>
      </c>
      <c r="C1486" s="14">
        <f>680.8*(2/3*10)</f>
        <v>4538.6666666666661</v>
      </c>
      <c r="D1486" s="14">
        <f>83.8*(2/3*10)</f>
        <v>558.66666666666663</v>
      </c>
      <c r="E1486" s="14">
        <f>2492.7*(2/3*10)</f>
        <v>16617.999999999996</v>
      </c>
      <c r="F1486" s="14">
        <f>60*(2/3*10)</f>
        <v>399.99999999999994</v>
      </c>
      <c r="G1486" s="14">
        <f>110.2*(2/3*10)</f>
        <v>734.66666666666652</v>
      </c>
      <c r="H1486" s="14">
        <f>30.9*(2/3*10)</f>
        <v>205.99999999999997</v>
      </c>
      <c r="I1486" s="14">
        <f>59.3*(2/3*10)</f>
        <v>395.33333333333326</v>
      </c>
      <c r="K1486" s="15">
        <v>1483</v>
      </c>
      <c r="L1486">
        <f t="shared" si="23"/>
        <v>3</v>
      </c>
    </row>
    <row r="1487" spans="1:12" ht="16.5" x14ac:dyDescent="0.2">
      <c r="A1487" s="4" t="s">
        <v>167</v>
      </c>
      <c r="B1487">
        <v>2012</v>
      </c>
      <c r="C1487" s="14">
        <f>681.1*(2/3*10)</f>
        <v>4540.6666666666661</v>
      </c>
      <c r="D1487" s="14">
        <f>83.3*(2/3*10)</f>
        <v>555.33333333333326</v>
      </c>
      <c r="E1487" s="14">
        <f>2490.9*(2/3*10)</f>
        <v>16606</v>
      </c>
      <c r="F1487" s="14">
        <f>59.5*(2/3*10)</f>
        <v>396.66666666666663</v>
      </c>
      <c r="G1487" s="14">
        <f>111.2*(2/3*10)</f>
        <v>741.33333333333326</v>
      </c>
      <c r="H1487" s="14">
        <f>32.3*(2/3*10)</f>
        <v>215.33333333333329</v>
      </c>
      <c r="I1487" s="14">
        <f>59.4*(2/3*10)</f>
        <v>395.99999999999994</v>
      </c>
      <c r="K1487">
        <v>1484</v>
      </c>
      <c r="L1487">
        <f t="shared" si="23"/>
        <v>4</v>
      </c>
    </row>
    <row r="1488" spans="1:12" ht="16.5" x14ac:dyDescent="0.2">
      <c r="A1488" s="4" t="s">
        <v>167</v>
      </c>
      <c r="B1488">
        <v>2013</v>
      </c>
      <c r="C1488" s="14">
        <f>680.3*(2/3*10)</f>
        <v>4535.333333333333</v>
      </c>
      <c r="D1488" s="14">
        <f>83.2*(2/3*10)</f>
        <v>554.66666666666663</v>
      </c>
      <c r="E1488" s="14">
        <f>2490.2*(2/3*10)</f>
        <v>16601.333333333332</v>
      </c>
      <c r="F1488" s="14">
        <f>59.4*(2/3*10)</f>
        <v>395.99999999999994</v>
      </c>
      <c r="G1488" s="14">
        <f>112.8*(2/3*10)</f>
        <v>751.99999999999989</v>
      </c>
      <c r="H1488" s="14">
        <f>32.6*(2/3*10)</f>
        <v>217.33333333333331</v>
      </c>
      <c r="I1488" s="14">
        <f>59.3*(2/3*10)</f>
        <v>395.33333333333326</v>
      </c>
      <c r="K1488" s="15">
        <v>1485</v>
      </c>
      <c r="L1488">
        <f t="shared" si="23"/>
        <v>5</v>
      </c>
    </row>
    <row r="1489" spans="1:12" ht="16.5" x14ac:dyDescent="0.2">
      <c r="A1489" s="4" t="s">
        <v>167</v>
      </c>
      <c r="B1489">
        <v>2014</v>
      </c>
      <c r="C1489" s="14">
        <f>679.6*(2/3*10)</f>
        <v>4530.6666666666661</v>
      </c>
      <c r="D1489" s="14">
        <f>82.9*(2/3*10)</f>
        <v>552.66666666666663</v>
      </c>
      <c r="E1489" s="14">
        <f>2489*(2/3*10)</f>
        <v>16593.333333333332</v>
      </c>
      <c r="F1489" s="14">
        <f>59.1*(2/3*10)</f>
        <v>394</v>
      </c>
      <c r="G1489" s="14">
        <f>115*(2/3*10)</f>
        <v>766.66666666666663</v>
      </c>
      <c r="H1489" s="14">
        <f>32.8*(2/3*10)</f>
        <v>218.66666666666663</v>
      </c>
      <c r="I1489" s="14">
        <f>59.3*(2/3*10)</f>
        <v>395.33333333333326</v>
      </c>
      <c r="K1489">
        <v>1486</v>
      </c>
      <c r="L1489">
        <f t="shared" si="23"/>
        <v>6</v>
      </c>
    </row>
    <row r="1490" spans="1:12" ht="16.5" x14ac:dyDescent="0.2">
      <c r="A1490" s="4" t="s">
        <v>167</v>
      </c>
      <c r="B1490">
        <v>2015</v>
      </c>
      <c r="C1490" s="14">
        <f>679.3*(2/3*10)</f>
        <v>4528.6666666666661</v>
      </c>
      <c r="D1490" s="14">
        <f>82.8*(2/3*10)</f>
        <v>551.99999999999989</v>
      </c>
      <c r="E1490" s="14">
        <f>2488.7*(2/3*10)</f>
        <v>16591.333333333332</v>
      </c>
      <c r="F1490" s="14">
        <f>58.9*(2/3*10)</f>
        <v>392.66666666666663</v>
      </c>
      <c r="G1490" s="14">
        <f>115.8*(2/3*10)</f>
        <v>771.99999999999989</v>
      </c>
      <c r="H1490" s="14">
        <f>33*(2/3*10)</f>
        <v>219.99999999999997</v>
      </c>
      <c r="I1490" s="14">
        <f>59.3*(2/3*10)</f>
        <v>395.33333333333326</v>
      </c>
      <c r="K1490">
        <v>1487</v>
      </c>
      <c r="L1490">
        <f t="shared" si="23"/>
        <v>7</v>
      </c>
    </row>
    <row r="1491" spans="1:12" ht="16.5" x14ac:dyDescent="0.2">
      <c r="A1491" s="4" t="s">
        <v>167</v>
      </c>
      <c r="B1491">
        <v>2016</v>
      </c>
      <c r="C1491" s="14">
        <f>678.9*(2/3*10)</f>
        <v>4525.9999999999991</v>
      </c>
      <c r="D1491" s="14">
        <f>82.7*(2/3*10)</f>
        <v>551.33333333333326</v>
      </c>
      <c r="E1491" s="14">
        <f>2488.1*(2/3*10)</f>
        <v>16587.333333333332</v>
      </c>
      <c r="F1491" s="14">
        <f>58.9*(2/3*10)</f>
        <v>392.66666666666663</v>
      </c>
      <c r="G1491" s="14">
        <f>116.3*(2/3*10)</f>
        <v>775.33333333333326</v>
      </c>
      <c r="H1491" s="14">
        <f>33.6*(2/3*10)</f>
        <v>224</v>
      </c>
      <c r="I1491" s="14">
        <f>59.3*(2/3*10)</f>
        <v>395.33333333333326</v>
      </c>
      <c r="K1491" s="15">
        <v>1488</v>
      </c>
      <c r="L1491">
        <f t="shared" si="23"/>
        <v>0</v>
      </c>
    </row>
    <row r="1492" spans="1:12" ht="16.5" x14ac:dyDescent="0.2">
      <c r="A1492" s="4" t="s">
        <v>166</v>
      </c>
      <c r="B1492">
        <v>2009</v>
      </c>
      <c r="C1492" s="14">
        <f>426.4*(2/3*10)</f>
        <v>2842.6666666666661</v>
      </c>
      <c r="D1492" s="14">
        <f>18.3*(2/3*10)</f>
        <v>122</v>
      </c>
      <c r="E1492" s="14">
        <f>914.4*(2/3*10)</f>
        <v>6095.9999999999991</v>
      </c>
      <c r="F1492" s="14">
        <f>9.5*(2/3*10)</f>
        <v>63.333333333333329</v>
      </c>
      <c r="G1492" s="14">
        <f>207.8*(2/3*10)</f>
        <v>1385.3333333333333</v>
      </c>
      <c r="H1492" s="14">
        <f>39.5*(2/3*10)</f>
        <v>263.33333333333331</v>
      </c>
      <c r="I1492" s="14">
        <f>118.6*(2/3*10)</f>
        <v>790.66666666666652</v>
      </c>
      <c r="K1492">
        <v>1489</v>
      </c>
      <c r="L1492">
        <f t="shared" si="23"/>
        <v>1</v>
      </c>
    </row>
    <row r="1493" spans="1:12" ht="16.5" x14ac:dyDescent="0.2">
      <c r="A1493" s="4" t="s">
        <v>166</v>
      </c>
      <c r="B1493">
        <v>2010</v>
      </c>
      <c r="C1493" s="14">
        <f>424.1*(2/3*10)</f>
        <v>2827.333333333333</v>
      </c>
      <c r="D1493" s="14">
        <f>18*(2/3*10)</f>
        <v>119.99999999999999</v>
      </c>
      <c r="E1493" s="14">
        <f>909*(2/3*10)</f>
        <v>6059.9999999999991</v>
      </c>
      <c r="F1493" s="14">
        <f>9.4*(2/3*10)</f>
        <v>62.666666666666664</v>
      </c>
      <c r="G1493" s="14">
        <f>213.8*(2/3*10)</f>
        <v>1425.333333333333</v>
      </c>
      <c r="H1493" s="14">
        <f>43.1*(2/3*10)</f>
        <v>287.33333333333331</v>
      </c>
      <c r="I1493" s="14">
        <f>118*(2/3*10)</f>
        <v>786.66666666666663</v>
      </c>
      <c r="K1493" s="15">
        <v>1490</v>
      </c>
      <c r="L1493">
        <f t="shared" si="23"/>
        <v>2</v>
      </c>
    </row>
    <row r="1494" spans="1:12" ht="16.5" x14ac:dyDescent="0.2">
      <c r="A1494" s="4" t="s">
        <v>166</v>
      </c>
      <c r="B1494">
        <v>2011</v>
      </c>
      <c r="C1494" s="14">
        <f>422.1*(2/3*10)</f>
        <v>2814</v>
      </c>
      <c r="D1494" s="14">
        <f>17.9*(2/3*10)</f>
        <v>119.33333333333331</v>
      </c>
      <c r="E1494" s="14">
        <f>905.8*(2/3*10)</f>
        <v>6038.6666666666661</v>
      </c>
      <c r="F1494" s="14">
        <f>9.2*(2/3*10)</f>
        <v>61.333333333333321</v>
      </c>
      <c r="G1494" s="14">
        <f>219.2*(2/3*10)</f>
        <v>1461.3333333333333</v>
      </c>
      <c r="H1494" s="14">
        <f>44.5*(2/3*10)</f>
        <v>296.66666666666663</v>
      </c>
      <c r="I1494" s="14">
        <f>117.2*(2/3*10)</f>
        <v>781.33333333333326</v>
      </c>
      <c r="K1494">
        <v>1491</v>
      </c>
      <c r="L1494">
        <f t="shared" si="23"/>
        <v>3</v>
      </c>
    </row>
    <row r="1495" spans="1:12" ht="16.5" x14ac:dyDescent="0.2">
      <c r="A1495" s="4" t="s">
        <v>166</v>
      </c>
      <c r="B1495">
        <v>2012</v>
      </c>
      <c r="C1495" s="14">
        <f>420.4*(2/3*10)</f>
        <v>2802.6666666666661</v>
      </c>
      <c r="D1495" s="14">
        <f>17.7*(2/3*10)</f>
        <v>117.99999999999999</v>
      </c>
      <c r="E1495" s="14">
        <f>904*(2/3*10)</f>
        <v>6026.6666666666661</v>
      </c>
      <c r="F1495" s="14">
        <f>9.2*(2/3*10)</f>
        <v>61.333333333333321</v>
      </c>
      <c r="G1495" s="14">
        <f>223.3*(2/3*10)</f>
        <v>1488.6666666666665</v>
      </c>
      <c r="H1495" s="14">
        <f>45*(2/3*10)</f>
        <v>300</v>
      </c>
      <c r="I1495" s="14">
        <f>116.7*(2/3*10)</f>
        <v>778</v>
      </c>
      <c r="K1495">
        <v>1492</v>
      </c>
      <c r="L1495">
        <f t="shared" si="23"/>
        <v>4</v>
      </c>
    </row>
    <row r="1496" spans="1:12" ht="16.5" x14ac:dyDescent="0.2">
      <c r="A1496" s="4" t="s">
        <v>166</v>
      </c>
      <c r="B1496">
        <v>2013</v>
      </c>
      <c r="C1496" s="14">
        <f>418.2*(2/3*10)</f>
        <v>2787.9999999999995</v>
      </c>
      <c r="D1496" s="14">
        <f>17.4*(2/3*10)</f>
        <v>115.99999999999999</v>
      </c>
      <c r="E1496" s="14">
        <f>900.6*(2/3*10)</f>
        <v>6004</v>
      </c>
      <c r="F1496" s="14">
        <f>9.1*(2/3*10)</f>
        <v>60.666666666666657</v>
      </c>
      <c r="G1496" s="14">
        <f>229.8*(2/3*10)</f>
        <v>1532</v>
      </c>
      <c r="H1496" s="14">
        <f>45.4*(2/3*10)</f>
        <v>302.66666666666663</v>
      </c>
      <c r="I1496" s="14">
        <f>116*(2/3*10)</f>
        <v>773.33333333333326</v>
      </c>
      <c r="K1496" s="15">
        <v>1493</v>
      </c>
      <c r="L1496">
        <f t="shared" si="23"/>
        <v>5</v>
      </c>
    </row>
    <row r="1497" spans="1:12" ht="16.5" x14ac:dyDescent="0.2">
      <c r="A1497" s="4" t="s">
        <v>166</v>
      </c>
      <c r="B1497">
        <v>2014</v>
      </c>
      <c r="C1497" s="14">
        <f>416.5*(2/3*10)</f>
        <v>2776.6666666666665</v>
      </c>
      <c r="D1497" s="14">
        <f>17.3*(2/3*10)</f>
        <v>115.33333333333333</v>
      </c>
      <c r="E1497" s="14">
        <f>897.6*(2/3*10)</f>
        <v>5984</v>
      </c>
      <c r="F1497" s="14">
        <f>9*(2/3*10)</f>
        <v>59.999999999999993</v>
      </c>
      <c r="G1497" s="14">
        <f>234.6*(2/3*10)</f>
        <v>1563.9999999999995</v>
      </c>
      <c r="H1497" s="14">
        <f>46.3*(2/3*10)</f>
        <v>308.66666666666663</v>
      </c>
      <c r="I1497" s="14">
        <f>115.5*(2/3*10)</f>
        <v>769.99999999999989</v>
      </c>
      <c r="K1497">
        <v>1494</v>
      </c>
      <c r="L1497">
        <f t="shared" si="23"/>
        <v>6</v>
      </c>
    </row>
    <row r="1498" spans="1:12" ht="16.5" x14ac:dyDescent="0.2">
      <c r="A1498" s="4" t="s">
        <v>166</v>
      </c>
      <c r="B1498">
        <v>2015</v>
      </c>
      <c r="C1498" s="14">
        <f>414.7*(2/3*10)</f>
        <v>2764.6666666666665</v>
      </c>
      <c r="D1498" s="14">
        <f>17.3*(2/3*10)</f>
        <v>115.33333333333333</v>
      </c>
      <c r="E1498" s="14">
        <f>895.4*(2/3*10)</f>
        <v>5969.333333333333</v>
      </c>
      <c r="F1498" s="14">
        <f>8.9*(2/3*10)</f>
        <v>59.333333333333329</v>
      </c>
      <c r="G1498" s="14">
        <f>238.4*(2/3*10)</f>
        <v>1589.3333333333335</v>
      </c>
      <c r="H1498" s="14">
        <f>47.2*(2/3*10)</f>
        <v>314.66666666666669</v>
      </c>
      <c r="I1498" s="14">
        <f>115*(2/3*10)</f>
        <v>766.66666666666663</v>
      </c>
      <c r="K1498" s="15">
        <v>1495</v>
      </c>
      <c r="L1498">
        <f t="shared" si="23"/>
        <v>7</v>
      </c>
    </row>
    <row r="1499" spans="1:12" ht="16.5" x14ac:dyDescent="0.2">
      <c r="A1499" s="4" t="s">
        <v>166</v>
      </c>
      <c r="B1499">
        <v>2016</v>
      </c>
      <c r="C1499" s="14">
        <f>412.7*(2/3*10)</f>
        <v>2751.333333333333</v>
      </c>
      <c r="D1499" s="14">
        <f>17.1*(2/3*10)</f>
        <v>114</v>
      </c>
      <c r="E1499" s="14">
        <f>893.6*(2/3*10)</f>
        <v>5957.333333333333</v>
      </c>
      <c r="F1499" s="14">
        <f>8.8*(2/3*10)</f>
        <v>58.666666666666664</v>
      </c>
      <c r="G1499" s="14">
        <f>241.8*(2/3*10)</f>
        <v>1612</v>
      </c>
      <c r="H1499" s="14">
        <f>48.1*(2/3*10)</f>
        <v>320.66666666666663</v>
      </c>
      <c r="I1499" s="14">
        <f>114.6*(2/3*10)</f>
        <v>763.99999999999989</v>
      </c>
      <c r="K1499">
        <v>1496</v>
      </c>
      <c r="L1499">
        <f t="shared" si="23"/>
        <v>0</v>
      </c>
    </row>
    <row r="1500" spans="1:12" ht="16.5" x14ac:dyDescent="0.2">
      <c r="A1500" s="4" t="s">
        <v>165</v>
      </c>
      <c r="B1500">
        <v>2009</v>
      </c>
      <c r="C1500" s="14">
        <f>311.9*(2/3*10)</f>
        <v>2079.333333333333</v>
      </c>
      <c r="D1500" s="14">
        <f>12.2*(2/3*10)</f>
        <v>81.333333333333314</v>
      </c>
      <c r="E1500" s="14">
        <f>1040.2*(2/3*10)</f>
        <v>6934.6666666666661</v>
      </c>
      <c r="F1500" s="14">
        <f>42.6*(2/3*10)</f>
        <v>284</v>
      </c>
      <c r="G1500" s="14">
        <f>125.5*(2/3*10)</f>
        <v>836.66666666666663</v>
      </c>
      <c r="H1500" s="14">
        <f>27.7*(2/3*10)</f>
        <v>184.66666666666666</v>
      </c>
      <c r="I1500" s="14">
        <f>90.2*(2/3*10)</f>
        <v>601.33333333333326</v>
      </c>
      <c r="K1500">
        <v>1497</v>
      </c>
      <c r="L1500">
        <f t="shared" si="23"/>
        <v>1</v>
      </c>
    </row>
    <row r="1501" spans="1:12" ht="16.5" x14ac:dyDescent="0.2">
      <c r="A1501" s="4" t="s">
        <v>165</v>
      </c>
      <c r="B1501">
        <v>2010</v>
      </c>
      <c r="C1501" s="14">
        <f>312.1*(2/3*10)</f>
        <v>2080.6666666666665</v>
      </c>
      <c r="D1501" s="14">
        <f>12.1*(2/3*10)</f>
        <v>80.666666666666657</v>
      </c>
      <c r="E1501" s="14">
        <f>1036.7*(2/3*10)</f>
        <v>6911.333333333333</v>
      </c>
      <c r="F1501" s="14">
        <f>42.2*(2/3*10)</f>
        <v>281.33333333333331</v>
      </c>
      <c r="G1501" s="14">
        <f>128.3*(2/3*10)</f>
        <v>855.33333333333337</v>
      </c>
      <c r="H1501" s="14">
        <f>29.5*(2/3*10)</f>
        <v>196.66666666666666</v>
      </c>
      <c r="I1501" s="14">
        <f>89.9*(2/3*10)</f>
        <v>599.33333333333337</v>
      </c>
      <c r="K1501" s="15">
        <v>1498</v>
      </c>
      <c r="L1501">
        <f t="shared" si="23"/>
        <v>2</v>
      </c>
    </row>
    <row r="1502" spans="1:12" ht="16.5" x14ac:dyDescent="0.2">
      <c r="A1502" s="4" t="s">
        <v>165</v>
      </c>
      <c r="B1502">
        <v>2011</v>
      </c>
      <c r="C1502" s="14">
        <f>311.7*(2/3*10)</f>
        <v>2077.9999999999995</v>
      </c>
      <c r="D1502" s="14">
        <f>11.8*(2/3*10)</f>
        <v>78.666666666666671</v>
      </c>
      <c r="E1502" s="14">
        <f>1034.9*(2/3*10)</f>
        <v>6899.333333333333</v>
      </c>
      <c r="F1502" s="14">
        <f>42*(2/3*10)</f>
        <v>280</v>
      </c>
      <c r="G1502" s="14">
        <f>130.7*(2/3*10)</f>
        <v>871.33333333333337</v>
      </c>
      <c r="H1502" s="14">
        <f>29.8*(2/3*10)</f>
        <v>198.66666666666666</v>
      </c>
      <c r="I1502" s="14">
        <f>89.7*(2/3*10)</f>
        <v>598</v>
      </c>
      <c r="K1502">
        <v>1499</v>
      </c>
      <c r="L1502">
        <f t="shared" si="23"/>
        <v>3</v>
      </c>
    </row>
    <row r="1503" spans="1:12" ht="16.5" x14ac:dyDescent="0.2">
      <c r="A1503" s="4" t="s">
        <v>165</v>
      </c>
      <c r="B1503">
        <v>2012</v>
      </c>
      <c r="C1503" s="14">
        <f>312.9*(2/3*10)</f>
        <v>2085.9999999999995</v>
      </c>
      <c r="D1503" s="14">
        <f>11.6*(2/3*10)</f>
        <v>77.333333333333329</v>
      </c>
      <c r="E1503" s="14">
        <f>1032.6*(2/3*10)</f>
        <v>6883.9999999999991</v>
      </c>
      <c r="F1503" s="14">
        <f>41.6*(2/3*10)</f>
        <v>277.33333333333331</v>
      </c>
      <c r="G1503" s="14">
        <f>132.9*(2/3*10)</f>
        <v>886</v>
      </c>
      <c r="H1503" s="14">
        <f>30.2*(2/3*10)</f>
        <v>201.33333333333331</v>
      </c>
      <c r="I1503" s="14">
        <f>89.4*(2/3*10)</f>
        <v>596</v>
      </c>
      <c r="K1503" s="15">
        <v>1500</v>
      </c>
      <c r="L1503">
        <f t="shared" si="23"/>
        <v>4</v>
      </c>
    </row>
    <row r="1504" spans="1:12" ht="16.5" x14ac:dyDescent="0.2">
      <c r="A1504" s="4" t="s">
        <v>165</v>
      </c>
      <c r="B1504">
        <v>2013</v>
      </c>
      <c r="C1504" s="14">
        <f>313.4*(2/3*10)</f>
        <v>2089.333333333333</v>
      </c>
      <c r="D1504" s="14">
        <f>11.4*(2/3*10)</f>
        <v>76</v>
      </c>
      <c r="E1504" s="14">
        <f>1030.4*(2/3*10)</f>
        <v>6869.333333333333</v>
      </c>
      <c r="F1504" s="14">
        <f>41.3*(2/3*10)</f>
        <v>275.33333333333331</v>
      </c>
      <c r="G1504" s="14">
        <f>134.8*(2/3*10)</f>
        <v>898.66666666666663</v>
      </c>
      <c r="H1504" s="14">
        <f>30.5*(2/3*10)</f>
        <v>203.33333333333331</v>
      </c>
      <c r="I1504" s="14">
        <f>89.2*(2/3*10)</f>
        <v>594.66666666666663</v>
      </c>
      <c r="K1504">
        <v>1501</v>
      </c>
      <c r="L1504">
        <f t="shared" si="23"/>
        <v>5</v>
      </c>
    </row>
    <row r="1505" spans="1:12" ht="16.5" x14ac:dyDescent="0.2">
      <c r="A1505" s="4" t="s">
        <v>165</v>
      </c>
      <c r="B1505">
        <v>2014</v>
      </c>
      <c r="C1505" s="14">
        <f>313.2*(2/3*10)</f>
        <v>2087.9999999999995</v>
      </c>
      <c r="D1505" s="14">
        <f>11.4*(2/3*10)</f>
        <v>76</v>
      </c>
      <c r="E1505" s="14">
        <f>1029.1*(2/3*10)</f>
        <v>6860.6666666666652</v>
      </c>
      <c r="F1505" s="14">
        <f>41.1*(2/3*10)</f>
        <v>274</v>
      </c>
      <c r="G1505" s="14">
        <f>136.6*(2/3*10)</f>
        <v>910.66666666666674</v>
      </c>
      <c r="H1505" s="14">
        <f>30.8*(2/3*10)</f>
        <v>205.33333333333331</v>
      </c>
      <c r="I1505" s="14">
        <f>89.1*(2/3*10)</f>
        <v>593.99999999999989</v>
      </c>
      <c r="K1505">
        <v>1502</v>
      </c>
      <c r="L1505">
        <f t="shared" si="23"/>
        <v>6</v>
      </c>
    </row>
    <row r="1506" spans="1:12" ht="16.5" x14ac:dyDescent="0.2">
      <c r="A1506" s="4" t="s">
        <v>165</v>
      </c>
      <c r="B1506">
        <v>2015</v>
      </c>
      <c r="C1506" s="14">
        <f>313.2*(2/3*10)</f>
        <v>2087.9999999999995</v>
      </c>
      <c r="D1506" s="14">
        <f>11.3*(2/3*10)</f>
        <v>75.333333333333329</v>
      </c>
      <c r="E1506" s="14">
        <f>1028.2*(2/3*10)</f>
        <v>6854.6666666666661</v>
      </c>
      <c r="F1506" s="14">
        <f>40.9*(2/3*10)</f>
        <v>272.66666666666663</v>
      </c>
      <c r="G1506" s="14">
        <f>137.7*(2/3*10)</f>
        <v>917.99999999999989</v>
      </c>
      <c r="H1506" s="14">
        <f>31*(2/3*10)</f>
        <v>206.66666666666666</v>
      </c>
      <c r="I1506" s="14">
        <f>89*(2/3*10)</f>
        <v>593.33333333333326</v>
      </c>
      <c r="K1506" s="15">
        <v>1503</v>
      </c>
      <c r="L1506">
        <f t="shared" si="23"/>
        <v>7</v>
      </c>
    </row>
    <row r="1507" spans="1:12" ht="16.5" x14ac:dyDescent="0.2">
      <c r="A1507" s="4" t="s">
        <v>165</v>
      </c>
      <c r="B1507">
        <v>2016</v>
      </c>
      <c r="C1507" s="14">
        <f>313.1*(2/3*10)</f>
        <v>2087.3333333333335</v>
      </c>
      <c r="D1507" s="14">
        <f>11*(2/3*10)</f>
        <v>73.333333333333329</v>
      </c>
      <c r="E1507" s="14">
        <f>1027*(2/3*10)</f>
        <v>6846.6666666666661</v>
      </c>
      <c r="F1507" s="14">
        <f>40.8*(2/3*10)</f>
        <v>271.99999999999994</v>
      </c>
      <c r="G1507" s="14">
        <f>139.3*(2/3*10)</f>
        <v>928.66666666666652</v>
      </c>
      <c r="H1507" s="14">
        <f>31.5*(2/3*10)</f>
        <v>209.99999999999997</v>
      </c>
      <c r="I1507" s="14">
        <f>88.8*(2/3*10)</f>
        <v>591.99999999999989</v>
      </c>
      <c r="K1507">
        <v>1504</v>
      </c>
      <c r="L1507">
        <f t="shared" si="23"/>
        <v>0</v>
      </c>
    </row>
    <row r="1508" spans="1:12" ht="16.5" x14ac:dyDescent="0.2">
      <c r="A1508" s="4" t="s">
        <v>164</v>
      </c>
      <c r="B1508">
        <v>2009</v>
      </c>
      <c r="C1508" s="14">
        <f>230.1*(2/3*10)</f>
        <v>1533.9999999999998</v>
      </c>
      <c r="D1508" s="14">
        <f>6.3*(2/3*10)</f>
        <v>41.999999999999993</v>
      </c>
      <c r="E1508" s="14">
        <f>304.6*(2/3*10)</f>
        <v>2030.6666666666667</v>
      </c>
      <c r="F1508" s="14">
        <f>9.2*(2/3*10)</f>
        <v>61.333333333333321</v>
      </c>
      <c r="G1508" s="14">
        <f>91.6*(2/3*10)</f>
        <v>610.66666666666663</v>
      </c>
      <c r="H1508" s="14">
        <f>18.2*(2/3*10)</f>
        <v>121.33333333333331</v>
      </c>
      <c r="I1508" s="14">
        <f>70.3*(2/3*10)</f>
        <v>468.66666666666663</v>
      </c>
      <c r="K1508" s="15">
        <v>1505</v>
      </c>
      <c r="L1508">
        <f t="shared" si="23"/>
        <v>1</v>
      </c>
    </row>
    <row r="1509" spans="1:12" ht="16.5" x14ac:dyDescent="0.2">
      <c r="A1509" s="4" t="s">
        <v>164</v>
      </c>
      <c r="B1509">
        <v>2010</v>
      </c>
      <c r="C1509" s="14">
        <f>229.8*(2/3*10)</f>
        <v>1532</v>
      </c>
      <c r="D1509" s="14">
        <f>6.2*(2/3*10)</f>
        <v>41.333333333333329</v>
      </c>
      <c r="E1509" s="14">
        <f>304*(2/3*10)</f>
        <v>2026.6666666666665</v>
      </c>
      <c r="F1509" s="14">
        <f>9.1*(2/3*10)</f>
        <v>60.666666666666657</v>
      </c>
      <c r="G1509" s="14">
        <f>92.7*(2/3*10)</f>
        <v>618</v>
      </c>
      <c r="H1509" s="14">
        <f>18.5*(2/3*10)</f>
        <v>123.33333333333333</v>
      </c>
      <c r="I1509" s="14">
        <f>70.1*(2/3*10)</f>
        <v>467.33333333333326</v>
      </c>
      <c r="K1509">
        <v>1506</v>
      </c>
      <c r="L1509">
        <f t="shared" si="23"/>
        <v>2</v>
      </c>
    </row>
    <row r="1510" spans="1:12" ht="16.5" x14ac:dyDescent="0.2">
      <c r="A1510" s="4" t="s">
        <v>164</v>
      </c>
      <c r="B1510">
        <v>2011</v>
      </c>
      <c r="C1510" s="14">
        <f>229.3*(2/3*10)</f>
        <v>1528.6666666666665</v>
      </c>
      <c r="D1510" s="14">
        <f>6.1*(2/3*10)</f>
        <v>40.666666666666657</v>
      </c>
      <c r="E1510" s="14">
        <f>303*(2/3*10)</f>
        <v>2019.9999999999998</v>
      </c>
      <c r="F1510" s="14">
        <f>9*(2/3*10)</f>
        <v>59.999999999999993</v>
      </c>
      <c r="G1510" s="14">
        <f>93.9*(2/3*10)</f>
        <v>626</v>
      </c>
      <c r="H1510" s="14">
        <f>19.3*(2/3*10)</f>
        <v>128.66666666666666</v>
      </c>
      <c r="I1510" s="14">
        <f>69.8*(2/3*10)</f>
        <v>465.33333333333326</v>
      </c>
      <c r="K1510">
        <v>1507</v>
      </c>
      <c r="L1510">
        <f t="shared" si="23"/>
        <v>3</v>
      </c>
    </row>
    <row r="1511" spans="1:12" ht="16.5" x14ac:dyDescent="0.2">
      <c r="A1511" s="4" t="s">
        <v>164</v>
      </c>
      <c r="B1511">
        <v>2012</v>
      </c>
      <c r="C1511" s="14">
        <f>228.9*(2/3*10)</f>
        <v>1526</v>
      </c>
      <c r="D1511" s="14">
        <f>6.1*(2/3*10)</f>
        <v>40.666666666666657</v>
      </c>
      <c r="E1511" s="14">
        <f>302.3*(2/3*10)</f>
        <v>2015.3333333333333</v>
      </c>
      <c r="F1511" s="14">
        <f>8.9*(2/3*10)</f>
        <v>59.333333333333329</v>
      </c>
      <c r="G1511" s="14">
        <f>95.3*(2/3*10)</f>
        <v>635.33333333333326</v>
      </c>
      <c r="H1511" s="14">
        <f>19.5*(2/3*10)</f>
        <v>130</v>
      </c>
      <c r="I1511" s="14">
        <f>69.6*(2/3*10)</f>
        <v>463.99999999999994</v>
      </c>
      <c r="K1511" s="15">
        <v>1508</v>
      </c>
      <c r="L1511">
        <f t="shared" si="23"/>
        <v>4</v>
      </c>
    </row>
    <row r="1512" spans="1:12" ht="16.5" x14ac:dyDescent="0.2">
      <c r="A1512" s="4" t="s">
        <v>164</v>
      </c>
      <c r="B1512">
        <v>2013</v>
      </c>
      <c r="C1512" s="14">
        <f>228.3*(2/3*10)</f>
        <v>1522</v>
      </c>
      <c r="D1512" s="14">
        <f>6*(2/3*10)</f>
        <v>40</v>
      </c>
      <c r="E1512" s="14">
        <f>301.5*(2/3*10)</f>
        <v>2009.9999999999998</v>
      </c>
      <c r="F1512" s="14">
        <f>8.9*(2/3*10)</f>
        <v>59.333333333333329</v>
      </c>
      <c r="G1512" s="14">
        <f>96.4*(2/3*10)</f>
        <v>642.66666666666663</v>
      </c>
      <c r="H1512" s="14">
        <f>20*(2/3*10)</f>
        <v>133.33333333333331</v>
      </c>
      <c r="I1512" s="14">
        <f>69.4*(2/3*10)</f>
        <v>462.66666666666669</v>
      </c>
      <c r="K1512">
        <v>1509</v>
      </c>
      <c r="L1512">
        <f t="shared" si="23"/>
        <v>5</v>
      </c>
    </row>
    <row r="1513" spans="1:12" ht="16.5" x14ac:dyDescent="0.2">
      <c r="A1513" s="4" t="s">
        <v>164</v>
      </c>
      <c r="B1513">
        <v>2014</v>
      </c>
      <c r="C1513" s="14">
        <f>227.5*(2/3*10)</f>
        <v>1516.6666666666665</v>
      </c>
      <c r="D1513" s="14">
        <f>6*(2/3*10)</f>
        <v>40</v>
      </c>
      <c r="E1513" s="14">
        <f>300.7*(2/3*10)</f>
        <v>2004.6666666666665</v>
      </c>
      <c r="F1513" s="14">
        <f>8.8*(2/3*10)</f>
        <v>58.666666666666664</v>
      </c>
      <c r="G1513" s="14">
        <f>97.5*(2/3*10)</f>
        <v>650</v>
      </c>
      <c r="H1513" s="14">
        <f>20.7*(2/3*10)</f>
        <v>137.99999999999997</v>
      </c>
      <c r="I1513" s="14">
        <f>69.3*(2/3*10)</f>
        <v>461.99999999999994</v>
      </c>
      <c r="K1513" s="15">
        <v>1510</v>
      </c>
      <c r="L1513">
        <f t="shared" si="23"/>
        <v>6</v>
      </c>
    </row>
    <row r="1514" spans="1:12" ht="16.5" x14ac:dyDescent="0.2">
      <c r="A1514" s="4" t="s">
        <v>164</v>
      </c>
      <c r="B1514">
        <v>2015</v>
      </c>
      <c r="C1514" s="14">
        <f>227.3*(2/3*10)</f>
        <v>1515.3333333333333</v>
      </c>
      <c r="D1514" s="14">
        <f>6*(2/3*10)</f>
        <v>40</v>
      </c>
      <c r="E1514" s="14">
        <f>300.3*(2/3*10)</f>
        <v>2002</v>
      </c>
      <c r="F1514" s="14">
        <f>8.8*(2/3*10)</f>
        <v>58.666666666666664</v>
      </c>
      <c r="G1514" s="14">
        <f>98*(2/3*10)</f>
        <v>653.33333333333326</v>
      </c>
      <c r="H1514" s="14">
        <f>21*(2/3*10)</f>
        <v>140</v>
      </c>
      <c r="I1514" s="14">
        <f>69.2*(2/3*10)</f>
        <v>461.33333333333331</v>
      </c>
      <c r="K1514">
        <v>1511</v>
      </c>
      <c r="L1514">
        <f t="shared" si="23"/>
        <v>7</v>
      </c>
    </row>
    <row r="1515" spans="1:12" ht="16.5" x14ac:dyDescent="0.2">
      <c r="A1515" s="4" t="s">
        <v>164</v>
      </c>
      <c r="B1515">
        <v>2016</v>
      </c>
      <c r="C1515" s="14">
        <f>226.8*(2/3*10)</f>
        <v>1512</v>
      </c>
      <c r="D1515" s="14">
        <f>5.9*(2/3*10)</f>
        <v>39.333333333333336</v>
      </c>
      <c r="E1515" s="14">
        <f>300*(2/3*10)</f>
        <v>1999.9999999999998</v>
      </c>
      <c r="F1515" s="14">
        <f>8.7*(2/3*10)</f>
        <v>57.999999999999993</v>
      </c>
      <c r="G1515" s="14">
        <f>98.8*(2/3*10)</f>
        <v>658.66666666666663</v>
      </c>
      <c r="H1515" s="14">
        <f>21.3*(2/3*10)</f>
        <v>142</v>
      </c>
      <c r="I1515" s="14">
        <f>69*(2/3*10)</f>
        <v>459.99999999999994</v>
      </c>
      <c r="K1515">
        <v>1512</v>
      </c>
      <c r="L1515">
        <f t="shared" si="23"/>
        <v>0</v>
      </c>
    </row>
    <row r="1516" spans="1:12" ht="16.5" x14ac:dyDescent="0.2">
      <c r="A1516" s="4" t="s">
        <v>163</v>
      </c>
      <c r="B1516">
        <v>2009</v>
      </c>
      <c r="C1516" s="14">
        <f>587.3*(2/3*10)</f>
        <v>3915.3333333333326</v>
      </c>
      <c r="D1516" s="14">
        <f>52.2*(2/3*10)</f>
        <v>348</v>
      </c>
      <c r="E1516" s="14">
        <f>1072.2*(2/3*10)</f>
        <v>7148</v>
      </c>
      <c r="F1516" s="14">
        <f>111.8*(2/3*10)</f>
        <v>745.33333333333326</v>
      </c>
      <c r="G1516" s="14">
        <f>184.8*(2/3*10)</f>
        <v>1232</v>
      </c>
      <c r="H1516" s="14">
        <f>38.8*(2/3*10)</f>
        <v>258.66666666666663</v>
      </c>
      <c r="I1516" s="14">
        <f>171*(2/3*10)</f>
        <v>1140</v>
      </c>
      <c r="K1516" s="15">
        <v>1513</v>
      </c>
      <c r="L1516">
        <f t="shared" si="23"/>
        <v>1</v>
      </c>
    </row>
    <row r="1517" spans="1:12" ht="16.5" x14ac:dyDescent="0.2">
      <c r="A1517" s="4" t="s">
        <v>163</v>
      </c>
      <c r="B1517">
        <v>2010</v>
      </c>
      <c r="C1517" s="14">
        <f>588.4*(2/3*10)</f>
        <v>3922.6666666666661</v>
      </c>
      <c r="D1517" s="14">
        <f>52.1*(2/3*10)</f>
        <v>347.33333333333331</v>
      </c>
      <c r="E1517" s="14">
        <f>1069.2*(2/3*10)</f>
        <v>7128</v>
      </c>
      <c r="F1517" s="14">
        <f>111.2*(2/3*10)</f>
        <v>741.33333333333326</v>
      </c>
      <c r="G1517" s="14">
        <f>187.3*(2/3*10)</f>
        <v>1248.6666666666665</v>
      </c>
      <c r="H1517" s="14">
        <f>39.6*(2/3*10)</f>
        <v>264</v>
      </c>
      <c r="I1517" s="14">
        <f>170.7*(2/3*10)</f>
        <v>1137.9999999999998</v>
      </c>
      <c r="K1517">
        <v>1514</v>
      </c>
      <c r="L1517">
        <f t="shared" si="23"/>
        <v>2</v>
      </c>
    </row>
    <row r="1518" spans="1:12" ht="16.5" x14ac:dyDescent="0.2">
      <c r="A1518" s="4" t="s">
        <v>163</v>
      </c>
      <c r="B1518">
        <v>2011</v>
      </c>
      <c r="C1518" s="14">
        <f>588.6*(2/3*10)</f>
        <v>3924</v>
      </c>
      <c r="D1518" s="14">
        <f>51.8*(2/3*10)</f>
        <v>345.33333333333326</v>
      </c>
      <c r="E1518" s="14">
        <f>1067.3*(2/3*10)</f>
        <v>7115.3333333333321</v>
      </c>
      <c r="F1518" s="14">
        <f>110.9*(2/3*10)</f>
        <v>739.33333333333326</v>
      </c>
      <c r="G1518" s="14">
        <f>189.4*(2/3*10)</f>
        <v>1262.6666666666665</v>
      </c>
      <c r="H1518" s="14">
        <f>40*(2/3*10)</f>
        <v>266.66666666666663</v>
      </c>
      <c r="I1518" s="14">
        <f>170.5*(2/3*10)</f>
        <v>1136.6666666666665</v>
      </c>
      <c r="K1518" s="15">
        <v>1515</v>
      </c>
      <c r="L1518">
        <f t="shared" si="23"/>
        <v>3</v>
      </c>
    </row>
    <row r="1519" spans="1:12" ht="16.5" x14ac:dyDescent="0.2">
      <c r="A1519" s="4" t="s">
        <v>163</v>
      </c>
      <c r="B1519">
        <v>2012</v>
      </c>
      <c r="C1519" s="14">
        <f>588.7*(2/3*10)</f>
        <v>3924.6666666666665</v>
      </c>
      <c r="D1519" s="14">
        <f>51.5*(2/3*10)</f>
        <v>343.33333333333331</v>
      </c>
      <c r="E1519" s="14">
        <f>1065.6*(2/3*10)</f>
        <v>7103.9999999999991</v>
      </c>
      <c r="F1519" s="14">
        <f>110.7*(2/3*10)</f>
        <v>738</v>
      </c>
      <c r="G1519" s="14">
        <f>191.6*(2/3*10)</f>
        <v>1277.3333333333333</v>
      </c>
      <c r="H1519" s="14">
        <f>40.2*(2/3*10)</f>
        <v>268</v>
      </c>
      <c r="I1519" s="14">
        <f>170.2*(2/3*10)</f>
        <v>1134.6666666666665</v>
      </c>
      <c r="K1519">
        <v>1516</v>
      </c>
      <c r="L1519">
        <f t="shared" si="23"/>
        <v>4</v>
      </c>
    </row>
    <row r="1520" spans="1:12" ht="16.5" x14ac:dyDescent="0.2">
      <c r="A1520" s="4" t="s">
        <v>163</v>
      </c>
      <c r="B1520">
        <v>2013</v>
      </c>
      <c r="C1520" s="14">
        <f>589*(2/3*10)</f>
        <v>3926.6666666666665</v>
      </c>
      <c r="D1520" s="14">
        <f>51.1*(2/3*10)</f>
        <v>340.66666666666663</v>
      </c>
      <c r="E1520" s="14">
        <f>1063.5*(2/3*10)</f>
        <v>7089.9999999999991</v>
      </c>
      <c r="F1520" s="14">
        <f>110.4*(2/3*10)</f>
        <v>736</v>
      </c>
      <c r="G1520" s="14">
        <f>194.1*(2/3*10)</f>
        <v>1293.9999999999998</v>
      </c>
      <c r="H1520" s="14">
        <f>40.5*(2/3*10)</f>
        <v>270</v>
      </c>
      <c r="I1520" s="14">
        <f>169.8*(2/3*10)</f>
        <v>1132</v>
      </c>
      <c r="K1520">
        <v>1517</v>
      </c>
      <c r="L1520">
        <f t="shared" si="23"/>
        <v>5</v>
      </c>
    </row>
    <row r="1521" spans="1:12" ht="16.5" x14ac:dyDescent="0.2">
      <c r="A1521" s="4" t="s">
        <v>163</v>
      </c>
      <c r="B1521">
        <v>2014</v>
      </c>
      <c r="C1521" s="14">
        <f>588.4*(2/3*10)</f>
        <v>3922.6666666666661</v>
      </c>
      <c r="D1521" s="14">
        <f>50.9*(2/3*10)</f>
        <v>339.33333333333331</v>
      </c>
      <c r="E1521" s="14">
        <f>1061.6*(2/3*10)</f>
        <v>7077.3333333333321</v>
      </c>
      <c r="F1521" s="14">
        <f>110.1*(2/3*10)</f>
        <v>733.99999999999989</v>
      </c>
      <c r="G1521" s="14">
        <f>196.3*(2/3*10)</f>
        <v>1308.6666666666665</v>
      </c>
      <c r="H1521" s="14">
        <f>41.8*(2/3*10)</f>
        <v>278.66666666666663</v>
      </c>
      <c r="I1521" s="14">
        <f>169.4*(2/3*10)</f>
        <v>1129.3333333333333</v>
      </c>
      <c r="K1521" s="15">
        <v>1518</v>
      </c>
      <c r="L1521">
        <f t="shared" si="23"/>
        <v>6</v>
      </c>
    </row>
    <row r="1522" spans="1:12" ht="16.5" x14ac:dyDescent="0.2">
      <c r="A1522" s="4" t="s">
        <v>163</v>
      </c>
      <c r="B1522">
        <v>2015</v>
      </c>
      <c r="C1522" s="14">
        <f>588.3*(2/3*10)</f>
        <v>3921.9999999999995</v>
      </c>
      <c r="D1522" s="14">
        <f>50.6*(2/3*10)</f>
        <v>337.33333333333331</v>
      </c>
      <c r="E1522" s="14">
        <f>1060.5*(2/3*10)</f>
        <v>7069.9999999999991</v>
      </c>
      <c r="F1522" s="14">
        <f>109.9*(2/3*10)</f>
        <v>732.66666666666663</v>
      </c>
      <c r="G1522" s="14">
        <f>198.1*(2/3*10)</f>
        <v>1320.6666666666665</v>
      </c>
      <c r="H1522" s="14">
        <f>41.9*(2/3*10)</f>
        <v>279.33333333333331</v>
      </c>
      <c r="I1522" s="14">
        <f>169.2*(2/3*10)</f>
        <v>1127.9999999999998</v>
      </c>
      <c r="K1522">
        <v>1519</v>
      </c>
      <c r="L1522">
        <f t="shared" si="23"/>
        <v>7</v>
      </c>
    </row>
    <row r="1523" spans="1:12" ht="16.5" x14ac:dyDescent="0.2">
      <c r="A1523" s="4" t="s">
        <v>163</v>
      </c>
      <c r="B1523">
        <v>2016</v>
      </c>
      <c r="C1523" s="14">
        <f>587.9*(2/3*10)</f>
        <v>3919.333333333333</v>
      </c>
      <c r="D1523" s="14">
        <f>49.8*(2/3*10)</f>
        <v>331.99999999999994</v>
      </c>
      <c r="E1523" s="14">
        <f>1060.2*(2/3*10)</f>
        <v>7068</v>
      </c>
      <c r="F1523" s="14">
        <f>109.7*(2/3*10)</f>
        <v>731.33333333333326</v>
      </c>
      <c r="G1523" s="14">
        <f>199.5*(2/3*10)</f>
        <v>1329.9999999999998</v>
      </c>
      <c r="H1523" s="14">
        <f>42.4*(2/3*10)</f>
        <v>282.66666666666663</v>
      </c>
      <c r="I1523" s="14">
        <f>168.9*(2/3*10)</f>
        <v>1126</v>
      </c>
      <c r="K1523" s="15">
        <v>1520</v>
      </c>
      <c r="L1523">
        <f t="shared" si="23"/>
        <v>0</v>
      </c>
    </row>
    <row r="1524" spans="1:12" ht="16.5" x14ac:dyDescent="0.2">
      <c r="A1524" s="4" t="s">
        <v>162</v>
      </c>
      <c r="B1524">
        <v>2009</v>
      </c>
      <c r="C1524" s="14">
        <f>666.8*(2/3*10)</f>
        <v>4445.333333333333</v>
      </c>
      <c r="D1524" s="14">
        <f>111.3*(2/3*10)</f>
        <v>741.99999999999989</v>
      </c>
      <c r="E1524" s="14">
        <f>1863.3*(2/3*10)</f>
        <v>12421.999999999998</v>
      </c>
      <c r="F1524" s="14">
        <f>65.7*(2/3*10)</f>
        <v>438</v>
      </c>
      <c r="G1524" s="14">
        <f>158.9*(2/3*10)</f>
        <v>1059.3333333333333</v>
      </c>
      <c r="H1524" s="14">
        <f>34.5*(2/3*10)</f>
        <v>229.99999999999997</v>
      </c>
      <c r="I1524" s="14">
        <f>102.4*(2/3*10)</f>
        <v>682.66666666666663</v>
      </c>
      <c r="K1524">
        <v>1521</v>
      </c>
      <c r="L1524">
        <f t="shared" si="23"/>
        <v>1</v>
      </c>
    </row>
    <row r="1525" spans="1:12" ht="16.5" x14ac:dyDescent="0.2">
      <c r="A1525" s="4" t="s">
        <v>162</v>
      </c>
      <c r="B1525">
        <v>2010</v>
      </c>
      <c r="C1525" s="14">
        <f>666.7*(2/3*10)</f>
        <v>4444.666666666667</v>
      </c>
      <c r="D1525" s="14">
        <f>110.7*(2/3*10)</f>
        <v>738</v>
      </c>
      <c r="E1525" s="14">
        <f>1861.3*(2/3*10)</f>
        <v>12408.666666666666</v>
      </c>
      <c r="F1525" s="14">
        <f>65.5*(2/3*10)</f>
        <v>436.66666666666663</v>
      </c>
      <c r="G1525" s="14">
        <f>160.2*(2/3*10)</f>
        <v>1068</v>
      </c>
      <c r="H1525" s="14">
        <f>36.3*(2/3*10)</f>
        <v>241.99999999999997</v>
      </c>
      <c r="I1525" s="14">
        <f>102.3*(2/3*10)</f>
        <v>681.99999999999989</v>
      </c>
      <c r="K1525">
        <v>1522</v>
      </c>
      <c r="L1525">
        <f t="shared" si="23"/>
        <v>2</v>
      </c>
    </row>
    <row r="1526" spans="1:12" ht="16.5" x14ac:dyDescent="0.2">
      <c r="A1526" s="4" t="s">
        <v>162</v>
      </c>
      <c r="B1526">
        <v>2011</v>
      </c>
      <c r="C1526" s="14">
        <f>666.9*(2/3*10)</f>
        <v>4445.9999999999991</v>
      </c>
      <c r="D1526" s="14">
        <f>110.2*(2/3*10)</f>
        <v>734.66666666666663</v>
      </c>
      <c r="E1526" s="14">
        <f>1860.1*(2/3*10)</f>
        <v>12400.666666666664</v>
      </c>
      <c r="F1526" s="14">
        <f>65.6*(2/3*10)</f>
        <v>437.33333333333326</v>
      </c>
      <c r="G1526" s="14">
        <f>161.2*(2/3*10)</f>
        <v>1074.6666666666667</v>
      </c>
      <c r="H1526" s="14">
        <f>36.8*(2/3*10)</f>
        <v>245.33333333333329</v>
      </c>
      <c r="I1526" s="14">
        <f>102.3*(2/3*10)</f>
        <v>681.99999999999989</v>
      </c>
      <c r="K1526" s="15">
        <v>1523</v>
      </c>
      <c r="L1526">
        <f t="shared" si="23"/>
        <v>3</v>
      </c>
    </row>
    <row r="1527" spans="1:12" ht="16.5" x14ac:dyDescent="0.2">
      <c r="A1527" s="4" t="s">
        <v>162</v>
      </c>
      <c r="B1527">
        <v>2012</v>
      </c>
      <c r="C1527" s="14">
        <f>667.8*(2/3*10)</f>
        <v>4451.9999999999991</v>
      </c>
      <c r="D1527" s="14">
        <f>109.4*(2/3*10)</f>
        <v>729.33333333333326</v>
      </c>
      <c r="E1527" s="14">
        <f>1859.4*(2/3*10)</f>
        <v>12396</v>
      </c>
      <c r="F1527" s="14">
        <f>64.9*(2/3*10)</f>
        <v>432.66666666666669</v>
      </c>
      <c r="G1527" s="14">
        <f>162.4*(2/3*10)</f>
        <v>1082.6666666666665</v>
      </c>
      <c r="H1527" s="14">
        <f>36.9*(2/3*10)</f>
        <v>245.99999999999997</v>
      </c>
      <c r="I1527" s="14">
        <f>102.2*(2/3*10)</f>
        <v>681.33333333333326</v>
      </c>
      <c r="K1527">
        <v>1524</v>
      </c>
      <c r="L1527">
        <f t="shared" si="23"/>
        <v>4</v>
      </c>
    </row>
    <row r="1528" spans="1:12" ht="16.5" x14ac:dyDescent="0.2">
      <c r="A1528" s="4" t="s">
        <v>162</v>
      </c>
      <c r="B1528">
        <v>2013</v>
      </c>
      <c r="C1528" s="14">
        <f>667.7*(2/3*10)</f>
        <v>4451.333333333333</v>
      </c>
      <c r="D1528" s="14">
        <f>108.1*(2/3*10)</f>
        <v>720.66666666666652</v>
      </c>
      <c r="E1528" s="14">
        <f>1858.9*(2/3*10)</f>
        <v>12392.666666666666</v>
      </c>
      <c r="F1528" s="14">
        <f>64.6*(2/3*10)</f>
        <v>430.66666666666657</v>
      </c>
      <c r="G1528" s="14">
        <f>164*(2/3*10)</f>
        <v>1093.333333333333</v>
      </c>
      <c r="H1528" s="14">
        <f>37.7*(2/3*10)</f>
        <v>251.33333333333334</v>
      </c>
      <c r="I1528" s="14">
        <f>102.1*(2/3*10)</f>
        <v>680.66666666666652</v>
      </c>
      <c r="K1528" s="15">
        <v>1525</v>
      </c>
      <c r="L1528">
        <f t="shared" si="23"/>
        <v>5</v>
      </c>
    </row>
    <row r="1529" spans="1:12" ht="16.5" x14ac:dyDescent="0.2">
      <c r="A1529" s="4" t="s">
        <v>162</v>
      </c>
      <c r="B1529">
        <v>2014</v>
      </c>
      <c r="C1529" s="14">
        <f>668.5*(2/3*10)</f>
        <v>4456.6666666666661</v>
      </c>
      <c r="D1529" s="14">
        <f>106.9*(2/3*10)</f>
        <v>712.66666666666663</v>
      </c>
      <c r="E1529" s="14">
        <f>1857.3*(2/3*10)</f>
        <v>12381.999999999998</v>
      </c>
      <c r="F1529" s="14">
        <f>64.3*(2/3*10)</f>
        <v>428.66666666666663</v>
      </c>
      <c r="G1529" s="14">
        <f>165.8*(2/3*10)</f>
        <v>1105.333333333333</v>
      </c>
      <c r="H1529" s="14">
        <f>38.2*(2/3*10)</f>
        <v>254.66666666666666</v>
      </c>
      <c r="I1529" s="14">
        <f>102*(2/3*10)</f>
        <v>679.99999999999989</v>
      </c>
      <c r="K1529">
        <v>1526</v>
      </c>
      <c r="L1529">
        <f t="shared" si="23"/>
        <v>6</v>
      </c>
    </row>
    <row r="1530" spans="1:12" ht="16.5" x14ac:dyDescent="0.2">
      <c r="A1530" s="4" t="s">
        <v>162</v>
      </c>
      <c r="B1530">
        <v>2015</v>
      </c>
      <c r="C1530" s="14">
        <f>668.5*(2/3*10)</f>
        <v>4456.6666666666661</v>
      </c>
      <c r="D1530" s="14">
        <f>106.4*(2/3*10)</f>
        <v>709.33333333333326</v>
      </c>
      <c r="E1530" s="14">
        <f>1855.7*(2/3*10)</f>
        <v>12371.333333333332</v>
      </c>
      <c r="F1530" s="14">
        <f>64.2*(2/3*10)</f>
        <v>428</v>
      </c>
      <c r="G1530" s="14">
        <f>167*(2/3*10)</f>
        <v>1113.3333333333333</v>
      </c>
      <c r="H1530" s="14">
        <f>39.3*(2/3*10)</f>
        <v>261.99999999999994</v>
      </c>
      <c r="I1530" s="14">
        <f>101.9*(2/3*10)</f>
        <v>679.33333333333326</v>
      </c>
      <c r="K1530">
        <v>1527</v>
      </c>
      <c r="L1530">
        <f t="shared" si="23"/>
        <v>7</v>
      </c>
    </row>
    <row r="1531" spans="1:12" ht="16.5" x14ac:dyDescent="0.2">
      <c r="A1531" s="4" t="s">
        <v>162</v>
      </c>
      <c r="B1531">
        <v>2016</v>
      </c>
      <c r="C1531" s="14">
        <f>671*(2/3*10)</f>
        <v>4473.333333333333</v>
      </c>
      <c r="D1531" s="14">
        <f>105.1*(2/3*10)</f>
        <v>700.66666666666652</v>
      </c>
      <c r="E1531" s="14">
        <f>1852.4*(2/3*10)</f>
        <v>12349.333333333332</v>
      </c>
      <c r="F1531" s="14">
        <f>63.9*(2/3*10)</f>
        <v>425.99999999999994</v>
      </c>
      <c r="G1531" s="14">
        <f>169*(2/3*10)</f>
        <v>1126.6666666666665</v>
      </c>
      <c r="H1531" s="14">
        <f>39.8*(2/3*10)</f>
        <v>265.33333333333331</v>
      </c>
      <c r="I1531" s="14">
        <f>101.8*(2/3*10)</f>
        <v>678.66666666666663</v>
      </c>
      <c r="K1531" s="15">
        <v>1528</v>
      </c>
      <c r="L1531">
        <f t="shared" si="23"/>
        <v>0</v>
      </c>
    </row>
    <row r="1532" spans="1:12" ht="16.5" x14ac:dyDescent="0.2">
      <c r="A1532" s="4" t="s">
        <v>161</v>
      </c>
      <c r="B1532">
        <v>2009</v>
      </c>
      <c r="C1532" s="14">
        <f>527.1*(2/3*10)</f>
        <v>3514</v>
      </c>
      <c r="D1532" s="14">
        <f>98.1*(2/3*10)</f>
        <v>653.99999999999989</v>
      </c>
      <c r="E1532" s="14">
        <f>883.2*(2/3*10)</f>
        <v>5888</v>
      </c>
      <c r="F1532" s="14">
        <f>15.5*(2/3*10)</f>
        <v>103.33333333333333</v>
      </c>
      <c r="G1532" s="14">
        <f>143.8*(2/3*10)</f>
        <v>958.66666666666663</v>
      </c>
      <c r="H1532" s="14">
        <f>39.1*(2/3*10)</f>
        <v>260.66666666666663</v>
      </c>
      <c r="I1532" s="14">
        <f>479.2*(2/3*10)</f>
        <v>3194.6666666666665</v>
      </c>
      <c r="K1532">
        <v>1529</v>
      </c>
      <c r="L1532">
        <f t="shared" si="23"/>
        <v>1</v>
      </c>
    </row>
    <row r="1533" spans="1:12" ht="16.5" x14ac:dyDescent="0.2">
      <c r="A1533" s="4" t="s">
        <v>161</v>
      </c>
      <c r="B1533">
        <v>2010</v>
      </c>
      <c r="C1533" s="14">
        <f>527.1*(2/3*10)</f>
        <v>3514</v>
      </c>
      <c r="D1533" s="14">
        <f>97.8*(2/3*10)</f>
        <v>651.99999999999989</v>
      </c>
      <c r="E1533" s="14">
        <f>882*(2/3*10)</f>
        <v>5879.9999999999991</v>
      </c>
      <c r="F1533" s="14">
        <f>15.3*(2/3*10)</f>
        <v>102</v>
      </c>
      <c r="G1533" s="14">
        <f>145.7*(2/3*10)</f>
        <v>971.33333333333314</v>
      </c>
      <c r="H1533" s="14">
        <f>39.3*(2/3*10)</f>
        <v>261.99999999999994</v>
      </c>
      <c r="I1533" s="14">
        <f>478.9*(2/3*10)</f>
        <v>3192.6666666666661</v>
      </c>
      <c r="K1533" s="15">
        <v>1530</v>
      </c>
      <c r="L1533">
        <f t="shared" si="23"/>
        <v>2</v>
      </c>
    </row>
    <row r="1534" spans="1:12" ht="16.5" x14ac:dyDescent="0.2">
      <c r="A1534" s="4" t="s">
        <v>161</v>
      </c>
      <c r="B1534">
        <v>2011</v>
      </c>
      <c r="C1534" s="14">
        <f>527.8*(2/3*10)</f>
        <v>3518.6666666666661</v>
      </c>
      <c r="D1534" s="14">
        <f>96.9*(2/3*10)</f>
        <v>646</v>
      </c>
      <c r="E1534" s="14">
        <f>880.9*(2/3*10)</f>
        <v>5872.6666666666661</v>
      </c>
      <c r="F1534" s="14">
        <f>15.8*(2/3*10)</f>
        <v>105.33333333333333</v>
      </c>
      <c r="G1534" s="14">
        <f>147*(2/3*10)</f>
        <v>979.99999999999989</v>
      </c>
      <c r="H1534" s="14">
        <f>39.8*(2/3*10)</f>
        <v>265.33333333333331</v>
      </c>
      <c r="I1534" s="14">
        <f>478*(2/3*10)</f>
        <v>3186.6666666666665</v>
      </c>
      <c r="K1534">
        <v>1531</v>
      </c>
      <c r="L1534">
        <f t="shared" si="23"/>
        <v>3</v>
      </c>
    </row>
    <row r="1535" spans="1:12" ht="16.5" x14ac:dyDescent="0.2">
      <c r="A1535" s="4" t="s">
        <v>161</v>
      </c>
      <c r="B1535">
        <v>2012</v>
      </c>
      <c r="C1535" s="14">
        <f>529.1*(2/3*10)</f>
        <v>3527.333333333333</v>
      </c>
      <c r="D1535" s="14">
        <f>96*(2/3*10)</f>
        <v>640</v>
      </c>
      <c r="E1535" s="14">
        <f>879.6*(2/3*10)</f>
        <v>5864</v>
      </c>
      <c r="F1535" s="14">
        <f>15.6*(2/3*10)</f>
        <v>103.99999999999999</v>
      </c>
      <c r="G1535" s="14">
        <f>148.7*(2/3*10)</f>
        <v>991.33333333333314</v>
      </c>
      <c r="H1535" s="14">
        <f>40.2*(2/3*10)</f>
        <v>268</v>
      </c>
      <c r="I1535" s="14">
        <f>477.1*(2/3*10)</f>
        <v>3180.6666666666665</v>
      </c>
      <c r="K1535">
        <v>1532</v>
      </c>
      <c r="L1535">
        <f t="shared" si="23"/>
        <v>4</v>
      </c>
    </row>
    <row r="1536" spans="1:12" ht="16.5" x14ac:dyDescent="0.2">
      <c r="A1536" s="4" t="s">
        <v>161</v>
      </c>
      <c r="B1536">
        <v>2013</v>
      </c>
      <c r="C1536" s="14">
        <f>530.3*(2/3*10)</f>
        <v>3535.3333333333326</v>
      </c>
      <c r="D1536" s="14">
        <f>94.3*(2/3*10)</f>
        <v>628.66666666666663</v>
      </c>
      <c r="E1536" s="14">
        <f>879.6*(2/3*10)</f>
        <v>5864</v>
      </c>
      <c r="F1536" s="14">
        <f>15.4*(2/3*10)</f>
        <v>102.66666666666666</v>
      </c>
      <c r="G1536" s="14">
        <f>150.7*(2/3*10)</f>
        <v>1004.6666666666665</v>
      </c>
      <c r="H1536" s="14">
        <f>40.6*(2/3*10)</f>
        <v>270.66666666666663</v>
      </c>
      <c r="I1536" s="14">
        <f>475.6*(2/3*10)</f>
        <v>3170.6666666666665</v>
      </c>
      <c r="K1536" s="15">
        <v>1533</v>
      </c>
      <c r="L1536">
        <f t="shared" ref="L1536:L1599" si="24">MOD(K1536,8)</f>
        <v>5</v>
      </c>
    </row>
    <row r="1537" spans="1:12" ht="16.5" x14ac:dyDescent="0.2">
      <c r="A1537" s="4" t="s">
        <v>161</v>
      </c>
      <c r="B1537">
        <v>2014</v>
      </c>
      <c r="C1537" s="14">
        <f>530.3*(2/3*10)</f>
        <v>3535.3333333333326</v>
      </c>
      <c r="D1537" s="14">
        <f>93.9*(2/3*10)</f>
        <v>626</v>
      </c>
      <c r="E1537" s="14">
        <f>878.1*(2/3*10)</f>
        <v>5854</v>
      </c>
      <c r="F1537" s="14">
        <f>15.4*(2/3*10)</f>
        <v>102.66666666666666</v>
      </c>
      <c r="G1537" s="14">
        <f>152.4*(2/3*10)</f>
        <v>1016</v>
      </c>
      <c r="H1537" s="14">
        <f>41.4*(2/3*10)</f>
        <v>275.99999999999994</v>
      </c>
      <c r="I1537" s="14">
        <f>474.9*(2/3*10)</f>
        <v>3165.9999999999995</v>
      </c>
      <c r="K1537">
        <v>1534</v>
      </c>
      <c r="L1537">
        <f t="shared" si="24"/>
        <v>6</v>
      </c>
    </row>
    <row r="1538" spans="1:12" ht="16.5" x14ac:dyDescent="0.2">
      <c r="A1538" s="4" t="s">
        <v>161</v>
      </c>
      <c r="B1538">
        <v>2015</v>
      </c>
      <c r="C1538" s="14">
        <f>530.1*(2/3*10)</f>
        <v>3534</v>
      </c>
      <c r="D1538" s="14">
        <f>93.3*(2/3*10)</f>
        <v>621.99999999999989</v>
      </c>
      <c r="E1538" s="14">
        <f>878*(2/3*10)</f>
        <v>5853.333333333333</v>
      </c>
      <c r="F1538" s="14">
        <f>15.3*(2/3*10)</f>
        <v>102</v>
      </c>
      <c r="G1538" s="14">
        <f>153.5*(2/3*10)</f>
        <v>1023.3333333333333</v>
      </c>
      <c r="H1538" s="14">
        <f>41.5*(2/3*10)</f>
        <v>276.66666666666663</v>
      </c>
      <c r="I1538" s="14">
        <f>474.6*(2/3*10)</f>
        <v>3164</v>
      </c>
      <c r="K1538" s="15">
        <v>1535</v>
      </c>
      <c r="L1538">
        <f t="shared" si="24"/>
        <v>7</v>
      </c>
    </row>
    <row r="1539" spans="1:12" ht="16.5" x14ac:dyDescent="0.2">
      <c r="A1539" s="4" t="s">
        <v>161</v>
      </c>
      <c r="B1539">
        <v>2016</v>
      </c>
      <c r="C1539" s="14">
        <f>529.7*(2/3*10)</f>
        <v>3531.3333333333335</v>
      </c>
      <c r="D1539" s="14">
        <f>91.9*(2/3*10)</f>
        <v>612.66666666666663</v>
      </c>
      <c r="E1539" s="14">
        <f>877.6*(2/3*10)</f>
        <v>5850.6666666666661</v>
      </c>
      <c r="F1539" s="14">
        <f>15.1*(2/3*10)</f>
        <v>100.66666666666666</v>
      </c>
      <c r="G1539" s="14">
        <f>155.1*(2/3*10)</f>
        <v>1034</v>
      </c>
      <c r="H1539" s="14">
        <f>42.8*(2/3*10)</f>
        <v>285.33333333333331</v>
      </c>
      <c r="I1539" s="14">
        <f>474.1*(2/3*10)</f>
        <v>3160.6666666666665</v>
      </c>
      <c r="K1539">
        <v>1536</v>
      </c>
      <c r="L1539">
        <f t="shared" si="24"/>
        <v>0</v>
      </c>
    </row>
    <row r="1540" spans="1:12" ht="16.5" x14ac:dyDescent="0.2">
      <c r="A1540" s="4" t="s">
        <v>160</v>
      </c>
      <c r="B1540">
        <v>2009</v>
      </c>
      <c r="C1540" s="14">
        <f>751.4*(2/3*10)</f>
        <v>5009.333333333333</v>
      </c>
      <c r="D1540" s="14">
        <f>90.6*(2/3*10)</f>
        <v>603.99999999999989</v>
      </c>
      <c r="E1540" s="14">
        <f>1089.1*(2/3*10)</f>
        <v>7260.6666666666652</v>
      </c>
      <c r="F1540" s="14">
        <f>46.3*(2/3*10)</f>
        <v>308.66666666666663</v>
      </c>
      <c r="G1540" s="14">
        <f>207*(2/3*10)</f>
        <v>1379.9999999999998</v>
      </c>
      <c r="H1540" s="14">
        <f>44.3*(2/3*10)</f>
        <v>295.33333333333331</v>
      </c>
      <c r="I1540" s="14">
        <f>421.4*(2/3*10)</f>
        <v>2809.333333333333</v>
      </c>
      <c r="K1540">
        <v>1537</v>
      </c>
      <c r="L1540">
        <f t="shared" si="24"/>
        <v>1</v>
      </c>
    </row>
    <row r="1541" spans="1:12" ht="16.5" x14ac:dyDescent="0.2">
      <c r="A1541" s="4" t="s">
        <v>160</v>
      </c>
      <c r="B1541">
        <v>2010</v>
      </c>
      <c r="C1541" s="14">
        <f>752.8*(2/3*10)</f>
        <v>5018.6666666666661</v>
      </c>
      <c r="D1541" s="14">
        <f>89.9*(2/3*10)</f>
        <v>599.33333333333337</v>
      </c>
      <c r="E1541" s="14">
        <f>1087.7*(2/3*10)</f>
        <v>7251.333333333333</v>
      </c>
      <c r="F1541" s="14">
        <f>45.9*(2/3*10)</f>
        <v>305.99999999999994</v>
      </c>
      <c r="G1541" s="14">
        <f>208.3*(2/3*10)</f>
        <v>1388.6666666666665</v>
      </c>
      <c r="H1541" s="14">
        <f>45*(2/3*10)</f>
        <v>300</v>
      </c>
      <c r="I1541" s="14">
        <f>420.6*(2/3*10)</f>
        <v>2804</v>
      </c>
      <c r="K1541" s="15">
        <v>1538</v>
      </c>
      <c r="L1541">
        <f t="shared" si="24"/>
        <v>2</v>
      </c>
    </row>
    <row r="1542" spans="1:12" ht="16.5" x14ac:dyDescent="0.2">
      <c r="A1542" s="4" t="s">
        <v>160</v>
      </c>
      <c r="B1542">
        <v>2011</v>
      </c>
      <c r="C1542" s="14">
        <f>753.5*(2/3*10)</f>
        <v>5023.333333333333</v>
      </c>
      <c r="D1542" s="14">
        <f>89.5*(2/3*10)</f>
        <v>596.66666666666663</v>
      </c>
      <c r="E1542" s="14">
        <f>1086.8*(2/3*10)</f>
        <v>7245.3333333333321</v>
      </c>
      <c r="F1542" s="14">
        <f>45.7*(2/3*10)</f>
        <v>304.66666666666669</v>
      </c>
      <c r="G1542" s="14">
        <f>209.9*(2/3*10)</f>
        <v>1399.333333333333</v>
      </c>
      <c r="H1542" s="14">
        <f>45.2*(2/3*10)</f>
        <v>301.33333333333331</v>
      </c>
      <c r="I1542" s="14">
        <f>419.6*(2/3*10)</f>
        <v>2797.333333333333</v>
      </c>
      <c r="K1542">
        <v>1539</v>
      </c>
      <c r="L1542">
        <f t="shared" si="24"/>
        <v>3</v>
      </c>
    </row>
    <row r="1543" spans="1:12" ht="16.5" x14ac:dyDescent="0.2">
      <c r="A1543" s="4" t="s">
        <v>160</v>
      </c>
      <c r="B1543">
        <v>2012</v>
      </c>
      <c r="C1543" s="14">
        <f>756.3*(2/3*10)</f>
        <v>5041.9999999999991</v>
      </c>
      <c r="D1543" s="14">
        <f>89.1*(2/3*10)</f>
        <v>593.99999999999989</v>
      </c>
      <c r="E1543" s="14">
        <f>1084.8*(2/3*10)</f>
        <v>7231.9999999999991</v>
      </c>
      <c r="F1543" s="14">
        <f>45.2*(2/3*10)</f>
        <v>301.33333333333331</v>
      </c>
      <c r="G1543" s="14">
        <f>211.3*(2/3*10)</f>
        <v>1408.6666666666665</v>
      </c>
      <c r="H1543" s="14">
        <f>45.4*(2/3*10)</f>
        <v>302.66666666666663</v>
      </c>
      <c r="I1543" s="14">
        <f>418.3*(2/3*10)</f>
        <v>2788.6666666666665</v>
      </c>
      <c r="K1543" s="15">
        <v>1540</v>
      </c>
      <c r="L1543">
        <f t="shared" si="24"/>
        <v>4</v>
      </c>
    </row>
    <row r="1544" spans="1:12" ht="16.5" x14ac:dyDescent="0.2">
      <c r="A1544" s="4" t="s">
        <v>160</v>
      </c>
      <c r="B1544">
        <v>2013</v>
      </c>
      <c r="C1544" s="14">
        <f>756.1*(2/3*10)</f>
        <v>5040.6666666666661</v>
      </c>
      <c r="D1544" s="14">
        <f>88.6*(2/3*10)</f>
        <v>590.66666666666663</v>
      </c>
      <c r="E1544" s="14">
        <f>1084.6*(2/3*10)</f>
        <v>7230.6666666666652</v>
      </c>
      <c r="F1544" s="14">
        <f>44.9*(2/3*10)</f>
        <v>299.33333333333331</v>
      </c>
      <c r="G1544" s="14">
        <f>213.1*(2/3*10)</f>
        <v>1420.6666666666665</v>
      </c>
      <c r="H1544" s="14">
        <f>45.7*(2/3*10)</f>
        <v>304.66666666666669</v>
      </c>
      <c r="I1544" s="14">
        <f>417.5*(2/3*10)</f>
        <v>2783.333333333333</v>
      </c>
      <c r="K1544">
        <v>1541</v>
      </c>
      <c r="L1544">
        <f t="shared" si="24"/>
        <v>5</v>
      </c>
    </row>
    <row r="1545" spans="1:12" ht="16.5" x14ac:dyDescent="0.2">
      <c r="A1545" s="4" t="s">
        <v>160</v>
      </c>
      <c r="B1545">
        <v>2014</v>
      </c>
      <c r="C1545" s="14">
        <f>756.6*(2/3*10)</f>
        <v>5044</v>
      </c>
      <c r="D1545" s="14">
        <f>88.3*(2/3*10)</f>
        <v>588.66666666666663</v>
      </c>
      <c r="E1545" s="14">
        <f>1083.7*(2/3*10)</f>
        <v>7224.6666666666661</v>
      </c>
      <c r="F1545" s="14">
        <f>44.6*(2/3*10)</f>
        <v>297.33333333333331</v>
      </c>
      <c r="G1545" s="14">
        <f>214.8*(2/3*10)</f>
        <v>1431.9999999999998</v>
      </c>
      <c r="H1545" s="14">
        <f>46.1*(2/3*10)</f>
        <v>307.33333333333331</v>
      </c>
      <c r="I1545" s="14">
        <f>416.5*(2/3*10)</f>
        <v>2776.6666666666665</v>
      </c>
      <c r="K1545">
        <v>1542</v>
      </c>
      <c r="L1545">
        <f t="shared" si="24"/>
        <v>6</v>
      </c>
    </row>
    <row r="1546" spans="1:12" ht="16.5" x14ac:dyDescent="0.2">
      <c r="A1546" s="4" t="s">
        <v>160</v>
      </c>
      <c r="B1546">
        <v>2015</v>
      </c>
      <c r="C1546" s="14">
        <f>758.5*(2/3*10)</f>
        <v>5056.6666666666661</v>
      </c>
      <c r="D1546" s="14">
        <f>87*(2/3*10)</f>
        <v>580</v>
      </c>
      <c r="E1546" s="14">
        <f>1083.2*(2/3*10)</f>
        <v>7221.333333333333</v>
      </c>
      <c r="F1546" s="14">
        <f>43.9*(2/3*10)</f>
        <v>292.66666666666663</v>
      </c>
      <c r="G1546" s="14">
        <f>215.9*(2/3*10)</f>
        <v>1439.333333333333</v>
      </c>
      <c r="H1546" s="14">
        <f>46.5*(2/3*10)</f>
        <v>310</v>
      </c>
      <c r="I1546" s="14">
        <f>415.6*(2/3*10)</f>
        <v>2770.6666666666665</v>
      </c>
      <c r="K1546" s="15">
        <v>1543</v>
      </c>
      <c r="L1546">
        <f t="shared" si="24"/>
        <v>7</v>
      </c>
    </row>
    <row r="1547" spans="1:12" ht="16.5" x14ac:dyDescent="0.2">
      <c r="A1547" s="4" t="s">
        <v>160</v>
      </c>
      <c r="B1547">
        <v>2016</v>
      </c>
      <c r="C1547" s="14">
        <f>758.3*(2/3*10)</f>
        <v>5055.333333333333</v>
      </c>
      <c r="D1547" s="14">
        <f>85.3*(2/3*10)</f>
        <v>568.66666666666663</v>
      </c>
      <c r="E1547" s="14">
        <f>1083.7*(2/3*10)</f>
        <v>7224.6666666666661</v>
      </c>
      <c r="F1547" s="14">
        <f>43.7*(2/3*10)</f>
        <v>291.33333333333331</v>
      </c>
      <c r="G1547" s="14">
        <f>217.4*(2/3*10)</f>
        <v>1449.3333333333333</v>
      </c>
      <c r="H1547" s="14">
        <f>47.1*(2/3*10)</f>
        <v>314</v>
      </c>
      <c r="I1547" s="14">
        <f>414.8*(2/3*10)</f>
        <v>2765.333333333333</v>
      </c>
      <c r="K1547">
        <v>1544</v>
      </c>
      <c r="L1547">
        <f t="shared" si="24"/>
        <v>0</v>
      </c>
    </row>
    <row r="1548" spans="1:12" ht="16.5" x14ac:dyDescent="0.2">
      <c r="A1548" s="4" t="s">
        <v>159</v>
      </c>
      <c r="B1548">
        <v>2009</v>
      </c>
      <c r="C1548" s="14">
        <f>177.7*(2/3*10)</f>
        <v>1184.6666666666665</v>
      </c>
      <c r="D1548" s="14">
        <f>57.4*(2/3*10)</f>
        <v>382.66666666666663</v>
      </c>
      <c r="E1548" s="14">
        <f>1060.2*(2/3*10)</f>
        <v>7068</v>
      </c>
      <c r="F1548" s="14">
        <f>18.4*(2/3*10)</f>
        <v>122.66666666666664</v>
      </c>
      <c r="G1548" s="14">
        <f>38.7*(2/3*10)</f>
        <v>258</v>
      </c>
      <c r="H1548" s="14">
        <f>12.1*(2/3*10)</f>
        <v>80.666666666666657</v>
      </c>
      <c r="I1548" s="14">
        <f>37.4*(2/3*10)</f>
        <v>249.33333333333331</v>
      </c>
      <c r="K1548" s="15">
        <v>1545</v>
      </c>
      <c r="L1548">
        <f t="shared" si="24"/>
        <v>1</v>
      </c>
    </row>
    <row r="1549" spans="1:12" ht="16.5" x14ac:dyDescent="0.2">
      <c r="A1549" s="4" t="s">
        <v>159</v>
      </c>
      <c r="B1549">
        <v>2010</v>
      </c>
      <c r="C1549" s="14">
        <f>178*(2/3*10)</f>
        <v>1186.6666666666665</v>
      </c>
      <c r="D1549" s="14">
        <f>57.3*(2/3*10)</f>
        <v>381.99999999999994</v>
      </c>
      <c r="E1549" s="14">
        <f>1059.7*(2/3*10)</f>
        <v>7064.6666666666661</v>
      </c>
      <c r="F1549" s="14">
        <f>18.1*(2/3*10)</f>
        <v>120.66666666666667</v>
      </c>
      <c r="G1549" s="14">
        <f>39.4*(2/3*10)</f>
        <v>262.66666666666663</v>
      </c>
      <c r="H1549" s="14">
        <f>12.2*(2/3*10)</f>
        <v>81.333333333333314</v>
      </c>
      <c r="I1549" s="14">
        <f>37.4*(2/3*10)</f>
        <v>249.33333333333331</v>
      </c>
      <c r="K1549">
        <v>1546</v>
      </c>
      <c r="L1549">
        <f t="shared" si="24"/>
        <v>2</v>
      </c>
    </row>
    <row r="1550" spans="1:12" ht="16.5" x14ac:dyDescent="0.2">
      <c r="A1550" s="4" t="s">
        <v>159</v>
      </c>
      <c r="B1550">
        <v>2011</v>
      </c>
      <c r="C1550" s="14">
        <f>178.1*(2/3*10)</f>
        <v>1187.3333333333333</v>
      </c>
      <c r="D1550" s="14">
        <f>57.1*(2/3*10)</f>
        <v>380.66666666666663</v>
      </c>
      <c r="E1550" s="14">
        <f>1059.4*(2/3*10)</f>
        <v>7062.666666666667</v>
      </c>
      <c r="F1550" s="14">
        <f>18*(2/3*10)</f>
        <v>119.99999999999999</v>
      </c>
      <c r="G1550" s="14">
        <f>39.7*(2/3*10)</f>
        <v>264.66666666666669</v>
      </c>
      <c r="H1550" s="14">
        <f>12.2*(2/3*10)</f>
        <v>81.333333333333314</v>
      </c>
      <c r="I1550" s="14">
        <f>37.4*(2/3*10)</f>
        <v>249.33333333333331</v>
      </c>
      <c r="K1550">
        <v>1547</v>
      </c>
      <c r="L1550">
        <f t="shared" si="24"/>
        <v>3</v>
      </c>
    </row>
    <row r="1551" spans="1:12" ht="16.5" x14ac:dyDescent="0.2">
      <c r="A1551" s="4" t="s">
        <v>159</v>
      </c>
      <c r="B1551">
        <v>2012</v>
      </c>
      <c r="C1551" s="14">
        <f>179*(2/3*10)</f>
        <v>1193.3333333333333</v>
      </c>
      <c r="D1551" s="14">
        <f>56.9*(2/3*10)</f>
        <v>379.33333333333331</v>
      </c>
      <c r="E1551" s="14">
        <f>1058.5*(2/3*10)</f>
        <v>7056.6666666666661</v>
      </c>
      <c r="F1551" s="14">
        <f>17.9*(2/3*10)</f>
        <v>119.33333333333331</v>
      </c>
      <c r="G1551" s="14">
        <f>40.1*(2/3*10)</f>
        <v>267.33333333333326</v>
      </c>
      <c r="H1551" s="14">
        <f>12.2*(2/3*10)</f>
        <v>81.333333333333314</v>
      </c>
      <c r="I1551" s="14">
        <f>37.4*(2/3*10)</f>
        <v>249.33333333333331</v>
      </c>
      <c r="K1551" s="15">
        <v>1548</v>
      </c>
      <c r="L1551">
        <f t="shared" si="24"/>
        <v>4</v>
      </c>
    </row>
    <row r="1552" spans="1:12" ht="16.5" x14ac:dyDescent="0.2">
      <c r="A1552" s="4" t="s">
        <v>159</v>
      </c>
      <c r="B1552">
        <v>2013</v>
      </c>
      <c r="C1552" s="14">
        <f>179.8*(2/3*10)</f>
        <v>1198.6666666666667</v>
      </c>
      <c r="D1552" s="14">
        <f>56.6*(2/3*10)</f>
        <v>377.33333333333331</v>
      </c>
      <c r="E1552" s="14">
        <f>1058*(2/3*10)</f>
        <v>7053.333333333333</v>
      </c>
      <c r="F1552" s="14">
        <f>17.3*(2/3*10)</f>
        <v>115.33333333333333</v>
      </c>
      <c r="G1552" s="14">
        <f>40.5*(2/3*10)</f>
        <v>269.99999999999994</v>
      </c>
      <c r="H1552" s="14">
        <f>12.3*(2/3*10)</f>
        <v>82</v>
      </c>
      <c r="I1552" s="14">
        <f>37.4*(2/3*10)</f>
        <v>249.33333333333331</v>
      </c>
      <c r="K1552">
        <v>1549</v>
      </c>
      <c r="L1552">
        <f t="shared" si="24"/>
        <v>5</v>
      </c>
    </row>
    <row r="1553" spans="1:12" ht="16.5" x14ac:dyDescent="0.2">
      <c r="A1553" s="4" t="s">
        <v>159</v>
      </c>
      <c r="B1553">
        <v>2014</v>
      </c>
      <c r="C1553" s="14">
        <f>179.6*(2/3*10)</f>
        <v>1197.3333333333333</v>
      </c>
      <c r="D1553" s="14">
        <f>56.3*(2/3*10)</f>
        <v>375.33333333333326</v>
      </c>
      <c r="E1553" s="14">
        <f>1058*(2/3*10)</f>
        <v>7053.333333333333</v>
      </c>
      <c r="F1553" s="14">
        <f>17.3*(2/3*10)</f>
        <v>115.33333333333333</v>
      </c>
      <c r="G1553" s="14">
        <f>41.1*(2/3*10)</f>
        <v>273.99999999999994</v>
      </c>
      <c r="H1553" s="14">
        <f>12.4*(2/3*10)</f>
        <v>82.666666666666657</v>
      </c>
      <c r="I1553" s="14">
        <f>37.4*(2/3*10)</f>
        <v>249.33333333333331</v>
      </c>
      <c r="K1553" s="15">
        <v>1550</v>
      </c>
      <c r="L1553">
        <f t="shared" si="24"/>
        <v>6</v>
      </c>
    </row>
    <row r="1554" spans="1:12" ht="16.5" x14ac:dyDescent="0.2">
      <c r="A1554" s="4" t="s">
        <v>159</v>
      </c>
      <c r="B1554">
        <v>2015</v>
      </c>
      <c r="C1554" s="14">
        <f>179.8*(2/3*10)</f>
        <v>1198.6666666666667</v>
      </c>
      <c r="D1554" s="14">
        <f>56*(2/3*10)</f>
        <v>373.33333333333331</v>
      </c>
      <c r="E1554" s="14">
        <f>1057.5*(2/3*10)</f>
        <v>7049.9999999999991</v>
      </c>
      <c r="F1554" s="14">
        <f>17.2*(2/3*10)</f>
        <v>114.66666666666666</v>
      </c>
      <c r="G1554" s="14">
        <f>41.5*(2/3*10)</f>
        <v>276.66666666666663</v>
      </c>
      <c r="H1554" s="14">
        <f>12.6*(2/3*10)</f>
        <v>83.999999999999986</v>
      </c>
      <c r="I1554" s="14">
        <f>37.4*(2/3*10)</f>
        <v>249.33333333333331</v>
      </c>
      <c r="K1554">
        <v>1551</v>
      </c>
      <c r="L1554">
        <f t="shared" si="24"/>
        <v>7</v>
      </c>
    </row>
    <row r="1555" spans="1:12" ht="16.5" x14ac:dyDescent="0.2">
      <c r="A1555" s="4" t="s">
        <v>159</v>
      </c>
      <c r="B1555">
        <v>2016</v>
      </c>
      <c r="C1555" s="14">
        <f>179.2*(2/3*10)</f>
        <v>1194.6666666666665</v>
      </c>
      <c r="D1555" s="14">
        <f>55.7*(2/3*10)</f>
        <v>371.33333333333331</v>
      </c>
      <c r="E1555" s="14">
        <f>1058*(2/3*10)</f>
        <v>7053.333333333333</v>
      </c>
      <c r="F1555" s="14">
        <f>17.2*(2/3*10)</f>
        <v>114.66666666666666</v>
      </c>
      <c r="G1555" s="14">
        <f>41.9*(2/3*10)</f>
        <v>279.33333333333331</v>
      </c>
      <c r="H1555" s="14">
        <f>12.7*(2/3*10)</f>
        <v>84.666666666666657</v>
      </c>
      <c r="I1555" s="14">
        <f>37.4*(2/3*10)</f>
        <v>249.33333333333331</v>
      </c>
      <c r="K1555">
        <v>1552</v>
      </c>
      <c r="L1555">
        <f t="shared" si="24"/>
        <v>0</v>
      </c>
    </row>
    <row r="1556" spans="1:12" ht="16.5" x14ac:dyDescent="0.2">
      <c r="A1556" s="4" t="s">
        <v>158</v>
      </c>
      <c r="B1556">
        <v>2009</v>
      </c>
      <c r="C1556" s="14">
        <f>448.4*(2/3*10)</f>
        <v>2989.333333333333</v>
      </c>
      <c r="D1556" s="14">
        <f>50.8*(2/3*10)</f>
        <v>338.66666666666663</v>
      </c>
      <c r="E1556" s="14">
        <f>870.4*(2/3*10)</f>
        <v>5802.6666666666661</v>
      </c>
      <c r="F1556" s="14">
        <f>8.3*(2/3*10)</f>
        <v>55.333333333333336</v>
      </c>
      <c r="G1556" s="14">
        <f>100.5*(2/3*10)</f>
        <v>669.99999999999989</v>
      </c>
      <c r="H1556" s="14">
        <f>25.6*(2/3*10)</f>
        <v>170.66666666666666</v>
      </c>
      <c r="I1556" s="14">
        <f>320.9*(2/3*10)</f>
        <v>2139.333333333333</v>
      </c>
      <c r="K1556" s="15">
        <v>1553</v>
      </c>
      <c r="L1556">
        <f t="shared" si="24"/>
        <v>1</v>
      </c>
    </row>
    <row r="1557" spans="1:12" ht="16.5" x14ac:dyDescent="0.2">
      <c r="A1557" s="4" t="s">
        <v>158</v>
      </c>
      <c r="B1557">
        <v>2010</v>
      </c>
      <c r="C1557" s="14">
        <f>448.1*(2/3*10)</f>
        <v>2987.333333333333</v>
      </c>
      <c r="D1557" s="14">
        <f>50.8*(2/3*10)</f>
        <v>338.66666666666663</v>
      </c>
      <c r="E1557" s="14">
        <f>869.8*(2/3*10)</f>
        <v>5798.6666666666661</v>
      </c>
      <c r="F1557" s="14">
        <f>8.2*(2/3*10)</f>
        <v>54.666666666666657</v>
      </c>
      <c r="G1557" s="14">
        <f>102*(2/3*10)</f>
        <v>679.99999999999989</v>
      </c>
      <c r="H1557" s="14">
        <f>25.6*(2/3*10)</f>
        <v>170.66666666666666</v>
      </c>
      <c r="I1557" s="14">
        <f>320.6*(2/3*10)</f>
        <v>2137.3333333333335</v>
      </c>
      <c r="K1557">
        <v>1554</v>
      </c>
      <c r="L1557">
        <f t="shared" si="24"/>
        <v>2</v>
      </c>
    </row>
    <row r="1558" spans="1:12" ht="16.5" x14ac:dyDescent="0.2">
      <c r="A1558" s="4" t="s">
        <v>158</v>
      </c>
      <c r="B1558">
        <v>2011</v>
      </c>
      <c r="C1558" s="14">
        <f>447.8*(2/3*10)</f>
        <v>2985.333333333333</v>
      </c>
      <c r="D1558" s="14">
        <f>50.6*(2/3*10)</f>
        <v>337.33333333333331</v>
      </c>
      <c r="E1558" s="14">
        <f>869.2*(2/3*10)</f>
        <v>5794.6666666666661</v>
      </c>
      <c r="F1558" s="14">
        <f>8.2*(2/3*10)</f>
        <v>54.666666666666657</v>
      </c>
      <c r="G1558" s="14">
        <f>102.8*(2/3*10)</f>
        <v>685.33333333333326</v>
      </c>
      <c r="H1558" s="14">
        <f>26.1*(2/3*10)</f>
        <v>174</v>
      </c>
      <c r="I1558" s="14">
        <f>320.4*(2/3*10)</f>
        <v>2135.9999999999995</v>
      </c>
      <c r="K1558" s="15">
        <v>1555</v>
      </c>
      <c r="L1558">
        <f t="shared" si="24"/>
        <v>3</v>
      </c>
    </row>
    <row r="1559" spans="1:12" ht="16.5" x14ac:dyDescent="0.2">
      <c r="A1559" s="4" t="s">
        <v>158</v>
      </c>
      <c r="B1559">
        <v>2012</v>
      </c>
      <c r="C1559" s="14">
        <f>448.1*(2/3*10)</f>
        <v>2987.333333333333</v>
      </c>
      <c r="D1559" s="14">
        <f>50.3*(2/3*10)</f>
        <v>335.33333333333326</v>
      </c>
      <c r="E1559" s="14">
        <f>868.6*(2/3*10)</f>
        <v>5790.6666666666661</v>
      </c>
      <c r="F1559" s="14">
        <f>8.1*(2/3*10)</f>
        <v>53.999999999999993</v>
      </c>
      <c r="G1559" s="14">
        <f>103.7*(2/3*10)</f>
        <v>691.33333333333314</v>
      </c>
      <c r="H1559" s="14">
        <f>26.3*(2/3*10)</f>
        <v>175.33333333333331</v>
      </c>
      <c r="I1559" s="14">
        <f>320*(2/3*10)</f>
        <v>2133.333333333333</v>
      </c>
      <c r="K1559">
        <v>1556</v>
      </c>
      <c r="L1559">
        <f t="shared" si="24"/>
        <v>4</v>
      </c>
    </row>
    <row r="1560" spans="1:12" ht="16.5" x14ac:dyDescent="0.2">
      <c r="A1560" s="4" t="s">
        <v>158</v>
      </c>
      <c r="B1560">
        <v>2013</v>
      </c>
      <c r="C1560" s="14">
        <f>448*(2/3*10)</f>
        <v>2986.6666666666665</v>
      </c>
      <c r="D1560" s="14">
        <f>50.1*(2/3*10)</f>
        <v>334</v>
      </c>
      <c r="E1560" s="14">
        <f>867.9*(2/3*10)</f>
        <v>5785.9999999999991</v>
      </c>
      <c r="F1560" s="14">
        <f>8.1*(2/3*10)</f>
        <v>53.999999999999993</v>
      </c>
      <c r="G1560" s="14">
        <f>104.9*(2/3*10)</f>
        <v>699.33333333333326</v>
      </c>
      <c r="H1560" s="14">
        <f>26.5*(2/3*10)</f>
        <v>176.66666666666666</v>
      </c>
      <c r="I1560" s="14">
        <f>319.6*(2/3*10)</f>
        <v>2130.6666666666665</v>
      </c>
      <c r="K1560">
        <v>1557</v>
      </c>
      <c r="L1560">
        <f t="shared" si="24"/>
        <v>5</v>
      </c>
    </row>
    <row r="1561" spans="1:12" ht="16.5" x14ac:dyDescent="0.2">
      <c r="A1561" s="4" t="s">
        <v>158</v>
      </c>
      <c r="B1561">
        <v>2014</v>
      </c>
      <c r="C1561" s="14">
        <f>448.3*(2/3*10)</f>
        <v>2988.6666666666665</v>
      </c>
      <c r="D1561" s="14">
        <f>50*(2/3*10)</f>
        <v>333.33333333333331</v>
      </c>
      <c r="E1561" s="14">
        <f>866.6*(2/3*10)</f>
        <v>5777.333333333333</v>
      </c>
      <c r="F1561" s="14">
        <f>8*(2/3*10)</f>
        <v>53.333333333333329</v>
      </c>
      <c r="G1561" s="14">
        <f>106.2*(2/3*10)</f>
        <v>708</v>
      </c>
      <c r="H1561" s="14">
        <f>26.8*(2/3*10)</f>
        <v>178.66666666666666</v>
      </c>
      <c r="I1561" s="14">
        <f>319.2*(2/3*10)</f>
        <v>2127.9999999999995</v>
      </c>
      <c r="K1561" s="15">
        <v>1558</v>
      </c>
      <c r="L1561">
        <f t="shared" si="24"/>
        <v>6</v>
      </c>
    </row>
    <row r="1562" spans="1:12" ht="16.5" x14ac:dyDescent="0.2">
      <c r="A1562" s="4" t="s">
        <v>158</v>
      </c>
      <c r="B1562">
        <v>2015</v>
      </c>
      <c r="C1562" s="14">
        <f>448.7*(2/3*10)</f>
        <v>2991.333333333333</v>
      </c>
      <c r="D1562" s="14">
        <f>49.4*(2/3*10)</f>
        <v>329.33333333333331</v>
      </c>
      <c r="E1562" s="14">
        <f>865.5*(2/3*10)</f>
        <v>5769.9999999999991</v>
      </c>
      <c r="F1562" s="14">
        <f>8*(2/3*10)</f>
        <v>53.333333333333329</v>
      </c>
      <c r="G1562" s="14">
        <f>107.2*(2/3*10)</f>
        <v>714.66666666666652</v>
      </c>
      <c r="H1562" s="14">
        <f>27.6*(2/3*10)</f>
        <v>184</v>
      </c>
      <c r="I1562" s="14">
        <f>318.7*(2/3*10)</f>
        <v>2124.6666666666665</v>
      </c>
      <c r="K1562">
        <v>1559</v>
      </c>
      <c r="L1562">
        <f t="shared" si="24"/>
        <v>7</v>
      </c>
    </row>
    <row r="1563" spans="1:12" ht="16.5" x14ac:dyDescent="0.2">
      <c r="A1563" s="4" t="s">
        <v>158</v>
      </c>
      <c r="B1563">
        <v>2016</v>
      </c>
      <c r="C1563" s="14">
        <f>449.2*(2/3*10)</f>
        <v>2994.6666666666665</v>
      </c>
      <c r="D1563" s="14">
        <f>48.6*(2/3*10)</f>
        <v>324</v>
      </c>
      <c r="E1563" s="14">
        <f>864.5*(2/3*10)</f>
        <v>5763.333333333333</v>
      </c>
      <c r="F1563" s="14">
        <f>7.9*(2/3*10)</f>
        <v>52.666666666666664</v>
      </c>
      <c r="G1563" s="14">
        <f>108*(2/3*10)</f>
        <v>719.99999999999989</v>
      </c>
      <c r="H1563" s="14">
        <f>28.5*(2/3*10)</f>
        <v>189.99999999999997</v>
      </c>
      <c r="I1563" s="14">
        <f>318.3*(2/3*10)</f>
        <v>2122</v>
      </c>
      <c r="K1563" s="15">
        <v>1560</v>
      </c>
      <c r="L1563">
        <f t="shared" si="24"/>
        <v>0</v>
      </c>
    </row>
    <row r="1564" spans="1:12" ht="16.5" x14ac:dyDescent="0.2">
      <c r="A1564" s="4" t="s">
        <v>157</v>
      </c>
      <c r="B1564">
        <v>2009</v>
      </c>
      <c r="C1564" s="14">
        <f>446.5*(2/3*10)</f>
        <v>2976.6666666666665</v>
      </c>
      <c r="D1564" s="14">
        <f>65.2*(2/3*10)</f>
        <v>434.66666666666663</v>
      </c>
      <c r="E1564" s="14">
        <f>1973.8*(2/3*10)</f>
        <v>13158.666666666666</v>
      </c>
      <c r="F1564" s="14">
        <f>93.2*(2/3*10)</f>
        <v>621.33333333333326</v>
      </c>
      <c r="G1564" s="14">
        <f>113.5*(2/3*10)</f>
        <v>756.66666666666663</v>
      </c>
      <c r="H1564" s="14">
        <f>32.3*(2/3*10)</f>
        <v>215.33333333333329</v>
      </c>
      <c r="I1564" s="14">
        <f>98.6*(2/3*10)</f>
        <v>657.33333333333326</v>
      </c>
      <c r="K1564">
        <v>1561</v>
      </c>
      <c r="L1564">
        <f t="shared" si="24"/>
        <v>1</v>
      </c>
    </row>
    <row r="1565" spans="1:12" ht="16.5" x14ac:dyDescent="0.2">
      <c r="A1565" s="4" t="s">
        <v>157</v>
      </c>
      <c r="B1565">
        <v>2010</v>
      </c>
      <c r="C1565" s="14">
        <f>447.5*(2/3*10)</f>
        <v>2983.333333333333</v>
      </c>
      <c r="D1565" s="14">
        <f>65.2*(2/3*10)</f>
        <v>434.66666666666663</v>
      </c>
      <c r="E1565" s="14">
        <f>1971.5*(2/3*10)</f>
        <v>13143.333333333332</v>
      </c>
      <c r="F1565" s="14">
        <f>92.4*(2/3*10)</f>
        <v>616</v>
      </c>
      <c r="G1565" s="14">
        <f>115.1*(2/3*10)</f>
        <v>767.33333333333326</v>
      </c>
      <c r="H1565" s="14">
        <f>32.9*(2/3*10)</f>
        <v>219.33333333333331</v>
      </c>
      <c r="I1565" s="14">
        <f>98.5*(2/3*10)</f>
        <v>656.66666666666663</v>
      </c>
      <c r="K1565">
        <v>1562</v>
      </c>
      <c r="L1565">
        <f t="shared" si="24"/>
        <v>2</v>
      </c>
    </row>
    <row r="1566" spans="1:12" ht="16.5" x14ac:dyDescent="0.2">
      <c r="A1566" s="4" t="s">
        <v>157</v>
      </c>
      <c r="B1566">
        <v>2011</v>
      </c>
      <c r="C1566" s="14">
        <f>447.4*(2/3*10)</f>
        <v>2982.6666666666661</v>
      </c>
      <c r="D1566" s="14">
        <f>64.9*(2/3*10)</f>
        <v>432.66666666666669</v>
      </c>
      <c r="E1566" s="14">
        <f>1969.6*(2/3*10)</f>
        <v>13130.666666666664</v>
      </c>
      <c r="F1566" s="14">
        <f>92.1*(2/3*10)</f>
        <v>613.99999999999989</v>
      </c>
      <c r="G1566" s="14">
        <f>117*(2/3*10)</f>
        <v>779.99999999999989</v>
      </c>
      <c r="H1566" s="14">
        <f>33.6*(2/3*10)</f>
        <v>224</v>
      </c>
      <c r="I1566" s="14">
        <f>98.4*(2/3*10)</f>
        <v>656</v>
      </c>
      <c r="K1566" s="15">
        <v>1563</v>
      </c>
      <c r="L1566">
        <f t="shared" si="24"/>
        <v>3</v>
      </c>
    </row>
    <row r="1567" spans="1:12" ht="16.5" x14ac:dyDescent="0.2">
      <c r="A1567" s="4" t="s">
        <v>157</v>
      </c>
      <c r="B1567">
        <v>2012</v>
      </c>
      <c r="C1567" s="14">
        <f>448.7*(2/3*10)</f>
        <v>2991.333333333333</v>
      </c>
      <c r="D1567" s="14">
        <f>64.5*(2/3*10)</f>
        <v>429.99999999999994</v>
      </c>
      <c r="E1567" s="14">
        <f>1967.4*(2/3*10)</f>
        <v>13116</v>
      </c>
      <c r="F1567" s="14">
        <f>91.4*(2/3*10)</f>
        <v>609.33333333333337</v>
      </c>
      <c r="G1567" s="14">
        <f>118.4*(2/3*10)</f>
        <v>789.33333333333326</v>
      </c>
      <c r="H1567" s="14">
        <f>34.2*(2/3*10)</f>
        <v>228</v>
      </c>
      <c r="I1567" s="14">
        <f>98.3*(2/3*10)</f>
        <v>655.33333333333326</v>
      </c>
      <c r="K1567">
        <v>1564</v>
      </c>
      <c r="L1567">
        <f t="shared" si="24"/>
        <v>4</v>
      </c>
    </row>
    <row r="1568" spans="1:12" ht="16.5" x14ac:dyDescent="0.2">
      <c r="A1568" s="4" t="s">
        <v>157</v>
      </c>
      <c r="B1568">
        <v>2013</v>
      </c>
      <c r="C1568" s="14">
        <f>448.9*(2/3*10)</f>
        <v>2992.6666666666661</v>
      </c>
      <c r="D1568" s="14">
        <f>63.3*(2/3*10)</f>
        <v>421.99999999999994</v>
      </c>
      <c r="E1568" s="14">
        <f>1966.3*(2/3*10)</f>
        <v>13108.666666666666</v>
      </c>
      <c r="F1568" s="14">
        <f>91.1*(2/3*10)</f>
        <v>607.33333333333326</v>
      </c>
      <c r="G1568" s="14">
        <f>120*(2/3*10)</f>
        <v>799.99999999999989</v>
      </c>
      <c r="H1568" s="14">
        <f>35*(2/3*10)</f>
        <v>233.33333333333331</v>
      </c>
      <c r="I1568" s="14">
        <f>98.1*(2/3*10)</f>
        <v>653.99999999999989</v>
      </c>
      <c r="K1568" s="15">
        <v>1565</v>
      </c>
      <c r="L1568">
        <f t="shared" si="24"/>
        <v>5</v>
      </c>
    </row>
    <row r="1569" spans="1:12" ht="16.5" x14ac:dyDescent="0.2">
      <c r="A1569" s="4" t="s">
        <v>157</v>
      </c>
      <c r="B1569">
        <v>2014</v>
      </c>
      <c r="C1569" s="14">
        <f>448.5*(2/3*10)</f>
        <v>2989.9999999999995</v>
      </c>
      <c r="D1569" s="14">
        <f>63*(2/3*10)</f>
        <v>419.99999999999994</v>
      </c>
      <c r="E1569" s="14">
        <f>1964.3*(2/3*10)</f>
        <v>13095.333333333332</v>
      </c>
      <c r="F1569" s="14">
        <f>90.8*(2/3*10)</f>
        <v>605.33333333333326</v>
      </c>
      <c r="G1569" s="14">
        <f>122.3*(2/3*10)</f>
        <v>815.33333333333314</v>
      </c>
      <c r="H1569" s="14">
        <f>35.7*(2/3*10)</f>
        <v>238</v>
      </c>
      <c r="I1569" s="14">
        <f>98.1*(2/3*10)</f>
        <v>653.99999999999989</v>
      </c>
      <c r="K1569">
        <v>1566</v>
      </c>
      <c r="L1569">
        <f t="shared" si="24"/>
        <v>6</v>
      </c>
    </row>
    <row r="1570" spans="1:12" ht="16.5" x14ac:dyDescent="0.2">
      <c r="A1570" s="4" t="s">
        <v>157</v>
      </c>
      <c r="B1570">
        <v>2015</v>
      </c>
      <c r="C1570" s="14">
        <f>448.9*(2/3*10)</f>
        <v>2992.6666666666661</v>
      </c>
      <c r="D1570" s="14">
        <f>62.6*(2/3*10)</f>
        <v>417.33333333333331</v>
      </c>
      <c r="E1570" s="14">
        <f>1962.7*(2/3*10)</f>
        <v>13084.666666666666</v>
      </c>
      <c r="F1570" s="14">
        <f>90.5*(2/3*10)</f>
        <v>603.33333333333326</v>
      </c>
      <c r="G1570" s="14">
        <f>124*(2/3*10)</f>
        <v>826.66666666666663</v>
      </c>
      <c r="H1570" s="14">
        <f>35.9*(2/3*10)</f>
        <v>239.33333333333331</v>
      </c>
      <c r="I1570" s="14">
        <f>98*(2/3*10)</f>
        <v>653.33333333333326</v>
      </c>
      <c r="K1570">
        <v>1567</v>
      </c>
      <c r="L1570">
        <f t="shared" si="24"/>
        <v>7</v>
      </c>
    </row>
    <row r="1571" spans="1:12" ht="16.5" x14ac:dyDescent="0.2">
      <c r="A1571" s="4" t="s">
        <v>157</v>
      </c>
      <c r="B1571">
        <v>2016</v>
      </c>
      <c r="C1571" s="14">
        <f>448.5*(2/3*10)</f>
        <v>2989.9999999999995</v>
      </c>
      <c r="D1571" s="14">
        <f>62.1*(2/3*10)</f>
        <v>414</v>
      </c>
      <c r="E1571" s="14">
        <f>1962.1*(2/3*10)</f>
        <v>13080.666666666664</v>
      </c>
      <c r="F1571" s="14">
        <f>90.3*(2/3*10)</f>
        <v>601.99999999999989</v>
      </c>
      <c r="G1571" s="14">
        <f>125.3*(2/3*10)</f>
        <v>835.33333333333326</v>
      </c>
      <c r="H1571" s="14">
        <f>36.3*(2/3*10)</f>
        <v>241.99999999999997</v>
      </c>
      <c r="I1571" s="14">
        <f>97.9*(2/3*10)</f>
        <v>652.66666666666663</v>
      </c>
      <c r="K1571" s="15">
        <v>1568</v>
      </c>
      <c r="L1571">
        <f t="shared" si="24"/>
        <v>0</v>
      </c>
    </row>
    <row r="1572" spans="1:12" ht="16.5" x14ac:dyDescent="0.2">
      <c r="A1572" s="4" t="s">
        <v>156</v>
      </c>
      <c r="B1572">
        <v>2009</v>
      </c>
      <c r="C1572" s="14">
        <f>538.3*(2/3*10)</f>
        <v>3588.6666666666661</v>
      </c>
      <c r="D1572" s="14">
        <f>108.7*(2/3*10)</f>
        <v>724.66666666666663</v>
      </c>
      <c r="E1572" s="14">
        <f>2135.4*(2/3*10)</f>
        <v>14236</v>
      </c>
      <c r="F1572" s="14">
        <f>123*(2/3*10)</f>
        <v>819.99999999999989</v>
      </c>
      <c r="G1572" s="14">
        <f>153.1*(2/3*10)</f>
        <v>1020.6666666666665</v>
      </c>
      <c r="H1572" s="14">
        <f>38*(2/3*10)</f>
        <v>253.33333333333331</v>
      </c>
      <c r="I1572" s="14">
        <f>144.2*(2/3*10)</f>
        <v>961.33333333333314</v>
      </c>
      <c r="K1572">
        <v>1569</v>
      </c>
      <c r="L1572">
        <f t="shared" si="24"/>
        <v>1</v>
      </c>
    </row>
    <row r="1573" spans="1:12" ht="16.5" x14ac:dyDescent="0.2">
      <c r="A1573" s="4" t="s">
        <v>156</v>
      </c>
      <c r="B1573">
        <v>2010</v>
      </c>
      <c r="C1573" s="14">
        <f>539.7*(2/3*10)</f>
        <v>3598</v>
      </c>
      <c r="D1573" s="14">
        <f>107.8*(2/3*10)</f>
        <v>718.66666666666663</v>
      </c>
      <c r="E1573" s="14">
        <f>2133.5*(2/3*10)</f>
        <v>14223.333333333332</v>
      </c>
      <c r="F1573" s="14">
        <f>122.4*(2/3*10)</f>
        <v>816</v>
      </c>
      <c r="G1573" s="14">
        <f>154.9*(2/3*10)</f>
        <v>1032.6666666666665</v>
      </c>
      <c r="H1573" s="14">
        <f>38*(2/3*10)</f>
        <v>253.33333333333331</v>
      </c>
      <c r="I1573" s="14">
        <f>144.1*(2/3*10)</f>
        <v>960.66666666666652</v>
      </c>
      <c r="K1573" s="15">
        <v>1570</v>
      </c>
      <c r="L1573">
        <f t="shared" si="24"/>
        <v>2</v>
      </c>
    </row>
    <row r="1574" spans="1:12" ht="16.5" x14ac:dyDescent="0.2">
      <c r="A1574" s="4" t="s">
        <v>156</v>
      </c>
      <c r="B1574">
        <v>2011</v>
      </c>
      <c r="C1574" s="14">
        <f>540.4*(2/3*10)</f>
        <v>3602.6666666666661</v>
      </c>
      <c r="D1574" s="14">
        <f>107.5*(2/3*10)</f>
        <v>716.66666666666663</v>
      </c>
      <c r="E1574" s="14">
        <f>2132*(2/3*10)</f>
        <v>14213.333333333332</v>
      </c>
      <c r="F1574" s="14">
        <f>121.9*(2/3*10)</f>
        <v>812.66666666666663</v>
      </c>
      <c r="G1574" s="14">
        <f>156.1*(2/3*10)</f>
        <v>1040.6666666666667</v>
      </c>
      <c r="H1574" s="14">
        <f>38.5*(2/3*10)</f>
        <v>256.66666666666663</v>
      </c>
      <c r="I1574" s="14">
        <f>144*(2/3*10)</f>
        <v>959.99999999999989</v>
      </c>
      <c r="K1574">
        <v>1571</v>
      </c>
      <c r="L1574">
        <f t="shared" si="24"/>
        <v>3</v>
      </c>
    </row>
    <row r="1575" spans="1:12" ht="16.5" x14ac:dyDescent="0.2">
      <c r="A1575" s="4" t="s">
        <v>156</v>
      </c>
      <c r="B1575">
        <v>2012</v>
      </c>
      <c r="C1575" s="14">
        <f>542.6*(2/3*10)</f>
        <v>3617.333333333333</v>
      </c>
      <c r="D1575" s="14">
        <f>107.2*(2/3*10)</f>
        <v>714.66666666666663</v>
      </c>
      <c r="E1575" s="14">
        <f>2129.4*(2/3*10)</f>
        <v>14196</v>
      </c>
      <c r="F1575" s="14">
        <f>121.5*(2/3*10)</f>
        <v>809.99999999999989</v>
      </c>
      <c r="G1575" s="14">
        <f>157.1*(2/3*10)</f>
        <v>1047.3333333333333</v>
      </c>
      <c r="H1575" s="14">
        <f>38.7*(2/3*10)</f>
        <v>258</v>
      </c>
      <c r="I1575" s="14">
        <f>143.9*(2/3*10)</f>
        <v>959.33333333333326</v>
      </c>
      <c r="K1575">
        <v>1572</v>
      </c>
      <c r="L1575">
        <f t="shared" si="24"/>
        <v>4</v>
      </c>
    </row>
    <row r="1576" spans="1:12" ht="16.5" x14ac:dyDescent="0.2">
      <c r="A1576" s="4" t="s">
        <v>156</v>
      </c>
      <c r="B1576">
        <v>2013</v>
      </c>
      <c r="C1576" s="14">
        <f>543.9*(2/3*10)</f>
        <v>3625.9999999999995</v>
      </c>
      <c r="D1576" s="14">
        <f>106.8*(2/3*10)</f>
        <v>711.99999999999989</v>
      </c>
      <c r="E1576" s="14">
        <f>2126.9*(2/3*10)</f>
        <v>14179.333333333332</v>
      </c>
      <c r="F1576" s="14">
        <f>120.8*(2/3*10)</f>
        <v>805.33333333333326</v>
      </c>
      <c r="G1576" s="14">
        <f>159*(2/3*10)</f>
        <v>1060</v>
      </c>
      <c r="H1576" s="14">
        <f>39*(2/3*10)</f>
        <v>260</v>
      </c>
      <c r="I1576" s="14">
        <f>143.8*(2/3*10)</f>
        <v>958.66666666666663</v>
      </c>
      <c r="K1576" s="15">
        <v>1573</v>
      </c>
      <c r="L1576">
        <f t="shared" si="24"/>
        <v>5</v>
      </c>
    </row>
    <row r="1577" spans="1:12" ht="16.5" x14ac:dyDescent="0.2">
      <c r="A1577" s="4" t="s">
        <v>156</v>
      </c>
      <c r="B1577">
        <v>2014</v>
      </c>
      <c r="C1577" s="14">
        <f>544.7*(2/3*10)</f>
        <v>3631.3333333333335</v>
      </c>
      <c r="D1577" s="14">
        <f>106.3*(2/3*10)</f>
        <v>708.66666666666663</v>
      </c>
      <c r="E1577" s="14">
        <f>2125.1*(2/3*10)</f>
        <v>14167.333333333332</v>
      </c>
      <c r="F1577" s="14">
        <f>119.9*(2/3*10)</f>
        <v>799.33333333333326</v>
      </c>
      <c r="G1577" s="14">
        <f>160.9*(2/3*10)</f>
        <v>1072.6666666666665</v>
      </c>
      <c r="H1577" s="14">
        <f>39.3*(2/3*10)</f>
        <v>261.99999999999994</v>
      </c>
      <c r="I1577" s="14">
        <f>143.6*(2/3*10)</f>
        <v>957.33333333333326</v>
      </c>
      <c r="K1577">
        <v>1574</v>
      </c>
      <c r="L1577">
        <f t="shared" si="24"/>
        <v>6</v>
      </c>
    </row>
    <row r="1578" spans="1:12" ht="16.5" x14ac:dyDescent="0.2">
      <c r="A1578" s="4" t="s">
        <v>156</v>
      </c>
      <c r="B1578">
        <v>2015</v>
      </c>
      <c r="C1578" s="14">
        <f>544.3*(2/3*10)</f>
        <v>3628.6666666666661</v>
      </c>
      <c r="D1578" s="14">
        <f>105.8*(2/3*10)</f>
        <v>705.33333333333326</v>
      </c>
      <c r="E1578" s="14">
        <f>2124.5*(2/3*10)</f>
        <v>14163.333333333332</v>
      </c>
      <c r="F1578" s="14">
        <f>119.6*(2/3*10)</f>
        <v>797.33333333333326</v>
      </c>
      <c r="G1578" s="14">
        <f>162.8*(2/3*10)</f>
        <v>1085.3333333333333</v>
      </c>
      <c r="H1578" s="14">
        <f>39.4*(2/3*10)</f>
        <v>262.66666666666663</v>
      </c>
      <c r="I1578" s="14">
        <f>143.5*(2/3*10)</f>
        <v>956.66666666666663</v>
      </c>
      <c r="K1578" s="15">
        <v>1575</v>
      </c>
      <c r="L1578">
        <f t="shared" si="24"/>
        <v>7</v>
      </c>
    </row>
    <row r="1579" spans="1:12" ht="16.5" x14ac:dyDescent="0.2">
      <c r="A1579" s="4" t="s">
        <v>156</v>
      </c>
      <c r="B1579">
        <v>2016</v>
      </c>
      <c r="C1579" s="14">
        <f>543.9*(2/3*10)</f>
        <v>3625.9999999999995</v>
      </c>
      <c r="D1579" s="14">
        <f>103.6*(2/3*10)</f>
        <v>690.66666666666652</v>
      </c>
      <c r="E1579" s="14">
        <f>2125.3*(2/3*10)</f>
        <v>14168.666666666666</v>
      </c>
      <c r="F1579" s="14">
        <f>119.3*(2/3*10)</f>
        <v>795.33333333333326</v>
      </c>
      <c r="G1579" s="14">
        <f>164.6*(2/3*10)</f>
        <v>1097.3333333333335</v>
      </c>
      <c r="H1579" s="14">
        <f>39.8*(2/3*10)</f>
        <v>265.33333333333331</v>
      </c>
      <c r="I1579" s="14">
        <f>143.2*(2/3*10)</f>
        <v>954.66666666666652</v>
      </c>
      <c r="K1579">
        <v>1576</v>
      </c>
      <c r="L1579">
        <f t="shared" si="24"/>
        <v>0</v>
      </c>
    </row>
    <row r="1580" spans="1:12" ht="16.5" x14ac:dyDescent="0.2">
      <c r="A1580" s="4" t="s">
        <v>155</v>
      </c>
      <c r="B1580">
        <v>2009</v>
      </c>
      <c r="C1580" s="14">
        <f>511.3*(2/3*10)</f>
        <v>3408.6666666666665</v>
      </c>
      <c r="D1580" s="14">
        <f>201.1*(2/3*10)</f>
        <v>1340.6666666666665</v>
      </c>
      <c r="E1580" s="14">
        <f>3001.3*(2/3*10)</f>
        <v>20008.666666666668</v>
      </c>
      <c r="F1580" s="14">
        <f>55.9*(2/3*10)</f>
        <v>372.66666666666663</v>
      </c>
      <c r="G1580" s="14">
        <f>109.5*(2/3*10)</f>
        <v>729.99999999999989</v>
      </c>
      <c r="H1580" s="14">
        <f>35*(2/3*10)</f>
        <v>233.33333333333331</v>
      </c>
      <c r="I1580" s="14">
        <f>135.9*(2/3*10)</f>
        <v>906</v>
      </c>
      <c r="K1580">
        <v>1577</v>
      </c>
      <c r="L1580">
        <f t="shared" si="24"/>
        <v>1</v>
      </c>
    </row>
    <row r="1581" spans="1:12" ht="16.5" x14ac:dyDescent="0.2">
      <c r="A1581" s="4" t="s">
        <v>155</v>
      </c>
      <c r="B1581">
        <v>2010</v>
      </c>
      <c r="C1581" s="14">
        <f>510.6*(2/3*10)</f>
        <v>3404</v>
      </c>
      <c r="D1581" s="14">
        <f>200.3*(2/3*10)</f>
        <v>1335.3333333333333</v>
      </c>
      <c r="E1581" s="14">
        <f>2998.4*(2/3*10)</f>
        <v>19989.333333333332</v>
      </c>
      <c r="F1581" s="14">
        <f>55.5*(2/3*10)</f>
        <v>369.99999999999994</v>
      </c>
      <c r="G1581" s="14">
        <f>110.8*(2/3*10)</f>
        <v>738.66666666666663</v>
      </c>
      <c r="H1581" s="14">
        <f>38.2*(2/3*10)</f>
        <v>254.66666666666666</v>
      </c>
      <c r="I1581" s="14">
        <f>136.5*(2/3*10)</f>
        <v>909.99999999999989</v>
      </c>
      <c r="K1581" s="15">
        <v>1578</v>
      </c>
      <c r="L1581">
        <f t="shared" si="24"/>
        <v>2</v>
      </c>
    </row>
    <row r="1582" spans="1:12" ht="16.5" x14ac:dyDescent="0.2">
      <c r="A1582" s="4" t="s">
        <v>155</v>
      </c>
      <c r="B1582">
        <v>2011</v>
      </c>
      <c r="C1582" s="14">
        <f>511*(2/3*10)</f>
        <v>3406.6666666666665</v>
      </c>
      <c r="D1582" s="14">
        <f>199.9*(2/3*10)</f>
        <v>1332.6666666666665</v>
      </c>
      <c r="E1582" s="14">
        <f>2996.8*(2/3*10)</f>
        <v>19978.666666666668</v>
      </c>
      <c r="F1582" s="14">
        <f>55.4*(2/3*10)</f>
        <v>369.33333333333331</v>
      </c>
      <c r="G1582" s="14">
        <f>112.2*(2/3*10)</f>
        <v>747.99999999999989</v>
      </c>
      <c r="H1582" s="14">
        <f>38.8*(2/3*10)</f>
        <v>258.66666666666663</v>
      </c>
      <c r="I1582" s="14">
        <f>136.4*(2/3*10)</f>
        <v>909.33333333333326</v>
      </c>
      <c r="K1582">
        <v>1579</v>
      </c>
      <c r="L1582">
        <f t="shared" si="24"/>
        <v>3</v>
      </c>
    </row>
    <row r="1583" spans="1:12" ht="16.5" x14ac:dyDescent="0.2">
      <c r="A1583" s="4" t="s">
        <v>155</v>
      </c>
      <c r="B1583">
        <v>2012</v>
      </c>
      <c r="C1583" s="14">
        <f>512.7*(2/3*10)</f>
        <v>3418</v>
      </c>
      <c r="D1583" s="14">
        <f>199.5*(2/3*10)</f>
        <v>1329.9999999999998</v>
      </c>
      <c r="E1583" s="14">
        <f>2994.4*(2/3*10)</f>
        <v>19962.666666666664</v>
      </c>
      <c r="F1583" s="14">
        <f>55.1*(2/3*10)</f>
        <v>367.33333333333331</v>
      </c>
      <c r="G1583" s="14">
        <f>113.7*(2/3*10)</f>
        <v>758</v>
      </c>
      <c r="H1583" s="14">
        <f>38.9*(2/3*10)</f>
        <v>259.33333333333331</v>
      </c>
      <c r="I1583" s="14">
        <f>136.3*(2/3*10)</f>
        <v>908.66666666666663</v>
      </c>
      <c r="K1583" s="15">
        <v>1580</v>
      </c>
      <c r="L1583">
        <f t="shared" si="24"/>
        <v>4</v>
      </c>
    </row>
    <row r="1584" spans="1:12" ht="16.5" x14ac:dyDescent="0.2">
      <c r="A1584" s="4" t="s">
        <v>155</v>
      </c>
      <c r="B1584">
        <v>2013</v>
      </c>
      <c r="C1584" s="14">
        <f>513.4*(2/3*10)</f>
        <v>3422.6666666666661</v>
      </c>
      <c r="D1584" s="14">
        <f>198.8*(2/3*10)</f>
        <v>1325.3333333333333</v>
      </c>
      <c r="E1584" s="14">
        <f>2992.4*(2/3*10)</f>
        <v>19949.333333333332</v>
      </c>
      <c r="F1584" s="14">
        <f>55*(2/3*10)</f>
        <v>366.66666666666663</v>
      </c>
      <c r="G1584" s="14">
        <f>115.3*(2/3*10)</f>
        <v>768.66666666666663</v>
      </c>
      <c r="H1584" s="14">
        <f>39.4*(2/3*10)</f>
        <v>262.66666666666663</v>
      </c>
      <c r="I1584" s="14">
        <f>136.4*(2/3*10)</f>
        <v>909.33333333333326</v>
      </c>
      <c r="K1584">
        <v>1581</v>
      </c>
      <c r="L1584">
        <f t="shared" si="24"/>
        <v>5</v>
      </c>
    </row>
    <row r="1585" spans="1:12" ht="16.5" x14ac:dyDescent="0.2">
      <c r="A1585" s="4" t="s">
        <v>155</v>
      </c>
      <c r="B1585">
        <v>2014</v>
      </c>
      <c r="C1585" s="14">
        <f>513.9*(2/3*10)</f>
        <v>3425.9999999999995</v>
      </c>
      <c r="D1585" s="14">
        <f>198.1*(2/3*10)</f>
        <v>1320.6666666666665</v>
      </c>
      <c r="E1585" s="14">
        <f>2990.7*(2/3*10)</f>
        <v>19937.999999999996</v>
      </c>
      <c r="F1585" s="14">
        <f>54.9*(2/3*10)</f>
        <v>365.99999999999994</v>
      </c>
      <c r="G1585" s="14">
        <f>116.7*(2/3*10)</f>
        <v>778</v>
      </c>
      <c r="H1585" s="14">
        <f>39.7*(2/3*10)</f>
        <v>264.66666666666669</v>
      </c>
      <c r="I1585" s="14">
        <f>136.3*(2/3*10)</f>
        <v>908.66666666666663</v>
      </c>
      <c r="K1585">
        <v>1582</v>
      </c>
      <c r="L1585">
        <f t="shared" si="24"/>
        <v>6</v>
      </c>
    </row>
    <row r="1586" spans="1:12" ht="16.5" x14ac:dyDescent="0.2">
      <c r="A1586" s="4" t="s">
        <v>155</v>
      </c>
      <c r="B1586">
        <v>2015</v>
      </c>
      <c r="C1586" s="14">
        <f>514.6*(2/3*10)</f>
        <v>3430.6666666666665</v>
      </c>
      <c r="D1586" s="14">
        <f>197.9*(2/3*10)</f>
        <v>1319.3333333333333</v>
      </c>
      <c r="E1586" s="14">
        <f>2988.7*(2/3*10)</f>
        <v>19924.666666666664</v>
      </c>
      <c r="F1586" s="14">
        <f>54.8*(2/3*10)</f>
        <v>365.33333333333326</v>
      </c>
      <c r="G1586" s="14">
        <f>118.2*(2/3*10)</f>
        <v>788</v>
      </c>
      <c r="H1586" s="14">
        <f>39.9*(2/3*10)</f>
        <v>265.99999999999994</v>
      </c>
      <c r="I1586" s="14">
        <f>136.3*(2/3*10)</f>
        <v>908.66666666666663</v>
      </c>
      <c r="K1586" s="15">
        <v>1583</v>
      </c>
      <c r="L1586">
        <f t="shared" si="24"/>
        <v>7</v>
      </c>
    </row>
    <row r="1587" spans="1:12" ht="16.5" x14ac:dyDescent="0.2">
      <c r="A1587" s="4" t="s">
        <v>155</v>
      </c>
      <c r="B1587">
        <v>2016</v>
      </c>
      <c r="C1587" s="14">
        <f>514.3*(2/3*10)</f>
        <v>3428.6666666666661</v>
      </c>
      <c r="D1587" s="14">
        <f>197.7*(2/3*10)</f>
        <v>1317.9999999999998</v>
      </c>
      <c r="E1587" s="14">
        <f>2988.2*(2/3*10)</f>
        <v>19921.333333333332</v>
      </c>
      <c r="F1587" s="14">
        <f>54.7*(2/3*10)</f>
        <v>364.66666666666663</v>
      </c>
      <c r="G1587" s="14">
        <f>119.3*(2/3*10)</f>
        <v>795.33333333333337</v>
      </c>
      <c r="H1587" s="14">
        <f>40.1*(2/3*10)</f>
        <v>267.33333333333331</v>
      </c>
      <c r="I1587" s="14">
        <f>136.2*(2/3*10)</f>
        <v>907.99999999999989</v>
      </c>
      <c r="K1587">
        <v>1584</v>
      </c>
      <c r="L1587">
        <f t="shared" si="24"/>
        <v>0</v>
      </c>
    </row>
    <row r="1588" spans="1:12" ht="16.5" x14ac:dyDescent="0.2">
      <c r="A1588" s="4" t="s">
        <v>154</v>
      </c>
      <c r="B1588">
        <v>2009</v>
      </c>
      <c r="C1588" s="14">
        <f>287.8*(2/3*10)</f>
        <v>1918.6666666666665</v>
      </c>
      <c r="D1588" s="14">
        <f>52.2*(2/3*10)</f>
        <v>348</v>
      </c>
      <c r="E1588" s="14">
        <f>575.5*(2/3*10)</f>
        <v>3836.6666666666665</v>
      </c>
      <c r="F1588" s="14">
        <f>48.8*(2/3*10)</f>
        <v>325.33333333333326</v>
      </c>
      <c r="G1588" s="14">
        <f>113*(2/3*10)</f>
        <v>753.33333333333326</v>
      </c>
      <c r="H1588" s="14">
        <f>19.2*(2/3*10)</f>
        <v>127.99999999999999</v>
      </c>
      <c r="I1588" s="14">
        <f>60.4*(2/3*10)</f>
        <v>402.66666666666663</v>
      </c>
      <c r="K1588" s="15">
        <v>1585</v>
      </c>
      <c r="L1588">
        <f t="shared" si="24"/>
        <v>1</v>
      </c>
    </row>
    <row r="1589" spans="1:12" ht="16.5" x14ac:dyDescent="0.2">
      <c r="A1589" s="4" t="s">
        <v>154</v>
      </c>
      <c r="B1589">
        <v>2010</v>
      </c>
      <c r="C1589" s="14">
        <f>288*(2/3*10)</f>
        <v>1919.9999999999998</v>
      </c>
      <c r="D1589" s="14">
        <f>51.9*(2/3*10)</f>
        <v>345.99999999999994</v>
      </c>
      <c r="E1589" s="14">
        <f>574.4*(2/3*10)</f>
        <v>3829.333333333333</v>
      </c>
      <c r="F1589" s="14">
        <f>48.7*(2/3*10)</f>
        <v>324.66666666666663</v>
      </c>
      <c r="G1589" s="14">
        <f>113.8*(2/3*10)</f>
        <v>758.66666666666663</v>
      </c>
      <c r="H1589" s="14">
        <f>19.8*(2/3*10)</f>
        <v>132</v>
      </c>
      <c r="I1589" s="14">
        <f>60.3*(2/3*10)</f>
        <v>401.99999999999994</v>
      </c>
      <c r="K1589">
        <v>1586</v>
      </c>
      <c r="L1589">
        <f t="shared" si="24"/>
        <v>2</v>
      </c>
    </row>
    <row r="1590" spans="1:12" ht="16.5" x14ac:dyDescent="0.2">
      <c r="A1590" s="4" t="s">
        <v>154</v>
      </c>
      <c r="B1590">
        <v>2011</v>
      </c>
      <c r="C1590" s="14">
        <f>288.2*(2/3*10)</f>
        <v>1921.333333333333</v>
      </c>
      <c r="D1590" s="14">
        <f>51.8*(2/3*10)</f>
        <v>345.33333333333326</v>
      </c>
      <c r="E1590" s="14">
        <f>573.6*(2/3*10)</f>
        <v>3824</v>
      </c>
      <c r="F1590" s="14">
        <f>47.9*(2/3*10)</f>
        <v>319.33333333333331</v>
      </c>
      <c r="G1590" s="14">
        <f>114.8*(2/3*10)</f>
        <v>765.33333333333326</v>
      </c>
      <c r="H1590" s="14">
        <f>20.6*(2/3*10)</f>
        <v>137.33333333333334</v>
      </c>
      <c r="I1590" s="14">
        <f>60.2*(2/3*10)</f>
        <v>401.33333333333331</v>
      </c>
      <c r="K1590">
        <v>1587</v>
      </c>
      <c r="L1590">
        <f t="shared" si="24"/>
        <v>3</v>
      </c>
    </row>
    <row r="1591" spans="1:12" ht="16.5" x14ac:dyDescent="0.2">
      <c r="A1591" s="4" t="s">
        <v>154</v>
      </c>
      <c r="B1591">
        <v>2012</v>
      </c>
      <c r="C1591" s="14">
        <f>288.8*(2/3*10)</f>
        <v>1925.3333333333333</v>
      </c>
      <c r="D1591" s="14">
        <f>51.8*(2/3*10)</f>
        <v>345.33333333333326</v>
      </c>
      <c r="E1591" s="14">
        <f>572.5*(2/3*10)</f>
        <v>3816.6666666666665</v>
      </c>
      <c r="F1591" s="14">
        <f>47.5*(2/3*10)</f>
        <v>316.66666666666663</v>
      </c>
      <c r="G1591" s="14">
        <f>116*(2/3*10)</f>
        <v>773.33333333333314</v>
      </c>
      <c r="H1591" s="14">
        <f>20.7*(2/3*10)</f>
        <v>137.99999999999997</v>
      </c>
      <c r="I1591" s="14">
        <f>60.1*(2/3*10)</f>
        <v>400.66666666666663</v>
      </c>
      <c r="K1591" s="15">
        <v>1588</v>
      </c>
      <c r="L1591">
        <f t="shared" si="24"/>
        <v>4</v>
      </c>
    </row>
    <row r="1592" spans="1:12" ht="16.5" x14ac:dyDescent="0.2">
      <c r="A1592" s="4" t="s">
        <v>154</v>
      </c>
      <c r="B1592">
        <v>2013</v>
      </c>
      <c r="C1592" s="14">
        <f>289.1*(2/3*10)</f>
        <v>1927.3333333333333</v>
      </c>
      <c r="D1592" s="14">
        <f>51.4*(2/3*10)</f>
        <v>342.66666666666663</v>
      </c>
      <c r="E1592" s="14">
        <f>571.5*(2/3*10)</f>
        <v>3809.9999999999995</v>
      </c>
      <c r="F1592" s="14">
        <f>47.2*(2/3*10)</f>
        <v>314.66666666666669</v>
      </c>
      <c r="G1592" s="14">
        <f>117.3*(2/3*10)</f>
        <v>781.99999999999989</v>
      </c>
      <c r="H1592" s="14">
        <f>21*(2/3*10)</f>
        <v>140</v>
      </c>
      <c r="I1592" s="14">
        <f>60*(2/3*10)</f>
        <v>399.99999999999994</v>
      </c>
      <c r="K1592">
        <v>1589</v>
      </c>
      <c r="L1592">
        <f t="shared" si="24"/>
        <v>5</v>
      </c>
    </row>
    <row r="1593" spans="1:12" ht="16.5" x14ac:dyDescent="0.2">
      <c r="A1593" s="4" t="s">
        <v>154</v>
      </c>
      <c r="B1593">
        <v>2014</v>
      </c>
      <c r="C1593" s="14">
        <f>288.9*(2/3*10)</f>
        <v>1925.9999999999998</v>
      </c>
      <c r="D1593" s="14">
        <f>51.3*(2/3*10)</f>
        <v>341.99999999999994</v>
      </c>
      <c r="E1593" s="14">
        <f>570.8*(2/3*10)</f>
        <v>3805.3333333333326</v>
      </c>
      <c r="F1593" s="14">
        <f>47*(2/3*10)</f>
        <v>313.33333333333331</v>
      </c>
      <c r="G1593" s="14">
        <f>118.2*(2/3*10)</f>
        <v>788</v>
      </c>
      <c r="H1593" s="14">
        <f>21.4*(2/3*10)</f>
        <v>142.66666666666666</v>
      </c>
      <c r="I1593" s="14">
        <f>59.9*(2/3*10)</f>
        <v>399.33333333333331</v>
      </c>
      <c r="K1593" s="15">
        <v>1590</v>
      </c>
      <c r="L1593">
        <f t="shared" si="24"/>
        <v>6</v>
      </c>
    </row>
    <row r="1594" spans="1:12" ht="16.5" x14ac:dyDescent="0.2">
      <c r="A1594" s="4" t="s">
        <v>154</v>
      </c>
      <c r="B1594">
        <v>2015</v>
      </c>
      <c r="C1594" s="14">
        <f>288.8*(2/3*10)</f>
        <v>1925.3333333333333</v>
      </c>
      <c r="D1594" s="14">
        <f>51.2*(2/3*10)</f>
        <v>341.33333333333331</v>
      </c>
      <c r="E1594" s="14">
        <f>570.4*(2/3*10)</f>
        <v>3802.6666666666661</v>
      </c>
      <c r="F1594" s="14">
        <f>46.8*(2/3*10)</f>
        <v>311.99999999999994</v>
      </c>
      <c r="G1594" s="14">
        <f>118.9*(2/3*10)</f>
        <v>792.66666666666652</v>
      </c>
      <c r="H1594" s="14">
        <f>21.6*(2/3*10)</f>
        <v>144</v>
      </c>
      <c r="I1594" s="14">
        <f>59.8*(2/3*10)</f>
        <v>398.66666666666663</v>
      </c>
      <c r="K1594">
        <v>1591</v>
      </c>
      <c r="L1594">
        <f t="shared" si="24"/>
        <v>7</v>
      </c>
    </row>
    <row r="1595" spans="1:12" ht="16.5" x14ac:dyDescent="0.2">
      <c r="A1595" s="4" t="s">
        <v>154</v>
      </c>
      <c r="B1595">
        <v>2016</v>
      </c>
      <c r="C1595" s="14">
        <f>288.8*(2/3*10)</f>
        <v>1925.3333333333333</v>
      </c>
      <c r="D1595" s="14">
        <f>50.5*(2/3*10)</f>
        <v>336.66666666666663</v>
      </c>
      <c r="E1595" s="14">
        <f>570.5*(2/3*10)</f>
        <v>3803.333333333333</v>
      </c>
      <c r="F1595" s="14">
        <f>46.7*(2/3*10)</f>
        <v>311.33333333333331</v>
      </c>
      <c r="G1595" s="14">
        <f>119.4*(2/3*10)</f>
        <v>795.99999999999989</v>
      </c>
      <c r="H1595" s="14">
        <f>21.8*(2/3*10)</f>
        <v>145.33333333333331</v>
      </c>
      <c r="I1595" s="14">
        <f>59.8*(2/3*10)</f>
        <v>398.66666666666663</v>
      </c>
      <c r="K1595">
        <v>1592</v>
      </c>
      <c r="L1595">
        <f t="shared" si="24"/>
        <v>0</v>
      </c>
    </row>
    <row r="1596" spans="1:12" ht="16.5" x14ac:dyDescent="0.2">
      <c r="A1596" s="4" t="s">
        <v>153</v>
      </c>
      <c r="B1596">
        <v>2009</v>
      </c>
      <c r="C1596" s="14">
        <f>291.6*(2/3*10)</f>
        <v>1944</v>
      </c>
      <c r="D1596" s="14">
        <f>106*(2/3*10)</f>
        <v>706.66666666666663</v>
      </c>
      <c r="E1596" s="14">
        <f>1661.1*(2/3*10)</f>
        <v>11073.999999999998</v>
      </c>
      <c r="F1596" s="14">
        <f>87.4*(2/3*10)</f>
        <v>582.66666666666663</v>
      </c>
      <c r="G1596" s="14">
        <f>64.9*(2/3*10)</f>
        <v>432.66666666666657</v>
      </c>
      <c r="H1596" s="14">
        <f>15.9*(2/3*10)</f>
        <v>106</v>
      </c>
      <c r="I1596" s="14">
        <f>44.4*(2/3*10)</f>
        <v>295.99999999999994</v>
      </c>
      <c r="K1596" s="15">
        <v>1593</v>
      </c>
      <c r="L1596">
        <f t="shared" si="24"/>
        <v>1</v>
      </c>
    </row>
    <row r="1597" spans="1:12" ht="16.5" x14ac:dyDescent="0.2">
      <c r="A1597" s="4" t="s">
        <v>153</v>
      </c>
      <c r="B1597">
        <v>2010</v>
      </c>
      <c r="C1597" s="14">
        <f>293.2*(2/3*10)</f>
        <v>1954.6666666666665</v>
      </c>
      <c r="D1597" s="14">
        <f>105.6*(2/3*10)</f>
        <v>703.99999999999989</v>
      </c>
      <c r="E1597" s="14">
        <f>1659.7*(2/3*10)</f>
        <v>11064.666666666666</v>
      </c>
      <c r="F1597" s="14">
        <f>86.8*(2/3*10)</f>
        <v>578.66666666666663</v>
      </c>
      <c r="G1597" s="14">
        <f>65.3*(2/3*10)</f>
        <v>435.33333333333326</v>
      </c>
      <c r="H1597" s="14">
        <f>16.3*(2/3*10)</f>
        <v>108.66666666666666</v>
      </c>
      <c r="I1597" s="14">
        <f>44.4*(2/3*10)</f>
        <v>295.99999999999994</v>
      </c>
      <c r="K1597">
        <v>1594</v>
      </c>
      <c r="L1597">
        <f t="shared" si="24"/>
        <v>2</v>
      </c>
    </row>
    <row r="1598" spans="1:12" ht="16.5" x14ac:dyDescent="0.2">
      <c r="A1598" s="4" t="s">
        <v>153</v>
      </c>
      <c r="B1598">
        <v>2011</v>
      </c>
      <c r="C1598" s="14">
        <f>294.1*(2/3*10)</f>
        <v>1960.6666666666667</v>
      </c>
      <c r="D1598" s="14">
        <f>105*(2/3*10)</f>
        <v>699.99999999999989</v>
      </c>
      <c r="E1598" s="14">
        <f>1658.2*(2/3*10)</f>
        <v>11054.666666666666</v>
      </c>
      <c r="F1598" s="14">
        <f>86.5*(2/3*10)</f>
        <v>576.66666666666663</v>
      </c>
      <c r="G1598" s="14">
        <f>66*(2/3*10)</f>
        <v>439.99999999999994</v>
      </c>
      <c r="H1598" s="14">
        <f>17.1*(2/3*10)</f>
        <v>114</v>
      </c>
      <c r="I1598" s="14">
        <f>44.4*(2/3*10)</f>
        <v>295.99999999999994</v>
      </c>
      <c r="K1598" s="15">
        <v>1595</v>
      </c>
      <c r="L1598">
        <f t="shared" si="24"/>
        <v>3</v>
      </c>
    </row>
    <row r="1599" spans="1:12" ht="16.5" x14ac:dyDescent="0.2">
      <c r="A1599" s="4" t="s">
        <v>153</v>
      </c>
      <c r="B1599">
        <v>2012</v>
      </c>
      <c r="C1599" s="14">
        <f>295.4*(2/3*10)</f>
        <v>1969.333333333333</v>
      </c>
      <c r="D1599" s="14">
        <f>104.2*(2/3*10)</f>
        <v>694.66666666666663</v>
      </c>
      <c r="E1599" s="14">
        <f>1657*(2/3*10)</f>
        <v>11046.666666666666</v>
      </c>
      <c r="F1599" s="14">
        <f>86.4*(2/3*10)</f>
        <v>576</v>
      </c>
      <c r="G1599" s="14">
        <f>66.4*(2/3*10)</f>
        <v>442.66666666666657</v>
      </c>
      <c r="H1599" s="14">
        <f>17.4*(2/3*10)</f>
        <v>115.99999999999999</v>
      </c>
      <c r="I1599" s="14">
        <f>44.4*(2/3*10)</f>
        <v>295.99999999999994</v>
      </c>
      <c r="K1599">
        <v>1596</v>
      </c>
      <c r="L1599">
        <f t="shared" si="24"/>
        <v>4</v>
      </c>
    </row>
    <row r="1600" spans="1:12" ht="16.5" x14ac:dyDescent="0.2">
      <c r="A1600" s="4" t="s">
        <v>153</v>
      </c>
      <c r="B1600">
        <v>2013</v>
      </c>
      <c r="C1600" s="14">
        <f>298.5*(2/3*10)</f>
        <v>1989.9999999999998</v>
      </c>
      <c r="D1600" s="14">
        <f>103.4*(2/3*10)</f>
        <v>689.33333333333326</v>
      </c>
      <c r="E1600" s="14">
        <f>1653.7*(2/3*10)</f>
        <v>11024.666666666666</v>
      </c>
      <c r="F1600" s="14">
        <f>85.9*(2/3*10)</f>
        <v>572.66666666666663</v>
      </c>
      <c r="G1600" s="14">
        <f>67.2*(2/3*10)</f>
        <v>448</v>
      </c>
      <c r="H1600" s="14">
        <f>18.2*(2/3*10)</f>
        <v>121.33333333333331</v>
      </c>
      <c r="I1600" s="14">
        <f>44.3*(2/3*10)</f>
        <v>295.33333333333331</v>
      </c>
      <c r="K1600">
        <v>1597</v>
      </c>
      <c r="L1600">
        <f t="shared" ref="L1600:L1663" si="25">MOD(K1600,8)</f>
        <v>5</v>
      </c>
    </row>
    <row r="1601" spans="1:12" ht="16.5" x14ac:dyDescent="0.2">
      <c r="A1601" s="4" t="s">
        <v>153</v>
      </c>
      <c r="B1601">
        <v>2014</v>
      </c>
      <c r="C1601" s="14">
        <f>298.7*(2/3*10)</f>
        <v>1991.333333333333</v>
      </c>
      <c r="D1601" s="14">
        <f>103*(2/3*10)</f>
        <v>686.66666666666663</v>
      </c>
      <c r="E1601" s="14">
        <f>1652.6*(2/3*10)</f>
        <v>11017.333333333332</v>
      </c>
      <c r="F1601" s="14">
        <f>85.7*(2/3*10)</f>
        <v>571.33333333333326</v>
      </c>
      <c r="G1601" s="14">
        <f>68.1*(2/3*10)</f>
        <v>454</v>
      </c>
      <c r="H1601" s="14">
        <f>18.7*(2/3*10)</f>
        <v>124.66666666666666</v>
      </c>
      <c r="I1601" s="14">
        <f>44.3*(2/3*10)</f>
        <v>295.33333333333331</v>
      </c>
      <c r="K1601" s="15">
        <v>1598</v>
      </c>
      <c r="L1601">
        <f t="shared" si="25"/>
        <v>6</v>
      </c>
    </row>
    <row r="1602" spans="1:12" ht="16.5" x14ac:dyDescent="0.2">
      <c r="A1602" s="4" t="s">
        <v>153</v>
      </c>
      <c r="B1602">
        <v>2015</v>
      </c>
      <c r="C1602" s="14">
        <f>299.6*(2/3*10)</f>
        <v>1997.3333333333333</v>
      </c>
      <c r="D1602" s="14">
        <f>101.8*(2/3*10)</f>
        <v>678.66666666666663</v>
      </c>
      <c r="E1602" s="14">
        <f>1652.1*(2/3*10)</f>
        <v>11013.999999999998</v>
      </c>
      <c r="F1602" s="14">
        <f>85.5*(2/3*10)</f>
        <v>570</v>
      </c>
      <c r="G1602" s="14">
        <f>68.8*(2/3*10)</f>
        <v>458.66666666666663</v>
      </c>
      <c r="H1602" s="14">
        <f>18.8*(2/3*10)</f>
        <v>125.33333333333333</v>
      </c>
      <c r="I1602" s="14">
        <f>44.3*(2/3*10)</f>
        <v>295.33333333333331</v>
      </c>
      <c r="K1602">
        <v>1599</v>
      </c>
      <c r="L1602">
        <f t="shared" si="25"/>
        <v>7</v>
      </c>
    </row>
    <row r="1603" spans="1:12" ht="16.5" x14ac:dyDescent="0.2">
      <c r="A1603" s="4" t="s">
        <v>153</v>
      </c>
      <c r="B1603">
        <v>2016</v>
      </c>
      <c r="C1603" s="14">
        <f>299.7*(2/3*10)</f>
        <v>1997.9999999999998</v>
      </c>
      <c r="D1603" s="14">
        <f>100.4*(2/3*10)</f>
        <v>669.33333333333326</v>
      </c>
      <c r="E1603" s="14">
        <f>1652.5*(2/3*10)</f>
        <v>11016.666666666666</v>
      </c>
      <c r="F1603" s="14">
        <f>85.4*(2/3*10)</f>
        <v>569.33333333333337</v>
      </c>
      <c r="G1603" s="14">
        <f>69.8*(2/3*10)</f>
        <v>465.33333333333326</v>
      </c>
      <c r="H1603" s="14">
        <f>18.8*(2/3*10)</f>
        <v>125.33333333333333</v>
      </c>
      <c r="I1603" s="14">
        <f>44.3*(2/3*10)</f>
        <v>295.33333333333331</v>
      </c>
      <c r="K1603" s="15">
        <v>1600</v>
      </c>
      <c r="L1603">
        <f t="shared" si="25"/>
        <v>0</v>
      </c>
    </row>
    <row r="1604" spans="1:12" ht="16.5" x14ac:dyDescent="0.2">
      <c r="A1604" s="4" t="s">
        <v>152</v>
      </c>
      <c r="B1604">
        <v>2009</v>
      </c>
      <c r="C1604" s="14">
        <f>130.2*(2/3*10)</f>
        <v>867.99999999999989</v>
      </c>
      <c r="D1604" s="14">
        <f>166.5*(2/3*10)</f>
        <v>1110</v>
      </c>
      <c r="E1604" s="14">
        <f>385.3*(2/3*10)</f>
        <v>2568.6666666666665</v>
      </c>
      <c r="F1604" s="14">
        <f>7.4*(2/3*10)</f>
        <v>49.333333333333329</v>
      </c>
      <c r="G1604" s="14">
        <f>191.9*(2/3*10)</f>
        <v>1279.3333333333333</v>
      </c>
      <c r="H1604" s="14">
        <f>42.6*(2/3*10)</f>
        <v>284</v>
      </c>
      <c r="I1604" s="14">
        <f>148*(2/3*10)</f>
        <v>986.66666666666663</v>
      </c>
      <c r="K1604">
        <v>1601</v>
      </c>
      <c r="L1604">
        <f t="shared" si="25"/>
        <v>1</v>
      </c>
    </row>
    <row r="1605" spans="1:12" ht="16.5" x14ac:dyDescent="0.2">
      <c r="A1605" s="4" t="s">
        <v>152</v>
      </c>
      <c r="B1605">
        <v>2010</v>
      </c>
      <c r="C1605" s="14">
        <f>128.9*(2/3*10)</f>
        <v>859.33333333333326</v>
      </c>
      <c r="D1605" s="14">
        <f>164.8*(2/3*10)</f>
        <v>1098.6666666666667</v>
      </c>
      <c r="E1605" s="14">
        <f>384.2*(2/3*10)</f>
        <v>2561.333333333333</v>
      </c>
      <c r="F1605" s="14">
        <f>6.5*(2/3*10)</f>
        <v>43.333333333333329</v>
      </c>
      <c r="G1605" s="14">
        <f>198.2*(2/3*10)</f>
        <v>1321.333333333333</v>
      </c>
      <c r="H1605" s="14">
        <f>43.1*(2/3*10)</f>
        <v>287.33333333333331</v>
      </c>
      <c r="I1605" s="14">
        <f>147.1*(2/3*10)</f>
        <v>980.66666666666652</v>
      </c>
      <c r="K1605">
        <v>1602</v>
      </c>
      <c r="L1605">
        <f t="shared" si="25"/>
        <v>2</v>
      </c>
    </row>
    <row r="1606" spans="1:12" ht="16.5" x14ac:dyDescent="0.2">
      <c r="A1606" s="4" t="s">
        <v>152</v>
      </c>
      <c r="B1606">
        <v>2011</v>
      </c>
      <c r="C1606" s="14">
        <f>128.2*(2/3*10)</f>
        <v>854.66666666666652</v>
      </c>
      <c r="D1606" s="14">
        <f>163.2*(2/3*10)</f>
        <v>1087.9999999999998</v>
      </c>
      <c r="E1606" s="14">
        <f>383*(2/3*10)</f>
        <v>2553.333333333333</v>
      </c>
      <c r="F1606" s="14">
        <f>5.8*(2/3*10)</f>
        <v>38.666666666666664</v>
      </c>
      <c r="G1606" s="14">
        <f>202.4*(2/3*10)</f>
        <v>1349.3333333333333</v>
      </c>
      <c r="H1606" s="14">
        <f>43.8*(2/3*10)</f>
        <v>291.99999999999994</v>
      </c>
      <c r="I1606" s="14">
        <f>146.6*(2/3*10)</f>
        <v>977.33333333333326</v>
      </c>
      <c r="K1606" s="15">
        <v>1603</v>
      </c>
      <c r="L1606">
        <f t="shared" si="25"/>
        <v>3</v>
      </c>
    </row>
    <row r="1607" spans="1:12" ht="16.5" x14ac:dyDescent="0.2">
      <c r="A1607" s="4" t="s">
        <v>152</v>
      </c>
      <c r="B1607">
        <v>2012</v>
      </c>
      <c r="C1607" s="14">
        <f>126.9*(2/3*10)</f>
        <v>846</v>
      </c>
      <c r="D1607" s="14">
        <f>162.2*(2/3*10)</f>
        <v>1081.3333333333333</v>
      </c>
      <c r="E1607" s="14">
        <f>382.4*(2/3*10)</f>
        <v>2549.333333333333</v>
      </c>
      <c r="F1607" s="14">
        <f>5.5*(2/3*10)</f>
        <v>36.666666666666664</v>
      </c>
      <c r="G1607" s="14">
        <f>205.3*(2/3*10)</f>
        <v>1368.6666666666665</v>
      </c>
      <c r="H1607" s="14">
        <f>44.6*(2/3*10)</f>
        <v>297.33333333333331</v>
      </c>
      <c r="I1607" s="14">
        <f>146.1*(2/3*10)</f>
        <v>973.99999999999989</v>
      </c>
      <c r="K1607">
        <v>1604</v>
      </c>
      <c r="L1607">
        <f t="shared" si="25"/>
        <v>4</v>
      </c>
    </row>
    <row r="1608" spans="1:12" ht="16.5" x14ac:dyDescent="0.2">
      <c r="A1608" s="4" t="s">
        <v>152</v>
      </c>
      <c r="B1608">
        <v>2013</v>
      </c>
      <c r="C1608" s="14">
        <f>125.8*(2/3*10)</f>
        <v>838.66666666666663</v>
      </c>
      <c r="D1608" s="14">
        <f>161*(2/3*10)</f>
        <v>1073.3333333333333</v>
      </c>
      <c r="E1608" s="14">
        <f>381.5*(2/3*10)</f>
        <v>2543.333333333333</v>
      </c>
      <c r="F1608" s="14">
        <f>5.2*(2/3*10)</f>
        <v>34.666666666666664</v>
      </c>
      <c r="G1608" s="14">
        <f>208.8*(2/3*10)</f>
        <v>1391.9999999999998</v>
      </c>
      <c r="H1608" s="14">
        <f>45.6*(2/3*10)</f>
        <v>304</v>
      </c>
      <c r="I1608" s="14">
        <f>145.1*(2/3*10)</f>
        <v>967.33333333333326</v>
      </c>
      <c r="K1608" s="15">
        <v>1605</v>
      </c>
      <c r="L1608">
        <f t="shared" si="25"/>
        <v>5</v>
      </c>
    </row>
    <row r="1609" spans="1:12" ht="16.5" x14ac:dyDescent="0.2">
      <c r="A1609" s="4" t="s">
        <v>152</v>
      </c>
      <c r="B1609">
        <v>2014</v>
      </c>
      <c r="C1609" s="14">
        <f>124.3*(2/3*10)</f>
        <v>828.66666666666663</v>
      </c>
      <c r="D1609" s="14">
        <f>159.7*(2/3*10)</f>
        <v>1064.6666666666665</v>
      </c>
      <c r="E1609" s="14">
        <f>380.6*(2/3*10)</f>
        <v>2537.3333333333335</v>
      </c>
      <c r="F1609" s="14">
        <f>4.8*(2/3*10)</f>
        <v>31.999999999999996</v>
      </c>
      <c r="G1609" s="14">
        <f>212.9*(2/3*10)</f>
        <v>1419.3333333333333</v>
      </c>
      <c r="H1609" s="14">
        <f>46.3*(2/3*10)</f>
        <v>308.66666666666663</v>
      </c>
      <c r="I1609" s="14">
        <f>144.6*(2/3*10)</f>
        <v>963.99999999999989</v>
      </c>
      <c r="K1609">
        <v>1606</v>
      </c>
      <c r="L1609">
        <f t="shared" si="25"/>
        <v>6</v>
      </c>
    </row>
    <row r="1610" spans="1:12" ht="16.5" x14ac:dyDescent="0.2">
      <c r="A1610" s="4" t="s">
        <v>152</v>
      </c>
      <c r="B1610">
        <v>2015</v>
      </c>
      <c r="C1610" s="14">
        <f>122.9*(2/3*10)</f>
        <v>819.33333333333326</v>
      </c>
      <c r="D1610" s="14">
        <f>158.8*(2/3*10)</f>
        <v>1058.6666666666667</v>
      </c>
      <c r="E1610" s="14">
        <f>380*(2/3*10)</f>
        <v>2533.333333333333</v>
      </c>
      <c r="F1610" s="14">
        <f>4.5*(2/3*10)</f>
        <v>29.999999999999996</v>
      </c>
      <c r="G1610" s="14">
        <f>216.7*(2/3*10)</f>
        <v>1444.6666666666667</v>
      </c>
      <c r="H1610" s="14">
        <f>46.6*(2/3*10)</f>
        <v>310.66666666666663</v>
      </c>
      <c r="I1610" s="14">
        <f>144*(2/3*10)</f>
        <v>959.99999999999989</v>
      </c>
      <c r="K1610">
        <v>1607</v>
      </c>
      <c r="L1610">
        <f t="shared" si="25"/>
        <v>7</v>
      </c>
    </row>
    <row r="1611" spans="1:12" ht="16.5" x14ac:dyDescent="0.2">
      <c r="A1611" s="4" t="s">
        <v>152</v>
      </c>
      <c r="B1611">
        <v>2016</v>
      </c>
      <c r="C1611" s="14">
        <f>121.4*(2/3*10)</f>
        <v>809.33333333333326</v>
      </c>
      <c r="D1611" s="14">
        <f>157.3*(2/3*10)</f>
        <v>1048.6666666666667</v>
      </c>
      <c r="E1611" s="14">
        <f>379.1*(2/3*10)</f>
        <v>2527.3333333333335</v>
      </c>
      <c r="F1611" s="14">
        <f>4.2*(2/3*10)</f>
        <v>28</v>
      </c>
      <c r="G1611" s="14">
        <f>221.5*(2/3*10)</f>
        <v>1476.6666666666665</v>
      </c>
      <c r="H1611" s="14">
        <f>47*(2/3*10)</f>
        <v>313.33333333333331</v>
      </c>
      <c r="I1611" s="14">
        <f>143*(2/3*10)</f>
        <v>953.33333333333326</v>
      </c>
      <c r="K1611" s="15">
        <v>1608</v>
      </c>
      <c r="L1611">
        <f t="shared" si="25"/>
        <v>0</v>
      </c>
    </row>
    <row r="1612" spans="1:12" ht="16.5" x14ac:dyDescent="0.2">
      <c r="A1612" s="4" t="s">
        <v>151</v>
      </c>
      <c r="B1612">
        <v>2009</v>
      </c>
      <c r="C1612" s="14">
        <f>323.6*(2/3*10)</f>
        <v>2157.3333333333335</v>
      </c>
      <c r="D1612" s="14">
        <f>42.3*(2/3*10)</f>
        <v>281.99999999999994</v>
      </c>
      <c r="E1612" s="14">
        <f>2118.9*(2/3*10)</f>
        <v>14126</v>
      </c>
      <c r="F1612" s="14">
        <f>40*(2/3*10)</f>
        <v>266.66666666666663</v>
      </c>
      <c r="G1612" s="14">
        <f>83.2*(2/3*10)</f>
        <v>554.66666666666663</v>
      </c>
      <c r="H1612" s="14">
        <f>26.3*(2/3*10)</f>
        <v>175.33333333333331</v>
      </c>
      <c r="I1612" s="14">
        <f>83.1*(2/3*10)</f>
        <v>553.99999999999989</v>
      </c>
      <c r="K1612">
        <v>1609</v>
      </c>
      <c r="L1612">
        <f t="shared" si="25"/>
        <v>1</v>
      </c>
    </row>
    <row r="1613" spans="1:12" ht="16.5" x14ac:dyDescent="0.2">
      <c r="A1613" s="4" t="s">
        <v>151</v>
      </c>
      <c r="B1613">
        <v>2010</v>
      </c>
      <c r="C1613" s="14">
        <f>324.7*(2/3*10)</f>
        <v>2164.6666666666665</v>
      </c>
      <c r="D1613" s="14">
        <f>41.1*(2/3*10)</f>
        <v>274</v>
      </c>
      <c r="E1613" s="14">
        <f>2116.3*(2/3*10)</f>
        <v>14108.666666666666</v>
      </c>
      <c r="F1613" s="14">
        <f>39.2*(2/3*10)</f>
        <v>261.33333333333331</v>
      </c>
      <c r="G1613" s="14">
        <f>84.6*(2/3*10)</f>
        <v>564</v>
      </c>
      <c r="H1613" s="14">
        <f>28.7*(2/3*10)</f>
        <v>191.33333333333331</v>
      </c>
      <c r="I1613" s="14">
        <f>82.9*(2/3*10)</f>
        <v>552.66666666666663</v>
      </c>
      <c r="K1613" s="15">
        <v>1610</v>
      </c>
      <c r="L1613">
        <f t="shared" si="25"/>
        <v>2</v>
      </c>
    </row>
    <row r="1614" spans="1:12" ht="16.5" x14ac:dyDescent="0.2">
      <c r="A1614" s="4" t="s">
        <v>151</v>
      </c>
      <c r="B1614">
        <v>2011</v>
      </c>
      <c r="C1614" s="14">
        <f>329.5*(2/3*10)</f>
        <v>2196.6666666666665</v>
      </c>
      <c r="D1614" s="14">
        <f>40.7*(2/3*10)</f>
        <v>271.33333333333331</v>
      </c>
      <c r="E1614" s="14">
        <f>2110.7*(2/3*10)</f>
        <v>14071.33333333333</v>
      </c>
      <c r="F1614" s="14">
        <f>38.3*(2/3*10)</f>
        <v>255.33333333333329</v>
      </c>
      <c r="G1614" s="14">
        <f>85.5*(2/3*10)</f>
        <v>570</v>
      </c>
      <c r="H1614" s="14">
        <f>28.7*(2/3*10)</f>
        <v>191.33333333333331</v>
      </c>
      <c r="I1614" s="14">
        <f>83.7*(2/3*10)</f>
        <v>558</v>
      </c>
      <c r="K1614">
        <v>1611</v>
      </c>
      <c r="L1614">
        <f t="shared" si="25"/>
        <v>3</v>
      </c>
    </row>
    <row r="1615" spans="1:12" ht="16.5" x14ac:dyDescent="0.2">
      <c r="A1615" s="4" t="s">
        <v>151</v>
      </c>
      <c r="B1615">
        <v>2012</v>
      </c>
      <c r="C1615" s="14">
        <f>328.8*(2/3*10)</f>
        <v>2192</v>
      </c>
      <c r="D1615" s="14">
        <f>40.8*(2/3*10)</f>
        <v>271.99999999999994</v>
      </c>
      <c r="E1615" s="14">
        <f>2110.6*(2/3*10)</f>
        <v>14070.666666666664</v>
      </c>
      <c r="F1615" s="14">
        <f>38.1*(2/3*10)</f>
        <v>254</v>
      </c>
      <c r="G1615" s="14">
        <f>86.6*(2/3*10)</f>
        <v>577.33333333333326</v>
      </c>
      <c r="H1615" s="14">
        <f>28.7*(2/3*10)</f>
        <v>191.33333333333331</v>
      </c>
      <c r="I1615" s="14">
        <f>83.6*(2/3*10)</f>
        <v>557.33333333333326</v>
      </c>
      <c r="K1615">
        <v>1612</v>
      </c>
      <c r="L1615">
        <f t="shared" si="25"/>
        <v>4</v>
      </c>
    </row>
    <row r="1616" spans="1:12" ht="16.5" x14ac:dyDescent="0.2">
      <c r="A1616" s="4" t="s">
        <v>151</v>
      </c>
      <c r="B1616">
        <v>2013</v>
      </c>
      <c r="C1616" s="14">
        <f>330.3*(2/3*10)</f>
        <v>2202</v>
      </c>
      <c r="D1616" s="14">
        <f>40.8*(2/3*10)</f>
        <v>271.99999999999994</v>
      </c>
      <c r="E1616" s="14">
        <f>2107.8*(2/3*10)</f>
        <v>14052</v>
      </c>
      <c r="F1616" s="14">
        <f>37.6*(2/3*10)</f>
        <v>250.66666666666666</v>
      </c>
      <c r="G1616" s="14">
        <f>87.8*(2/3*10)</f>
        <v>585.33333333333326</v>
      </c>
      <c r="H1616" s="14">
        <f>29.1*(2/3*10)</f>
        <v>194</v>
      </c>
      <c r="I1616" s="14">
        <f>83.5*(2/3*10)</f>
        <v>556.66666666666663</v>
      </c>
      <c r="K1616" s="15">
        <v>1613</v>
      </c>
      <c r="L1616">
        <f t="shared" si="25"/>
        <v>5</v>
      </c>
    </row>
    <row r="1617" spans="1:12" ht="16.5" x14ac:dyDescent="0.2">
      <c r="A1617" s="4" t="s">
        <v>151</v>
      </c>
      <c r="B1617">
        <v>2014</v>
      </c>
      <c r="C1617" s="14">
        <f>331.6*(2/3*10)</f>
        <v>2210.6666666666665</v>
      </c>
      <c r="D1617" s="14">
        <f>40.5*(2/3*10)</f>
        <v>270</v>
      </c>
      <c r="E1617" s="14">
        <f>2106.2*(2/3*10)</f>
        <v>14041.33333333333</v>
      </c>
      <c r="F1617" s="14">
        <f>36.9*(2/3*10)</f>
        <v>245.99999999999997</v>
      </c>
      <c r="G1617" s="14">
        <f>89.2*(2/3*10)</f>
        <v>594.66666666666663</v>
      </c>
      <c r="H1617" s="14">
        <f>29.2*(2/3*10)</f>
        <v>194.66666666666666</v>
      </c>
      <c r="I1617" s="14">
        <f>83.3*(2/3*10)</f>
        <v>555.33333333333326</v>
      </c>
      <c r="K1617">
        <v>1614</v>
      </c>
      <c r="L1617">
        <f t="shared" si="25"/>
        <v>6</v>
      </c>
    </row>
    <row r="1618" spans="1:12" ht="16.5" x14ac:dyDescent="0.2">
      <c r="A1618" s="4" t="s">
        <v>151</v>
      </c>
      <c r="B1618">
        <v>2015</v>
      </c>
      <c r="C1618" s="14">
        <f>331*(2/3*10)</f>
        <v>2206.6666666666665</v>
      </c>
      <c r="D1618" s="14">
        <f>40.2*(2/3*10)</f>
        <v>268</v>
      </c>
      <c r="E1618" s="14">
        <f>2105.4*(2/3*10)</f>
        <v>14036</v>
      </c>
      <c r="F1618" s="14">
        <f>36.8*(2/3*10)</f>
        <v>245.33333333333329</v>
      </c>
      <c r="G1618" s="14">
        <f>90.7*(2/3*10)</f>
        <v>604.66666666666663</v>
      </c>
      <c r="H1618" s="14">
        <f>29.9*(2/3*10)</f>
        <v>199.33333333333331</v>
      </c>
      <c r="I1618" s="14">
        <f>83.2*(2/3*10)</f>
        <v>554.66666666666663</v>
      </c>
      <c r="K1618" s="15">
        <v>1615</v>
      </c>
      <c r="L1618">
        <f t="shared" si="25"/>
        <v>7</v>
      </c>
    </row>
    <row r="1619" spans="1:12" ht="16.5" x14ac:dyDescent="0.2">
      <c r="A1619" s="4" t="s">
        <v>151</v>
      </c>
      <c r="B1619">
        <v>2016</v>
      </c>
      <c r="C1619" s="14">
        <f>330.5*(2/3*10)</f>
        <v>2203.333333333333</v>
      </c>
      <c r="D1619" s="14">
        <f>40.1*(2/3*10)</f>
        <v>267.33333333333331</v>
      </c>
      <c r="E1619" s="14">
        <f>2104.3*(2/3*10)</f>
        <v>14028.666666666666</v>
      </c>
      <c r="F1619" s="14">
        <f>36.5*(2/3*10)</f>
        <v>243.33333333333331</v>
      </c>
      <c r="G1619" s="14">
        <f>91.8*(2/3*10)</f>
        <v>611.99999999999989</v>
      </c>
      <c r="H1619" s="14">
        <f>31.2*(2/3*10)</f>
        <v>207.99999999999997</v>
      </c>
      <c r="I1619" s="14">
        <f>83*(2/3*10)</f>
        <v>553.33333333333326</v>
      </c>
      <c r="K1619">
        <v>1616</v>
      </c>
      <c r="L1619">
        <f t="shared" si="25"/>
        <v>0</v>
      </c>
    </row>
    <row r="1620" spans="1:12" ht="16.5" x14ac:dyDescent="0.2">
      <c r="A1620" s="4" t="s">
        <v>150</v>
      </c>
      <c r="B1620">
        <v>2009</v>
      </c>
      <c r="C1620" s="14">
        <f>4.7*(2/3*10)</f>
        <v>31.333333333333332</v>
      </c>
      <c r="D1620" s="14">
        <f>35.5*(2/3*10)</f>
        <v>236.66666666666666</v>
      </c>
      <c r="E1620" s="14">
        <f>87.9*(2/3*10)</f>
        <v>586</v>
      </c>
      <c r="F1620" s="14">
        <f>4.9*(2/3*10)</f>
        <v>32.666666666666664</v>
      </c>
      <c r="G1620" s="14">
        <f>112.6*(2/3*10)</f>
        <v>750.66666666666663</v>
      </c>
      <c r="H1620" s="14">
        <f>13.2*(2/3*10)</f>
        <v>87.999999999999986</v>
      </c>
      <c r="I1620" s="14">
        <f>25.1*(2/3*10)</f>
        <v>167.33333333333331</v>
      </c>
      <c r="K1620">
        <v>1617</v>
      </c>
      <c r="L1620">
        <f t="shared" si="25"/>
        <v>1</v>
      </c>
    </row>
    <row r="1621" spans="1:12" ht="16.5" x14ac:dyDescent="0.2">
      <c r="A1621" s="4" t="s">
        <v>150</v>
      </c>
      <c r="B1621">
        <v>2010</v>
      </c>
      <c r="C1621" s="14">
        <f>4.6*(2/3*10)</f>
        <v>30.666666666666661</v>
      </c>
      <c r="D1621" s="14">
        <f>34.8*(2/3*10)</f>
        <v>231.99999999999997</v>
      </c>
      <c r="E1621" s="14">
        <f>87*(2/3*10)</f>
        <v>580</v>
      </c>
      <c r="F1621" s="14">
        <f>4.7*(2/3*10)</f>
        <v>31.333333333333332</v>
      </c>
      <c r="G1621" s="14">
        <f>115.5*(2/3*10)</f>
        <v>769.99999999999989</v>
      </c>
      <c r="H1621" s="14">
        <f>14*(2/3*10)</f>
        <v>93.333333333333329</v>
      </c>
      <c r="I1621" s="14">
        <f>24.6*(2/3*10)</f>
        <v>164</v>
      </c>
      <c r="K1621" s="15">
        <v>1618</v>
      </c>
      <c r="L1621">
        <f t="shared" si="25"/>
        <v>2</v>
      </c>
    </row>
    <row r="1622" spans="1:12" ht="16.5" x14ac:dyDescent="0.2">
      <c r="A1622" s="4" t="s">
        <v>150</v>
      </c>
      <c r="B1622">
        <v>2011</v>
      </c>
      <c r="C1622" s="14">
        <f>4.5*(2/3*10)</f>
        <v>29.999999999999996</v>
      </c>
      <c r="D1622" s="14">
        <f>34.1*(2/3*10)</f>
        <v>227.33333333333331</v>
      </c>
      <c r="E1622" s="14">
        <f>87*(2/3*10)</f>
        <v>580</v>
      </c>
      <c r="F1622" s="14">
        <f>4.5*(2/3*10)</f>
        <v>29.999999999999996</v>
      </c>
      <c r="G1622" s="14">
        <f>117.3*(2/3*10)</f>
        <v>781.99999999999989</v>
      </c>
      <c r="H1622" s="14">
        <f>14.4*(2/3*10)</f>
        <v>96</v>
      </c>
      <c r="I1622" s="14">
        <f>24.9*(2/3*10)</f>
        <v>165.99999999999997</v>
      </c>
      <c r="K1622">
        <v>1619</v>
      </c>
      <c r="L1622">
        <f t="shared" si="25"/>
        <v>3</v>
      </c>
    </row>
    <row r="1623" spans="1:12" ht="16.5" x14ac:dyDescent="0.2">
      <c r="A1623" s="4" t="s">
        <v>150</v>
      </c>
      <c r="B1623">
        <v>2012</v>
      </c>
      <c r="C1623" s="14">
        <f>4.5*(2/3*10)</f>
        <v>29.999999999999996</v>
      </c>
      <c r="D1623" s="14">
        <f>33.7*(2/3*10)</f>
        <v>224.66666666666666</v>
      </c>
      <c r="E1623" s="14">
        <f>87.3*(2/3*10)</f>
        <v>581.99999999999989</v>
      </c>
      <c r="F1623" s="14">
        <f>4.3*(2/3*10)</f>
        <v>28.666666666666664</v>
      </c>
      <c r="G1623" s="14">
        <f>118.6*(2/3*10)</f>
        <v>790.66666666666652</v>
      </c>
      <c r="H1623" s="14">
        <f>15*(2/3*10)</f>
        <v>99.999999999999986</v>
      </c>
      <c r="I1623" s="14">
        <f>24.2*(2/3*10)</f>
        <v>161.33333333333331</v>
      </c>
      <c r="K1623" s="15">
        <v>1620</v>
      </c>
      <c r="L1623">
        <f t="shared" si="25"/>
        <v>4</v>
      </c>
    </row>
    <row r="1624" spans="1:12" ht="16.5" x14ac:dyDescent="0.2">
      <c r="A1624" s="4" t="s">
        <v>150</v>
      </c>
      <c r="B1624">
        <v>2013</v>
      </c>
      <c r="C1624" s="14">
        <f>6.1*(2/3*10)</f>
        <v>40.666666666666657</v>
      </c>
      <c r="D1624" s="14">
        <f>31.6*(2/3*10)</f>
        <v>210.66666666666666</v>
      </c>
      <c r="E1624" s="14">
        <f>87.3*(2/3*10)</f>
        <v>581.99999999999989</v>
      </c>
      <c r="F1624" s="14">
        <f>4*(2/3*10)</f>
        <v>26.666666666666664</v>
      </c>
      <c r="G1624" s="14">
        <f>121*(2/3*10)</f>
        <v>806.66666666666663</v>
      </c>
      <c r="H1624" s="14">
        <f>14.9*(2/3*10)</f>
        <v>99.333333333333329</v>
      </c>
      <c r="I1624" s="14">
        <f>23.7*(2/3*10)</f>
        <v>157.99999999999997</v>
      </c>
      <c r="K1624">
        <v>1621</v>
      </c>
      <c r="L1624">
        <f t="shared" si="25"/>
        <v>5</v>
      </c>
    </row>
    <row r="1625" spans="1:12" ht="16.5" x14ac:dyDescent="0.2">
      <c r="A1625" s="4" t="s">
        <v>150</v>
      </c>
      <c r="B1625">
        <v>2014</v>
      </c>
      <c r="C1625" s="14">
        <f>6.1*(2/3*10)</f>
        <v>40.666666666666657</v>
      </c>
      <c r="D1625" s="14">
        <f>31.3*(2/3*10)</f>
        <v>208.66666666666666</v>
      </c>
      <c r="E1625" s="14">
        <f>86.8*(2/3*10)</f>
        <v>578.66666666666663</v>
      </c>
      <c r="F1625" s="14">
        <f>3.8*(2/3*10)</f>
        <v>25.333333333333329</v>
      </c>
      <c r="G1625" s="14">
        <f>122.5*(2/3*10)</f>
        <v>816.66666666666663</v>
      </c>
      <c r="H1625" s="14">
        <f>15*(2/3*10)</f>
        <v>99.999999999999986</v>
      </c>
      <c r="I1625" s="14">
        <f>23.7*(2/3*10)</f>
        <v>157.99999999999997</v>
      </c>
      <c r="K1625">
        <v>1622</v>
      </c>
      <c r="L1625">
        <f t="shared" si="25"/>
        <v>6</v>
      </c>
    </row>
    <row r="1626" spans="1:12" ht="16.5" x14ac:dyDescent="0.2">
      <c r="A1626" s="4" t="s">
        <v>150</v>
      </c>
      <c r="B1626">
        <v>2015</v>
      </c>
      <c r="C1626" s="14">
        <f>6*(2/3*10)</f>
        <v>40</v>
      </c>
      <c r="D1626" s="14">
        <f>31.1*(2/3*10)</f>
        <v>207.33333333333331</v>
      </c>
      <c r="E1626" s="14">
        <f>86.7*(2/3*10)</f>
        <v>578</v>
      </c>
      <c r="F1626" s="14">
        <f>3.7*(2/3*10)</f>
        <v>24.666666666666664</v>
      </c>
      <c r="G1626" s="14">
        <f>123.5*(2/3*10)</f>
        <v>823.33333333333326</v>
      </c>
      <c r="H1626" s="14">
        <f>15*(2/3*10)</f>
        <v>99.999999999999986</v>
      </c>
      <c r="I1626" s="14">
        <f>23.6*(2/3*10)</f>
        <v>157.33333333333334</v>
      </c>
      <c r="K1626" s="15">
        <v>1623</v>
      </c>
      <c r="L1626">
        <f t="shared" si="25"/>
        <v>7</v>
      </c>
    </row>
    <row r="1627" spans="1:12" ht="16.5" x14ac:dyDescent="0.2">
      <c r="A1627" s="4" t="s">
        <v>150</v>
      </c>
      <c r="B1627">
        <v>2016</v>
      </c>
      <c r="C1627" s="14">
        <f>5.8*(2/3*10)</f>
        <v>38.666666666666664</v>
      </c>
      <c r="D1627" s="14">
        <f>30.8*(2/3*10)</f>
        <v>205.33333333333331</v>
      </c>
      <c r="E1627" s="14">
        <f>86.8*(2/3*10)</f>
        <v>578.66666666666663</v>
      </c>
      <c r="F1627" s="14">
        <f>3.6*(2/3*10)</f>
        <v>24</v>
      </c>
      <c r="G1627" s="14">
        <f>124.7*(2/3*10)</f>
        <v>831.33333333333326</v>
      </c>
      <c r="H1627" s="14">
        <f>15.2*(2/3*10)</f>
        <v>101.33333333333331</v>
      </c>
      <c r="I1627" s="14">
        <f>23.2*(2/3*10)</f>
        <v>154.66666666666666</v>
      </c>
      <c r="K1627">
        <v>1624</v>
      </c>
      <c r="L1627">
        <f t="shared" si="25"/>
        <v>0</v>
      </c>
    </row>
    <row r="1628" spans="1:12" ht="16.5" x14ac:dyDescent="0.2">
      <c r="A1628" s="4" t="s">
        <v>149</v>
      </c>
      <c r="B1628">
        <v>2009</v>
      </c>
      <c r="C1628" s="14">
        <f>27.2*(2/3*10)</f>
        <v>181.33333333333331</v>
      </c>
      <c r="D1628" s="14">
        <f>9.3*(2/3*10)</f>
        <v>62</v>
      </c>
      <c r="E1628" s="14">
        <f>58.1*(2/3*10)</f>
        <v>387.33333333333331</v>
      </c>
      <c r="F1628" s="14">
        <f>3*(2/3*10)</f>
        <v>20</v>
      </c>
      <c r="G1628" s="14">
        <f>50.1*(2/3*10)</f>
        <v>334</v>
      </c>
      <c r="H1628" s="14">
        <f>6.6*(2/3*10)</f>
        <v>43.999999999999993</v>
      </c>
      <c r="I1628" s="14">
        <f>85.4*(2/3*10)</f>
        <v>569.33333333333337</v>
      </c>
      <c r="K1628" s="15">
        <v>1625</v>
      </c>
      <c r="L1628">
        <f t="shared" si="25"/>
        <v>1</v>
      </c>
    </row>
    <row r="1629" spans="1:12" ht="16.5" x14ac:dyDescent="0.2">
      <c r="A1629" s="4" t="s">
        <v>149</v>
      </c>
      <c r="B1629">
        <v>2010</v>
      </c>
      <c r="C1629" s="14">
        <f>27.4*(2/3*10)</f>
        <v>182.66666666666663</v>
      </c>
      <c r="D1629" s="14">
        <f>9.2*(2/3*10)</f>
        <v>61.333333333333321</v>
      </c>
      <c r="E1629" s="14">
        <f>57.8*(2/3*10)</f>
        <v>385.33333333333326</v>
      </c>
      <c r="F1629" s="14">
        <f>2.9*(2/3*10)</f>
        <v>19.333333333333332</v>
      </c>
      <c r="G1629" s="14">
        <f>51.6*(2/3*10)</f>
        <v>344</v>
      </c>
      <c r="H1629" s="14">
        <f>7.1*(2/3*10)</f>
        <v>47.333333333333329</v>
      </c>
      <c r="I1629" s="14">
        <f>84.1*(2/3*10)</f>
        <v>560.66666666666663</v>
      </c>
      <c r="K1629">
        <v>1626</v>
      </c>
      <c r="L1629">
        <f t="shared" si="25"/>
        <v>2</v>
      </c>
    </row>
    <row r="1630" spans="1:12" ht="16.5" x14ac:dyDescent="0.2">
      <c r="A1630" s="4" t="s">
        <v>149</v>
      </c>
      <c r="B1630">
        <v>2011</v>
      </c>
      <c r="C1630" s="14">
        <f>27.3*(2/3*10)</f>
        <v>182</v>
      </c>
      <c r="D1630" s="14">
        <f>8.9*(2/3*10)</f>
        <v>59.333333333333329</v>
      </c>
      <c r="E1630" s="14">
        <f>57.2*(2/3*10)</f>
        <v>381.33333333333331</v>
      </c>
      <c r="F1630" s="14">
        <f>2.6*(2/3*10)</f>
        <v>17.333333333333332</v>
      </c>
      <c r="G1630" s="14">
        <f>54.4*(2/3*10)</f>
        <v>362.66666666666657</v>
      </c>
      <c r="H1630" s="14">
        <f>7.5*(2/3*10)</f>
        <v>49.999999999999993</v>
      </c>
      <c r="I1630" s="14">
        <f>83.3*(2/3*10)</f>
        <v>555.33333333333326</v>
      </c>
      <c r="K1630">
        <v>1627</v>
      </c>
      <c r="L1630">
        <f t="shared" si="25"/>
        <v>3</v>
      </c>
    </row>
    <row r="1631" spans="1:12" ht="16.5" x14ac:dyDescent="0.2">
      <c r="A1631" s="4" t="s">
        <v>149</v>
      </c>
      <c r="B1631">
        <v>2012</v>
      </c>
      <c r="C1631" s="14">
        <f>27.2*(2/3*10)</f>
        <v>181.33333333333331</v>
      </c>
      <c r="D1631" s="14">
        <f>8.9*(2/3*10)</f>
        <v>59.333333333333329</v>
      </c>
      <c r="E1631" s="14">
        <f>57.1*(2/3*10)</f>
        <v>380.66666666666663</v>
      </c>
      <c r="F1631" s="14">
        <f>2.6*(2/3*10)</f>
        <v>17.333333333333332</v>
      </c>
      <c r="G1631" s="14">
        <f>55.1*(2/3*10)</f>
        <v>367.33333333333326</v>
      </c>
      <c r="H1631" s="14">
        <f>7.7*(2/3*10)</f>
        <v>51.333333333333329</v>
      </c>
      <c r="I1631" s="14">
        <f>83*(2/3*10)</f>
        <v>553.33333333333326</v>
      </c>
      <c r="K1631" s="15">
        <v>1628</v>
      </c>
      <c r="L1631">
        <f t="shared" si="25"/>
        <v>4</v>
      </c>
    </row>
    <row r="1632" spans="1:12" ht="16.5" x14ac:dyDescent="0.2">
      <c r="A1632" s="4" t="s">
        <v>149</v>
      </c>
      <c r="B1632">
        <v>2013</v>
      </c>
      <c r="C1632" s="14">
        <f>27.1*(2/3*10)</f>
        <v>180.66666666666666</v>
      </c>
      <c r="D1632" s="14">
        <f>8.8*(2/3*10)</f>
        <v>58.666666666666664</v>
      </c>
      <c r="E1632" s="14">
        <f>57*(2/3*10)</f>
        <v>379.99999999999994</v>
      </c>
      <c r="F1632" s="14">
        <f>2.5*(2/3*10)</f>
        <v>16.666666666666664</v>
      </c>
      <c r="G1632" s="14">
        <f>56.2*(2/3*10)</f>
        <v>374.66666666666663</v>
      </c>
      <c r="H1632" s="14">
        <f>7.7*(2/3*10)</f>
        <v>51.333333333333329</v>
      </c>
      <c r="I1632" s="14">
        <f>82.5*(2/3*10)</f>
        <v>550</v>
      </c>
      <c r="K1632">
        <v>1629</v>
      </c>
      <c r="L1632">
        <f t="shared" si="25"/>
        <v>5</v>
      </c>
    </row>
    <row r="1633" spans="1:12" ht="16.5" x14ac:dyDescent="0.2">
      <c r="A1633" s="4" t="s">
        <v>149</v>
      </c>
      <c r="B1633">
        <v>2014</v>
      </c>
      <c r="C1633" s="14">
        <f>27*(2/3*10)</f>
        <v>179.99999999999997</v>
      </c>
      <c r="D1633" s="14">
        <f>8.6*(2/3*10)</f>
        <v>57.333333333333329</v>
      </c>
      <c r="E1633" s="14">
        <f>57*(2/3*10)</f>
        <v>379.99999999999994</v>
      </c>
      <c r="F1633" s="14">
        <f>2.5*(2/3*10)</f>
        <v>16.666666666666664</v>
      </c>
      <c r="G1633" s="14">
        <f>57.5*(2/3*10)</f>
        <v>383.33333333333331</v>
      </c>
      <c r="H1633" s="14">
        <f>7.8*(2/3*10)</f>
        <v>51.999999999999993</v>
      </c>
      <c r="I1633" s="14">
        <f>81.6*(2/3*10)</f>
        <v>543.99999999999989</v>
      </c>
      <c r="K1633" s="15">
        <v>1630</v>
      </c>
      <c r="L1633">
        <f t="shared" si="25"/>
        <v>6</v>
      </c>
    </row>
    <row r="1634" spans="1:12" ht="16.5" x14ac:dyDescent="0.2">
      <c r="A1634" s="4" t="s">
        <v>149</v>
      </c>
      <c r="B1634">
        <v>2015</v>
      </c>
      <c r="C1634" s="14">
        <f>26.7*(2/3*10)</f>
        <v>177.99999999999997</v>
      </c>
      <c r="D1634" s="14">
        <f>8.6*(2/3*10)</f>
        <v>57.333333333333329</v>
      </c>
      <c r="E1634" s="14">
        <f>56.8*(2/3*10)</f>
        <v>378.66666666666663</v>
      </c>
      <c r="F1634" s="14">
        <f>2.4*(2/3*10)</f>
        <v>15.999999999999998</v>
      </c>
      <c r="G1634" s="14">
        <f>59.7*(2/3*10)</f>
        <v>397.99999999999994</v>
      </c>
      <c r="H1634" s="14">
        <f>7.9*(2/3*10)</f>
        <v>52.666666666666664</v>
      </c>
      <c r="I1634" s="14">
        <f>80.6*(2/3*10)</f>
        <v>537.33333333333326</v>
      </c>
      <c r="K1634">
        <v>1631</v>
      </c>
      <c r="L1634">
        <f t="shared" si="25"/>
        <v>7</v>
      </c>
    </row>
    <row r="1635" spans="1:12" ht="16.5" x14ac:dyDescent="0.2">
      <c r="A1635" s="4" t="s">
        <v>149</v>
      </c>
      <c r="B1635">
        <v>2016</v>
      </c>
      <c r="C1635" s="14">
        <f>26.7*(2/3*10)</f>
        <v>177.99999999999997</v>
      </c>
      <c r="D1635" s="14">
        <f>8.5*(2/3*10)</f>
        <v>56.666666666666664</v>
      </c>
      <c r="E1635" s="14">
        <f>56.7*(2/3*10)</f>
        <v>378</v>
      </c>
      <c r="F1635" s="14">
        <f>2.3*(2/3*10)</f>
        <v>15.33333333333333</v>
      </c>
      <c r="G1635" s="14">
        <f>60.6*(2/3*10)</f>
        <v>404</v>
      </c>
      <c r="H1635" s="14">
        <f>8*(2/3*10)</f>
        <v>53.333333333333329</v>
      </c>
      <c r="I1635" s="14">
        <f>80*(2/3*10)</f>
        <v>533.33333333333326</v>
      </c>
      <c r="K1635">
        <v>1632</v>
      </c>
      <c r="L1635">
        <f t="shared" si="25"/>
        <v>0</v>
      </c>
    </row>
    <row r="1636" spans="1:12" ht="16.5" x14ac:dyDescent="0.2">
      <c r="A1636" s="4" t="s">
        <v>148</v>
      </c>
      <c r="B1636">
        <v>2009</v>
      </c>
      <c r="C1636" s="14">
        <f>57*(2/3*10)</f>
        <v>379.99999999999994</v>
      </c>
      <c r="D1636" s="14">
        <f>27.4*(2/3*10)</f>
        <v>182.66666666666663</v>
      </c>
      <c r="E1636" s="14">
        <f>79.1*(2/3*10)</f>
        <v>527.33333333333326</v>
      </c>
      <c r="F1636" s="14">
        <f>8.7*(2/3*10)</f>
        <v>57.999999999999993</v>
      </c>
      <c r="G1636" s="14">
        <f>73.4*(2/3*10)</f>
        <v>489.33333333333331</v>
      </c>
      <c r="H1636" s="14">
        <f>8.6*(2/3*10)</f>
        <v>57.333333333333329</v>
      </c>
      <c r="I1636" s="14">
        <f>65.4*(2/3*10)</f>
        <v>436</v>
      </c>
      <c r="K1636" s="15">
        <v>1633</v>
      </c>
      <c r="L1636">
        <f t="shared" si="25"/>
        <v>1</v>
      </c>
    </row>
    <row r="1637" spans="1:12" ht="16.5" x14ac:dyDescent="0.2">
      <c r="A1637" s="4" t="s">
        <v>148</v>
      </c>
      <c r="B1637">
        <v>2010</v>
      </c>
      <c r="C1637" s="14">
        <f>56.9*(2/3*10)</f>
        <v>379.33333333333331</v>
      </c>
      <c r="D1637" s="14">
        <f>27.1*(2/3*10)</f>
        <v>180.66666666666666</v>
      </c>
      <c r="E1637" s="14">
        <f>79.1*(2/3*10)</f>
        <v>527.33333333333326</v>
      </c>
      <c r="F1637" s="14">
        <f>8.5*(2/3*10)</f>
        <v>56.666666666666664</v>
      </c>
      <c r="G1637" s="14">
        <f>74.1*(2/3*10)</f>
        <v>493.99999999999994</v>
      </c>
      <c r="H1637" s="14">
        <f>8.7*(2/3*10)</f>
        <v>57.999999999999993</v>
      </c>
      <c r="I1637" s="14">
        <f>65.3*(2/3*10)</f>
        <v>435.33333333333326</v>
      </c>
      <c r="K1637">
        <v>1634</v>
      </c>
      <c r="L1637">
        <f t="shared" si="25"/>
        <v>2</v>
      </c>
    </row>
    <row r="1638" spans="1:12" ht="16.5" x14ac:dyDescent="0.2">
      <c r="A1638" s="4" t="s">
        <v>148</v>
      </c>
      <c r="B1638">
        <v>2011</v>
      </c>
      <c r="C1638" s="14">
        <f>56.8*(2/3*10)</f>
        <v>378.66666666666663</v>
      </c>
      <c r="D1638" s="14">
        <f>26.9*(2/3*10)</f>
        <v>179.33333333333331</v>
      </c>
      <c r="E1638" s="14">
        <f>79*(2/3*10)</f>
        <v>526.66666666666663</v>
      </c>
      <c r="F1638" s="14">
        <f>8.3*(2/3*10)</f>
        <v>55.333333333333336</v>
      </c>
      <c r="G1638" s="14">
        <f>75.9*(2/3*10)</f>
        <v>506</v>
      </c>
      <c r="H1638" s="14">
        <f>8.8*(2/3*10)</f>
        <v>58.666666666666664</v>
      </c>
      <c r="I1638" s="14">
        <f>65.2*(2/3*10)</f>
        <v>434.66666666666663</v>
      </c>
      <c r="K1638" s="15">
        <v>1635</v>
      </c>
      <c r="L1638">
        <f t="shared" si="25"/>
        <v>3</v>
      </c>
    </row>
    <row r="1639" spans="1:12" ht="16.5" x14ac:dyDescent="0.2">
      <c r="A1639" s="4" t="s">
        <v>148</v>
      </c>
      <c r="B1639">
        <v>2012</v>
      </c>
      <c r="C1639" s="14">
        <f>57*(2/3*10)</f>
        <v>379.99999999999994</v>
      </c>
      <c r="D1639" s="14">
        <f>26.7*(2/3*10)</f>
        <v>177.99999999999997</v>
      </c>
      <c r="E1639" s="14">
        <f>78.9*(2/3*10)</f>
        <v>526</v>
      </c>
      <c r="F1639" s="14">
        <f>8*(2/3*10)</f>
        <v>53.333333333333329</v>
      </c>
      <c r="G1639" s="14">
        <f>76.6*(2/3*10)</f>
        <v>510.66666666666657</v>
      </c>
      <c r="H1639" s="14">
        <f>8.8*(2/3*10)</f>
        <v>58.666666666666664</v>
      </c>
      <c r="I1639" s="14">
        <f>65*(2/3*10)</f>
        <v>433.33333333333331</v>
      </c>
      <c r="K1639">
        <v>1636</v>
      </c>
      <c r="L1639">
        <f t="shared" si="25"/>
        <v>4</v>
      </c>
    </row>
    <row r="1640" spans="1:12" ht="16.5" x14ac:dyDescent="0.2">
      <c r="A1640" s="4" t="s">
        <v>148</v>
      </c>
      <c r="B1640">
        <v>2013</v>
      </c>
      <c r="C1640" s="14">
        <f>57.3*(2/3*10)</f>
        <v>381.99999999999994</v>
      </c>
      <c r="D1640" s="14">
        <f>26.6*(2/3*10)</f>
        <v>177.33333333333331</v>
      </c>
      <c r="E1640" s="14">
        <f>78.8*(2/3*10)</f>
        <v>525.33333333333326</v>
      </c>
      <c r="F1640" s="14">
        <f>7.8*(2/3*10)</f>
        <v>51.999999999999993</v>
      </c>
      <c r="G1640" s="14">
        <f>77.2*(2/3*10)</f>
        <v>514.66666666666652</v>
      </c>
      <c r="H1640" s="14">
        <f>8.8*(2/3*10)</f>
        <v>58.666666666666664</v>
      </c>
      <c r="I1640" s="14">
        <f>64.4*(2/3*10)</f>
        <v>429.33333333333331</v>
      </c>
      <c r="K1640">
        <v>1637</v>
      </c>
      <c r="L1640">
        <f t="shared" si="25"/>
        <v>5</v>
      </c>
    </row>
    <row r="1641" spans="1:12" ht="16.5" x14ac:dyDescent="0.2">
      <c r="A1641" s="4" t="s">
        <v>148</v>
      </c>
      <c r="B1641">
        <v>2014</v>
      </c>
      <c r="C1641" s="14">
        <f>56.7*(2/3*10)</f>
        <v>378</v>
      </c>
      <c r="D1641" s="14">
        <f>26.3*(2/3*10)</f>
        <v>175.33333333333331</v>
      </c>
      <c r="E1641" s="14">
        <f>78.7*(2/3*10)</f>
        <v>524.66666666666663</v>
      </c>
      <c r="F1641" s="14">
        <f>7.6*(2/3*10)</f>
        <v>50.666666666666657</v>
      </c>
      <c r="G1641" s="14">
        <f>78.6*(2/3*10)</f>
        <v>523.99999999999989</v>
      </c>
      <c r="H1641" s="14">
        <f>9.3*(2/3*10)</f>
        <v>62</v>
      </c>
      <c r="I1641" s="14">
        <f>63.8*(2/3*10)</f>
        <v>425.33333333333326</v>
      </c>
      <c r="K1641" s="15">
        <v>1638</v>
      </c>
      <c r="L1641">
        <f t="shared" si="25"/>
        <v>6</v>
      </c>
    </row>
    <row r="1642" spans="1:12" ht="16.5" x14ac:dyDescent="0.2">
      <c r="A1642" s="4" t="s">
        <v>148</v>
      </c>
      <c r="B1642">
        <v>2015</v>
      </c>
      <c r="C1642" s="14">
        <f>56.2*(2/3*10)</f>
        <v>374.66666666666663</v>
      </c>
      <c r="D1642" s="14">
        <f>26.2*(2/3*10)</f>
        <v>174.66666666666666</v>
      </c>
      <c r="E1642" s="14">
        <f>78.6*(2/3*10)</f>
        <v>523.99999999999989</v>
      </c>
      <c r="F1642" s="14">
        <f>7.5*(2/3*10)</f>
        <v>49.999999999999993</v>
      </c>
      <c r="G1642" s="14">
        <f>79.4*(2/3*10)</f>
        <v>529.33333333333337</v>
      </c>
      <c r="H1642" s="14">
        <f>9.5*(2/3*10)</f>
        <v>63.333333333333329</v>
      </c>
      <c r="I1642" s="14">
        <f>63.6*(2/3*10)</f>
        <v>424</v>
      </c>
      <c r="K1642">
        <v>1639</v>
      </c>
      <c r="L1642">
        <f t="shared" si="25"/>
        <v>7</v>
      </c>
    </row>
    <row r="1643" spans="1:12" ht="16.5" x14ac:dyDescent="0.2">
      <c r="A1643" s="4" t="s">
        <v>148</v>
      </c>
      <c r="B1643">
        <v>2016</v>
      </c>
      <c r="C1643" s="14">
        <f>55.8*(2/3*10)</f>
        <v>371.99999999999994</v>
      </c>
      <c r="D1643" s="14">
        <f>26.2*(2/3*10)</f>
        <v>174.66666666666666</v>
      </c>
      <c r="E1643" s="14">
        <f>78.5*(2/3*10)</f>
        <v>523.33333333333326</v>
      </c>
      <c r="F1643" s="14">
        <f>7.4*(2/3*10)</f>
        <v>49.333333333333329</v>
      </c>
      <c r="G1643" s="14">
        <f>80.4*(2/3*10)</f>
        <v>536</v>
      </c>
      <c r="H1643" s="14">
        <f>9.5*(2/3*10)</f>
        <v>63.333333333333329</v>
      </c>
      <c r="I1643" s="14">
        <f>63.5*(2/3*10)</f>
        <v>423.33333333333331</v>
      </c>
      <c r="K1643" s="15">
        <v>1640</v>
      </c>
      <c r="L1643">
        <f t="shared" si="25"/>
        <v>0</v>
      </c>
    </row>
    <row r="1644" spans="1:12" ht="16.5" x14ac:dyDescent="0.2">
      <c r="A1644" s="4" t="s">
        <v>147</v>
      </c>
      <c r="B1644">
        <v>2009</v>
      </c>
      <c r="C1644" s="14">
        <f>56.8*(2/3*10)</f>
        <v>378.66666666666663</v>
      </c>
      <c r="D1644" s="14">
        <f>17.6*(2/3*10)</f>
        <v>117.33333333333333</v>
      </c>
      <c r="E1644" s="14">
        <f>111.1*(2/3*10)</f>
        <v>740.66666666666652</v>
      </c>
      <c r="F1644" s="14">
        <f>11*(2/3*10)</f>
        <v>73.333333333333329</v>
      </c>
      <c r="G1644" s="14">
        <f>166.8*(2/3*10)</f>
        <v>1111.9999999999998</v>
      </c>
      <c r="H1644" s="14">
        <f>19.2*(2/3*10)</f>
        <v>127.99999999999999</v>
      </c>
      <c r="I1644" s="14">
        <f>172.1*(2/3*10)</f>
        <v>1147.3333333333333</v>
      </c>
      <c r="K1644">
        <v>1641</v>
      </c>
      <c r="L1644">
        <f t="shared" si="25"/>
        <v>1</v>
      </c>
    </row>
    <row r="1645" spans="1:12" ht="16.5" x14ac:dyDescent="0.2">
      <c r="A1645" s="4" t="s">
        <v>147</v>
      </c>
      <c r="B1645">
        <v>2010</v>
      </c>
      <c r="C1645" s="14">
        <f>56.5*(2/3*10)</f>
        <v>376.66666666666663</v>
      </c>
      <c r="D1645" s="14">
        <f>17.3*(2/3*10)</f>
        <v>115.33333333333333</v>
      </c>
      <c r="E1645" s="14">
        <f>110.4*(2/3*10)</f>
        <v>736</v>
      </c>
      <c r="F1645" s="14">
        <f>10.3*(2/3*10)</f>
        <v>68.666666666666671</v>
      </c>
      <c r="G1645" s="14">
        <f>171.3*(2/3*10)</f>
        <v>1141.9999999999998</v>
      </c>
      <c r="H1645" s="14">
        <f>20.1*(2/3*10)</f>
        <v>134</v>
      </c>
      <c r="I1645" s="14">
        <f>169.8*(2/3*10)</f>
        <v>1132</v>
      </c>
      <c r="K1645">
        <v>1642</v>
      </c>
      <c r="L1645">
        <f t="shared" si="25"/>
        <v>2</v>
      </c>
    </row>
    <row r="1646" spans="1:12" ht="16.5" x14ac:dyDescent="0.2">
      <c r="A1646" s="4" t="s">
        <v>147</v>
      </c>
      <c r="B1646">
        <v>2011</v>
      </c>
      <c r="C1646" s="14">
        <f>56.6*(2/3*10)</f>
        <v>377.33333333333331</v>
      </c>
      <c r="D1646" s="14">
        <f>17.2*(2/3*10)</f>
        <v>114.66666666666666</v>
      </c>
      <c r="E1646" s="14">
        <f>109.7*(2/3*10)</f>
        <v>731.33333333333326</v>
      </c>
      <c r="F1646" s="14">
        <f>9.8*(2/3*10)</f>
        <v>65.333333333333329</v>
      </c>
      <c r="G1646" s="14">
        <f>173.6*(2/3*10)</f>
        <v>1157.3333333333333</v>
      </c>
      <c r="H1646" s="14">
        <f>21.1*(2/3*10)</f>
        <v>140.66666666666666</v>
      </c>
      <c r="I1646" s="14">
        <f>168.2*(2/3*10)</f>
        <v>1121.3333333333333</v>
      </c>
      <c r="K1646" s="15">
        <v>1643</v>
      </c>
      <c r="L1646">
        <f t="shared" si="25"/>
        <v>3</v>
      </c>
    </row>
    <row r="1647" spans="1:12" ht="16.5" x14ac:dyDescent="0.2">
      <c r="A1647" s="4" t="s">
        <v>147</v>
      </c>
      <c r="B1647">
        <v>2012</v>
      </c>
      <c r="C1647" s="14">
        <f>56.7*(2/3*10)</f>
        <v>378</v>
      </c>
      <c r="D1647" s="14">
        <f>17.2*(2/3*10)</f>
        <v>114.66666666666666</v>
      </c>
      <c r="E1647" s="14">
        <f>108.9*(2/3*10)</f>
        <v>726</v>
      </c>
      <c r="F1647" s="14">
        <f>9.4*(2/3*10)</f>
        <v>62.666666666666664</v>
      </c>
      <c r="G1647" s="14">
        <f>175.1*(2/3*10)</f>
        <v>1167.3333333333333</v>
      </c>
      <c r="H1647" s="14">
        <f>21.8*(2/3*10)</f>
        <v>145.33333333333331</v>
      </c>
      <c r="I1647" s="14">
        <f>167.3*(2/3*10)</f>
        <v>1115.3333333333333</v>
      </c>
      <c r="K1647">
        <v>1644</v>
      </c>
      <c r="L1647">
        <f t="shared" si="25"/>
        <v>4</v>
      </c>
    </row>
    <row r="1648" spans="1:12" ht="16.5" x14ac:dyDescent="0.2">
      <c r="A1648" s="4" t="s">
        <v>147</v>
      </c>
      <c r="B1648">
        <v>2013</v>
      </c>
      <c r="C1648" s="14">
        <f>56.3*(2/3*10)</f>
        <v>375.33333333333326</v>
      </c>
      <c r="D1648" s="14">
        <f>17*(2/3*10)</f>
        <v>113.33333333333333</v>
      </c>
      <c r="E1648" s="14">
        <f>108.6*(2/3*10)</f>
        <v>723.99999999999989</v>
      </c>
      <c r="F1648" s="14">
        <f>9.1*(2/3*10)</f>
        <v>60.666666666666657</v>
      </c>
      <c r="G1648" s="14">
        <f>177*(2/3*10)</f>
        <v>1179.9999999999998</v>
      </c>
      <c r="H1648" s="14">
        <f>22.1*(2/3*10)</f>
        <v>147.33333333333334</v>
      </c>
      <c r="I1648" s="14">
        <f>166.4*(2/3*10)</f>
        <v>1109.3333333333333</v>
      </c>
      <c r="K1648" s="15">
        <v>1645</v>
      </c>
      <c r="L1648">
        <f t="shared" si="25"/>
        <v>5</v>
      </c>
    </row>
    <row r="1649" spans="1:12" ht="16.5" x14ac:dyDescent="0.2">
      <c r="A1649" s="4" t="s">
        <v>147</v>
      </c>
      <c r="B1649">
        <v>2014</v>
      </c>
      <c r="C1649" s="14">
        <f>56.2*(2/3*10)</f>
        <v>374.66666666666663</v>
      </c>
      <c r="D1649" s="14">
        <f>17*(2/3*10)</f>
        <v>113.33333333333333</v>
      </c>
      <c r="E1649" s="14">
        <f>108.3*(2/3*10)</f>
        <v>721.99999999999989</v>
      </c>
      <c r="F1649" s="14">
        <f>8.6*(2/3*10)</f>
        <v>57.333333333333329</v>
      </c>
      <c r="G1649" s="14">
        <f>179.2*(2/3*10)</f>
        <v>1194.6666666666665</v>
      </c>
      <c r="H1649" s="14">
        <f>22.6*(2/3*10)</f>
        <v>150.66666666666666</v>
      </c>
      <c r="I1649" s="14">
        <f>164.7*(2/3*10)</f>
        <v>1097.9999999999998</v>
      </c>
      <c r="K1649">
        <v>1646</v>
      </c>
      <c r="L1649">
        <f t="shared" si="25"/>
        <v>6</v>
      </c>
    </row>
    <row r="1650" spans="1:12" ht="16.5" x14ac:dyDescent="0.2">
      <c r="A1650" s="4" t="s">
        <v>147</v>
      </c>
      <c r="B1650">
        <v>2015</v>
      </c>
      <c r="C1650" s="14">
        <f>55.6*(2/3*10)</f>
        <v>370.66666666666663</v>
      </c>
      <c r="D1650" s="14">
        <f>16.7*(2/3*10)</f>
        <v>111.33333333333331</v>
      </c>
      <c r="E1650" s="14">
        <f>108.2*(2/3*10)</f>
        <v>721.33333333333326</v>
      </c>
      <c r="F1650" s="14">
        <f>8.2*(2/3*10)</f>
        <v>54.666666666666657</v>
      </c>
      <c r="G1650" s="14">
        <f>182.5*(2/3*10)</f>
        <v>1216.6666666666665</v>
      </c>
      <c r="H1650" s="14">
        <f>22.9*(2/3*10)</f>
        <v>152.66666666666666</v>
      </c>
      <c r="I1650" s="14">
        <f>162.8*(2/3*10)</f>
        <v>1085.3333333333333</v>
      </c>
      <c r="K1650">
        <v>1647</v>
      </c>
      <c r="L1650">
        <f t="shared" si="25"/>
        <v>7</v>
      </c>
    </row>
    <row r="1651" spans="1:12" ht="16.5" x14ac:dyDescent="0.2">
      <c r="A1651" s="4" t="s">
        <v>147</v>
      </c>
      <c r="B1651">
        <v>2016</v>
      </c>
      <c r="C1651" s="14">
        <f>55*(2/3*10)</f>
        <v>366.66666666666663</v>
      </c>
      <c r="D1651" s="14">
        <f>16.5*(2/3*10)</f>
        <v>109.99999999999999</v>
      </c>
      <c r="E1651" s="14">
        <f>108*(2/3*10)</f>
        <v>719.99999999999989</v>
      </c>
      <c r="F1651" s="14">
        <f>7.8*(2/3*10)</f>
        <v>51.999999999999993</v>
      </c>
      <c r="G1651" s="14">
        <f>185.8*(2/3*10)</f>
        <v>1238.6666666666667</v>
      </c>
      <c r="H1651" s="14">
        <f>23*(2/3*10)</f>
        <v>153.33333333333331</v>
      </c>
      <c r="I1651" s="14">
        <f>161.1*(2/3*10)</f>
        <v>1073.9999999999998</v>
      </c>
      <c r="K1651" s="15">
        <v>1648</v>
      </c>
      <c r="L1651">
        <f t="shared" si="25"/>
        <v>0</v>
      </c>
    </row>
    <row r="1652" spans="1:12" ht="16.5" x14ac:dyDescent="0.2">
      <c r="A1652" s="4" t="s">
        <v>146</v>
      </c>
      <c r="B1652">
        <v>2009</v>
      </c>
      <c r="C1652" s="14">
        <f>229.5*(2/3*10)</f>
        <v>1529.9999999999998</v>
      </c>
      <c r="D1652" s="14">
        <f>60.9*(2/3*10)</f>
        <v>405.99999999999994</v>
      </c>
      <c r="E1652" s="14">
        <f>698.5*(2/3*10)</f>
        <v>4656.6666666666661</v>
      </c>
      <c r="F1652" s="14">
        <f>15.5*(2/3*10)</f>
        <v>103.33333333333333</v>
      </c>
      <c r="G1652" s="14">
        <f>111.1*(2/3*10)</f>
        <v>740.66666666666652</v>
      </c>
      <c r="H1652" s="14">
        <f>23.4*(2/3*10)</f>
        <v>155.99999999999997</v>
      </c>
      <c r="I1652" s="14">
        <f>259*(2/3*10)</f>
        <v>1726.6666666666665</v>
      </c>
      <c r="K1652">
        <v>1649</v>
      </c>
      <c r="L1652">
        <f t="shared" si="25"/>
        <v>1</v>
      </c>
    </row>
    <row r="1653" spans="1:12" ht="16.5" x14ac:dyDescent="0.2">
      <c r="A1653" s="4" t="s">
        <v>146</v>
      </c>
      <c r="B1653">
        <v>2010</v>
      </c>
      <c r="C1653" s="14">
        <f>231.5*(2/3*10)</f>
        <v>1543.3333333333333</v>
      </c>
      <c r="D1653" s="14">
        <f>60*(2/3*10)</f>
        <v>399.99999999999994</v>
      </c>
      <c r="E1653" s="14">
        <f>695.5*(2/3*10)</f>
        <v>4636.6666666666661</v>
      </c>
      <c r="F1653" s="14">
        <f>14.7*(2/3*10)</f>
        <v>97.999999999999986</v>
      </c>
      <c r="G1653" s="14">
        <f>115.2*(2/3*10)</f>
        <v>768</v>
      </c>
      <c r="H1653" s="14">
        <f>24.1*(2/3*10)</f>
        <v>160.66666666666666</v>
      </c>
      <c r="I1653" s="14">
        <f>257.7*(2/3*10)</f>
        <v>1717.9999999999998</v>
      </c>
      <c r="K1653" s="15">
        <v>1650</v>
      </c>
      <c r="L1653">
        <f t="shared" si="25"/>
        <v>2</v>
      </c>
    </row>
    <row r="1654" spans="1:12" ht="16.5" x14ac:dyDescent="0.2">
      <c r="A1654" s="4" t="s">
        <v>146</v>
      </c>
      <c r="B1654">
        <v>2011</v>
      </c>
      <c r="C1654" s="14">
        <f>233*(2/3*10)</f>
        <v>1553.3333333333333</v>
      </c>
      <c r="D1654" s="14">
        <f>59.1*(2/3*10)</f>
        <v>394</v>
      </c>
      <c r="E1654" s="14">
        <f>693.5*(2/3*10)</f>
        <v>4623.333333333333</v>
      </c>
      <c r="F1654" s="14">
        <f>14.4*(2/3*10)</f>
        <v>96</v>
      </c>
      <c r="G1654" s="14">
        <f>117.6*(2/3*10)</f>
        <v>783.99999999999989</v>
      </c>
      <c r="H1654" s="14">
        <f>24.3*(2/3*10)</f>
        <v>162</v>
      </c>
      <c r="I1654" s="14">
        <f>257*(2/3*10)</f>
        <v>1713.3333333333333</v>
      </c>
      <c r="K1654">
        <v>1651</v>
      </c>
      <c r="L1654">
        <f t="shared" si="25"/>
        <v>3</v>
      </c>
    </row>
    <row r="1655" spans="1:12" ht="16.5" x14ac:dyDescent="0.2">
      <c r="A1655" s="4" t="s">
        <v>146</v>
      </c>
      <c r="B1655">
        <v>2012</v>
      </c>
      <c r="C1655" s="14">
        <f>235.4*(2/3*10)</f>
        <v>1569.3333333333333</v>
      </c>
      <c r="D1655" s="14">
        <f>58.3*(2/3*10)</f>
        <v>388.66666666666663</v>
      </c>
      <c r="E1655" s="14">
        <f>690.8*(2/3*10)</f>
        <v>4605.333333333333</v>
      </c>
      <c r="F1655" s="14">
        <f>14*(2/3*10)</f>
        <v>93.333333333333329</v>
      </c>
      <c r="G1655" s="14">
        <f>119.4*(2/3*10)</f>
        <v>796</v>
      </c>
      <c r="H1655" s="14">
        <f>24.6*(2/3*10)</f>
        <v>164</v>
      </c>
      <c r="I1655" s="14">
        <f>256.4*(2/3*10)</f>
        <v>1709.333333333333</v>
      </c>
      <c r="K1655">
        <v>1652</v>
      </c>
      <c r="L1655">
        <f t="shared" si="25"/>
        <v>4</v>
      </c>
    </row>
    <row r="1656" spans="1:12" ht="16.5" x14ac:dyDescent="0.2">
      <c r="A1656" s="4" t="s">
        <v>146</v>
      </c>
      <c r="B1656">
        <v>2013</v>
      </c>
      <c r="C1656" s="14">
        <f>235.7*(2/3*10)</f>
        <v>1571.333333333333</v>
      </c>
      <c r="D1656" s="14">
        <f>58.1*(2/3*10)</f>
        <v>387.33333333333331</v>
      </c>
      <c r="E1656" s="14">
        <f>689.6*(2/3*10)</f>
        <v>4597.333333333333</v>
      </c>
      <c r="F1656" s="14">
        <f>13.8*(2/3*10)</f>
        <v>92</v>
      </c>
      <c r="G1656" s="14">
        <f>121.1*(2/3*10)</f>
        <v>807.33333333333326</v>
      </c>
      <c r="H1656" s="14">
        <f>24.7*(2/3*10)</f>
        <v>164.66666666666666</v>
      </c>
      <c r="I1656" s="14">
        <f>256*(2/3*10)</f>
        <v>1706.6666666666665</v>
      </c>
      <c r="K1656" s="15">
        <v>1653</v>
      </c>
      <c r="L1656">
        <f t="shared" si="25"/>
        <v>5</v>
      </c>
    </row>
    <row r="1657" spans="1:12" ht="16.5" x14ac:dyDescent="0.2">
      <c r="A1657" s="4" t="s">
        <v>146</v>
      </c>
      <c r="B1657">
        <v>2014</v>
      </c>
      <c r="C1657" s="14">
        <f>235.6*(2/3*10)</f>
        <v>1570.6666666666665</v>
      </c>
      <c r="D1657" s="14">
        <f>57.8*(2/3*10)</f>
        <v>385.33333333333326</v>
      </c>
      <c r="E1657" s="14">
        <f>688.3*(2/3*10)</f>
        <v>4588.6666666666661</v>
      </c>
      <c r="F1657" s="14">
        <f>13.5*(2/3*10)</f>
        <v>89.999999999999986</v>
      </c>
      <c r="G1657" s="14">
        <f>123.3*(2/3*10)</f>
        <v>822</v>
      </c>
      <c r="H1657" s="14">
        <f>25.4*(2/3*10)</f>
        <v>169.33333333333331</v>
      </c>
      <c r="I1657" s="14">
        <f>255.4*(2/3*10)</f>
        <v>1702.6666666666665</v>
      </c>
      <c r="K1657">
        <v>1654</v>
      </c>
      <c r="L1657">
        <f t="shared" si="25"/>
        <v>6</v>
      </c>
    </row>
    <row r="1658" spans="1:12" ht="16.5" x14ac:dyDescent="0.2">
      <c r="A1658" s="4" t="s">
        <v>146</v>
      </c>
      <c r="B1658">
        <v>2015</v>
      </c>
      <c r="C1658" s="14">
        <f>234.9*(2/3*10)</f>
        <v>1566</v>
      </c>
      <c r="D1658" s="14">
        <f>57.5*(2/3*10)</f>
        <v>383.33333333333331</v>
      </c>
      <c r="E1658" s="14">
        <f>687.6*(2/3*10)</f>
        <v>4584</v>
      </c>
      <c r="F1658" s="14">
        <f>13.4*(2/3*10)</f>
        <v>89.333333333333329</v>
      </c>
      <c r="G1658" s="14">
        <f>125.8*(2/3*10)</f>
        <v>838.66666666666663</v>
      </c>
      <c r="H1658" s="14">
        <f>26.1*(2/3*10)</f>
        <v>174</v>
      </c>
      <c r="I1658" s="14">
        <f>254.5*(2/3*10)</f>
        <v>1696.6666666666665</v>
      </c>
      <c r="K1658" s="15">
        <v>1655</v>
      </c>
      <c r="L1658">
        <f t="shared" si="25"/>
        <v>7</v>
      </c>
    </row>
    <row r="1659" spans="1:12" ht="16.5" x14ac:dyDescent="0.2">
      <c r="A1659" s="4" t="s">
        <v>146</v>
      </c>
      <c r="B1659">
        <v>2016</v>
      </c>
      <c r="C1659" s="14">
        <f>234.4*(2/3*10)</f>
        <v>1562.6666666666665</v>
      </c>
      <c r="D1659" s="14">
        <f>57.2*(2/3*10)</f>
        <v>381.33333333333331</v>
      </c>
      <c r="E1659" s="14">
        <f>687.2*(2/3*10)</f>
        <v>4581.333333333333</v>
      </c>
      <c r="F1659" s="14">
        <f>13.1*(2/3*10)</f>
        <v>87.333333333333329</v>
      </c>
      <c r="G1659" s="14">
        <f>127.9*(2/3*10)</f>
        <v>852.66666666666663</v>
      </c>
      <c r="H1659" s="14">
        <f>26.5*(2/3*10)</f>
        <v>176.66666666666666</v>
      </c>
      <c r="I1659" s="14">
        <f>253.8*(2/3*10)</f>
        <v>1692</v>
      </c>
      <c r="K1659">
        <v>1656</v>
      </c>
      <c r="L1659">
        <f t="shared" si="25"/>
        <v>0</v>
      </c>
    </row>
    <row r="1660" spans="1:12" ht="16.5" x14ac:dyDescent="0.2">
      <c r="A1660" s="4" t="s">
        <v>145</v>
      </c>
      <c r="B1660">
        <v>2009</v>
      </c>
      <c r="C1660" s="14">
        <f>662.5*(2/3*10)</f>
        <v>4416.6666666666661</v>
      </c>
      <c r="D1660" s="14">
        <f>266.1*(2/3*10)</f>
        <v>1774</v>
      </c>
      <c r="E1660" s="14">
        <f>457.2*(2/3*10)</f>
        <v>3047.9999999999995</v>
      </c>
      <c r="F1660" s="14">
        <f>17.8*(2/3*10)</f>
        <v>118.66666666666666</v>
      </c>
      <c r="G1660" s="14">
        <f>195.6*(2/3*10)</f>
        <v>1303.9999999999998</v>
      </c>
      <c r="H1660" s="14">
        <f>41.1*(2/3*10)</f>
        <v>274</v>
      </c>
      <c r="I1660" s="14">
        <f>316*(2/3*10)</f>
        <v>2106.6666666666665</v>
      </c>
      <c r="K1660">
        <v>1657</v>
      </c>
      <c r="L1660">
        <f t="shared" si="25"/>
        <v>1</v>
      </c>
    </row>
    <row r="1661" spans="1:12" ht="16.5" x14ac:dyDescent="0.2">
      <c r="A1661" s="4" t="s">
        <v>145</v>
      </c>
      <c r="B1661">
        <v>2010</v>
      </c>
      <c r="C1661" s="14">
        <f>667.9*(2/3*10)</f>
        <v>4452.6666666666661</v>
      </c>
      <c r="D1661" s="14">
        <f>260.8*(2/3*10)</f>
        <v>1738.6666666666665</v>
      </c>
      <c r="E1661" s="14">
        <f>455.4*(2/3*10)</f>
        <v>3035.9999999999995</v>
      </c>
      <c r="F1661" s="14">
        <f>17.6*(2/3*10)</f>
        <v>117.33333333333333</v>
      </c>
      <c r="G1661" s="14">
        <f>196.6*(2/3*10)</f>
        <v>1310.6666666666667</v>
      </c>
      <c r="H1661" s="14">
        <f>42.1*(2/3*10)</f>
        <v>280.66666666666663</v>
      </c>
      <c r="I1661" s="14">
        <f>315.8*(2/3*10)</f>
        <v>2105.333333333333</v>
      </c>
      <c r="K1661" s="15">
        <v>1658</v>
      </c>
      <c r="L1661">
        <f t="shared" si="25"/>
        <v>2</v>
      </c>
    </row>
    <row r="1662" spans="1:12" ht="16.5" x14ac:dyDescent="0.2">
      <c r="A1662" s="4" t="s">
        <v>145</v>
      </c>
      <c r="B1662">
        <v>2011</v>
      </c>
      <c r="C1662" s="14">
        <f>684.2*(2/3*10)</f>
        <v>4561.333333333333</v>
      </c>
      <c r="D1662" s="14">
        <f>243.5*(2/3*10)</f>
        <v>1623.3333333333333</v>
      </c>
      <c r="E1662" s="14">
        <f>454.1*(2/3*10)</f>
        <v>3027.333333333333</v>
      </c>
      <c r="F1662" s="14">
        <f>17.5*(2/3*10)</f>
        <v>116.66666666666666</v>
      </c>
      <c r="G1662" s="14">
        <f>197.5*(2/3*10)</f>
        <v>1316.6666666666665</v>
      </c>
      <c r="H1662" s="14">
        <f>42.9*(2/3*10)</f>
        <v>285.99999999999994</v>
      </c>
      <c r="I1662" s="14">
        <f>315.7*(2/3*10)</f>
        <v>2104.6666666666665</v>
      </c>
      <c r="K1662">
        <v>1659</v>
      </c>
      <c r="L1662">
        <f t="shared" si="25"/>
        <v>3</v>
      </c>
    </row>
    <row r="1663" spans="1:12" ht="16.5" x14ac:dyDescent="0.2">
      <c r="A1663" s="4" t="s">
        <v>145</v>
      </c>
      <c r="B1663">
        <v>2012</v>
      </c>
      <c r="C1663" s="14">
        <f>690.5*(2/3*10)</f>
        <v>4603.333333333333</v>
      </c>
      <c r="D1663" s="14">
        <f>236.2*(2/3*10)</f>
        <v>1574.6666666666665</v>
      </c>
      <c r="E1663" s="14">
        <f>453.5*(2/3*10)</f>
        <v>3023.333333333333</v>
      </c>
      <c r="F1663" s="14">
        <f>17.5*(2/3*10)</f>
        <v>116.66666666666666</v>
      </c>
      <c r="G1663" s="14">
        <f>198.9*(2/3*10)</f>
        <v>1325.9999999999998</v>
      </c>
      <c r="H1663" s="14">
        <f>43.2*(2/3*10)</f>
        <v>288</v>
      </c>
      <c r="I1663" s="14">
        <f>315.3*(2/3*10)</f>
        <v>2102</v>
      </c>
      <c r="K1663" s="15">
        <v>1660</v>
      </c>
      <c r="L1663">
        <f t="shared" si="25"/>
        <v>4</v>
      </c>
    </row>
    <row r="1664" spans="1:12" ht="16.5" x14ac:dyDescent="0.2">
      <c r="A1664" s="4" t="s">
        <v>145</v>
      </c>
      <c r="B1664">
        <v>2013</v>
      </c>
      <c r="C1664" s="14">
        <f>696.5*(2/3*10)</f>
        <v>4643.333333333333</v>
      </c>
      <c r="D1664" s="14">
        <f>230*(2/3*10)</f>
        <v>1533.3333333333333</v>
      </c>
      <c r="E1664" s="14">
        <f>451.3*(2/3*10)</f>
        <v>3008.6666666666665</v>
      </c>
      <c r="F1664" s="14">
        <f>17.4*(2/3*10)</f>
        <v>115.99999999999999</v>
      </c>
      <c r="G1664" s="14">
        <f>200.9*(2/3*10)</f>
        <v>1339.3333333333333</v>
      </c>
      <c r="H1664" s="14">
        <f>44*(2/3*10)</f>
        <v>293.33333333333331</v>
      </c>
      <c r="I1664" s="14">
        <f>314.4*(2/3*10)</f>
        <v>2095.9999999999995</v>
      </c>
      <c r="K1664">
        <v>1661</v>
      </c>
      <c r="L1664">
        <f t="shared" ref="L1664:L1727" si="26">MOD(K1664,8)</f>
        <v>5</v>
      </c>
    </row>
    <row r="1665" spans="1:12" ht="16.5" x14ac:dyDescent="0.2">
      <c r="A1665" s="4" t="s">
        <v>145</v>
      </c>
      <c r="B1665">
        <v>2014</v>
      </c>
      <c r="C1665" s="14">
        <f>701.4*(2/3*10)</f>
        <v>4675.9999999999991</v>
      </c>
      <c r="D1665" s="14">
        <f>224.1*(2/3*10)</f>
        <v>1493.9999999999998</v>
      </c>
      <c r="E1665" s="14">
        <f>449.3*(2/3*10)</f>
        <v>2995.333333333333</v>
      </c>
      <c r="F1665" s="14">
        <f>17.3*(2/3*10)</f>
        <v>115.33333333333333</v>
      </c>
      <c r="G1665" s="14">
        <f>204.8*(2/3*10)</f>
        <v>1365.3333333333333</v>
      </c>
      <c r="H1665" s="14">
        <f>44.4*(2/3*10)</f>
        <v>295.99999999999994</v>
      </c>
      <c r="I1665" s="14">
        <f>313.7*(2/3*10)</f>
        <v>2091.333333333333</v>
      </c>
      <c r="K1665">
        <v>1662</v>
      </c>
      <c r="L1665">
        <f t="shared" si="26"/>
        <v>6</v>
      </c>
    </row>
    <row r="1666" spans="1:12" ht="16.5" x14ac:dyDescent="0.2">
      <c r="A1666" s="4" t="s">
        <v>145</v>
      </c>
      <c r="B1666">
        <v>2015</v>
      </c>
      <c r="C1666" s="14">
        <f>701.1*(2/3*10)</f>
        <v>4674</v>
      </c>
      <c r="D1666" s="14">
        <f>223*(2/3*10)</f>
        <v>1486.6666666666665</v>
      </c>
      <c r="E1666" s="14">
        <f>448.5*(2/3*10)</f>
        <v>2989.9999999999995</v>
      </c>
      <c r="F1666" s="14">
        <f>17.2*(2/3*10)</f>
        <v>114.66666666666666</v>
      </c>
      <c r="G1666" s="14">
        <f>206.6*(2/3*10)</f>
        <v>1377.3333333333333</v>
      </c>
      <c r="H1666" s="14">
        <f>45.4*(2/3*10)</f>
        <v>302.66666666666663</v>
      </c>
      <c r="I1666" s="14">
        <f>313.4*(2/3*10)</f>
        <v>2089.333333333333</v>
      </c>
      <c r="K1666" s="15">
        <v>1663</v>
      </c>
      <c r="L1666">
        <f t="shared" si="26"/>
        <v>7</v>
      </c>
    </row>
    <row r="1667" spans="1:12" ht="16.5" x14ac:dyDescent="0.2">
      <c r="A1667" s="4" t="s">
        <v>145</v>
      </c>
      <c r="B1667">
        <v>2016</v>
      </c>
      <c r="C1667" s="14">
        <f>700.4*(2/3*10)</f>
        <v>4669.333333333333</v>
      </c>
      <c r="D1667" s="14">
        <f>222.5*(2/3*10)</f>
        <v>1483.3333333333333</v>
      </c>
      <c r="E1667" s="14">
        <f>447.6*(2/3*10)</f>
        <v>2984</v>
      </c>
      <c r="F1667" s="14">
        <f>17.2*(2/3*10)</f>
        <v>114.66666666666666</v>
      </c>
      <c r="G1667" s="14">
        <f>208.8*(2/3*10)</f>
        <v>1391.9999999999998</v>
      </c>
      <c r="H1667" s="14">
        <f>45.7*(2/3*10)</f>
        <v>304.66666666666669</v>
      </c>
      <c r="I1667" s="14">
        <f>313*(2/3*10)</f>
        <v>2086.6666666666665</v>
      </c>
      <c r="K1667">
        <v>1664</v>
      </c>
      <c r="L1667">
        <f t="shared" si="26"/>
        <v>0</v>
      </c>
    </row>
    <row r="1668" spans="1:12" ht="16.5" x14ac:dyDescent="0.2">
      <c r="A1668" s="4" t="s">
        <v>144</v>
      </c>
      <c r="B1668">
        <v>2009</v>
      </c>
      <c r="C1668" s="14">
        <f>337.3*(2/3*10)</f>
        <v>2248.6666666666665</v>
      </c>
      <c r="D1668" s="14">
        <f>330.7*(2/3*10)</f>
        <v>2204.6666666666665</v>
      </c>
      <c r="E1668" s="14">
        <f>718.8*(2/3*10)</f>
        <v>4791.9999999999991</v>
      </c>
      <c r="F1668" s="14">
        <f>12.9*(2/3*10)</f>
        <v>86</v>
      </c>
      <c r="G1668" s="14">
        <f>154.9*(2/3*10)</f>
        <v>1032.6666666666665</v>
      </c>
      <c r="H1668" s="14">
        <f>25.8*(2/3*10)</f>
        <v>172</v>
      </c>
      <c r="I1668" s="14">
        <f>105.6*(2/3*10)</f>
        <v>703.99999999999989</v>
      </c>
      <c r="K1668" s="15">
        <v>1665</v>
      </c>
      <c r="L1668">
        <f t="shared" si="26"/>
        <v>1</v>
      </c>
    </row>
    <row r="1669" spans="1:12" ht="16.5" x14ac:dyDescent="0.2">
      <c r="A1669" s="4" t="s">
        <v>144</v>
      </c>
      <c r="B1669">
        <v>2010</v>
      </c>
      <c r="C1669" s="14">
        <f>338.4*(2/3*10)</f>
        <v>2255.9999999999995</v>
      </c>
      <c r="D1669" s="14">
        <f>329.6*(2/3*10)</f>
        <v>2197.3333333333335</v>
      </c>
      <c r="E1669" s="14">
        <f>718.3*(2/3*10)</f>
        <v>4788.6666666666661</v>
      </c>
      <c r="F1669" s="14">
        <f>12.7*(2/3*10)</f>
        <v>84.666666666666657</v>
      </c>
      <c r="G1669" s="14">
        <f>156.4*(2/3*10)</f>
        <v>1042.6666666666665</v>
      </c>
      <c r="H1669" s="14">
        <f>25.9*(2/3*10)</f>
        <v>172.66666666666663</v>
      </c>
      <c r="I1669" s="14">
        <f>104.8*(2/3*10)</f>
        <v>698.66666666666663</v>
      </c>
      <c r="K1669">
        <v>1666</v>
      </c>
      <c r="L1669">
        <f t="shared" si="26"/>
        <v>2</v>
      </c>
    </row>
    <row r="1670" spans="1:12" ht="16.5" x14ac:dyDescent="0.2">
      <c r="A1670" s="4" t="s">
        <v>144</v>
      </c>
      <c r="B1670">
        <v>2011</v>
      </c>
      <c r="C1670" s="14">
        <f>339.7*(2/3*10)</f>
        <v>2264.6666666666665</v>
      </c>
      <c r="D1670" s="14">
        <f>328.4*(2/3*10)</f>
        <v>2189.333333333333</v>
      </c>
      <c r="E1670" s="14">
        <f>717.2*(2/3*10)</f>
        <v>4781.333333333333</v>
      </c>
      <c r="F1670" s="14">
        <f>12.6*(2/3*10)</f>
        <v>83.999999999999986</v>
      </c>
      <c r="G1670" s="14">
        <f>157.4*(2/3*10)</f>
        <v>1049.333333333333</v>
      </c>
      <c r="H1670" s="14">
        <f>25.9*(2/3*10)</f>
        <v>172.66666666666663</v>
      </c>
      <c r="I1670" s="14">
        <f>104.9*(2/3*10)</f>
        <v>699.33333333333326</v>
      </c>
      <c r="K1670">
        <v>1667</v>
      </c>
      <c r="L1670">
        <f t="shared" si="26"/>
        <v>3</v>
      </c>
    </row>
    <row r="1671" spans="1:12" ht="16.5" x14ac:dyDescent="0.2">
      <c r="A1671" s="4" t="s">
        <v>144</v>
      </c>
      <c r="B1671">
        <v>2012</v>
      </c>
      <c r="C1671" s="14">
        <f>340.1*(2/3*10)</f>
        <v>2267.3333333333335</v>
      </c>
      <c r="D1671" s="14">
        <f>327.4*(2/3*10)</f>
        <v>2182.6666666666665</v>
      </c>
      <c r="E1671" s="14">
        <f>716.3*(2/3*10)</f>
        <v>4775.333333333333</v>
      </c>
      <c r="F1671" s="14">
        <f>12.5*(2/3*10)</f>
        <v>83.333333333333329</v>
      </c>
      <c r="G1671" s="14">
        <f>159*(2/3*10)</f>
        <v>1060</v>
      </c>
      <c r="H1671" s="14">
        <f>25.9*(2/3*10)</f>
        <v>172.66666666666663</v>
      </c>
      <c r="I1671" s="14">
        <f>104.7*(2/3*10)</f>
        <v>698</v>
      </c>
      <c r="K1671" s="15">
        <v>1668</v>
      </c>
      <c r="L1671">
        <f t="shared" si="26"/>
        <v>4</v>
      </c>
    </row>
    <row r="1672" spans="1:12" ht="16.5" x14ac:dyDescent="0.2">
      <c r="A1672" s="4" t="s">
        <v>144</v>
      </c>
      <c r="B1672">
        <v>2013</v>
      </c>
      <c r="C1672" s="14">
        <f>341*(2/3*10)</f>
        <v>2273.333333333333</v>
      </c>
      <c r="D1672" s="14">
        <f>325.5*(2/3*10)</f>
        <v>2170</v>
      </c>
      <c r="E1672" s="14">
        <f>715.2*(2/3*10)</f>
        <v>4768</v>
      </c>
      <c r="F1672" s="14">
        <f>12.4*(2/3*10)</f>
        <v>82.666666666666657</v>
      </c>
      <c r="G1672" s="14">
        <f>159.9*(2/3*10)</f>
        <v>1066</v>
      </c>
      <c r="H1672" s="14">
        <f>27.2*(2/3*10)</f>
        <v>181.33333333333331</v>
      </c>
      <c r="I1672" s="14">
        <f>104.6*(2/3*10)</f>
        <v>697.33333333333326</v>
      </c>
      <c r="K1672">
        <v>1669</v>
      </c>
      <c r="L1672">
        <f t="shared" si="26"/>
        <v>5</v>
      </c>
    </row>
    <row r="1673" spans="1:12" ht="16.5" x14ac:dyDescent="0.2">
      <c r="A1673" s="4" t="s">
        <v>144</v>
      </c>
      <c r="B1673">
        <v>2014</v>
      </c>
      <c r="C1673" s="14">
        <f>341.8*(2/3*10)</f>
        <v>2278.6666666666665</v>
      </c>
      <c r="D1673" s="14">
        <f>324.2*(2/3*10)</f>
        <v>2161.333333333333</v>
      </c>
      <c r="E1673" s="14">
        <f>714.3*(2/3*10)</f>
        <v>4761.9999999999991</v>
      </c>
      <c r="F1673" s="14">
        <f>12.2*(2/3*10)</f>
        <v>81.333333333333314</v>
      </c>
      <c r="G1673" s="14">
        <f>161.3*(2/3*10)</f>
        <v>1075.333333333333</v>
      </c>
      <c r="H1673" s="14">
        <f>27.8*(2/3*10)</f>
        <v>185.33333333333331</v>
      </c>
      <c r="I1673" s="14">
        <f>104.4*(2/3*10)</f>
        <v>696</v>
      </c>
      <c r="K1673" s="15">
        <v>1670</v>
      </c>
      <c r="L1673">
        <f t="shared" si="26"/>
        <v>6</v>
      </c>
    </row>
    <row r="1674" spans="1:12" ht="16.5" x14ac:dyDescent="0.2">
      <c r="A1674" s="4" t="s">
        <v>144</v>
      </c>
      <c r="B1674">
        <v>2015</v>
      </c>
      <c r="C1674" s="14">
        <f>341.1*(2/3*10)</f>
        <v>2274</v>
      </c>
      <c r="D1674" s="14">
        <f>322.8*(2/3*10)</f>
        <v>2152</v>
      </c>
      <c r="E1674" s="14">
        <f>713.5*(2/3*10)</f>
        <v>4756.6666666666661</v>
      </c>
      <c r="F1674" s="14">
        <f>12.1*(2/3*10)</f>
        <v>80.666666666666657</v>
      </c>
      <c r="G1674" s="14">
        <f>163*(2/3*10)</f>
        <v>1086.6666666666665</v>
      </c>
      <c r="H1674" s="14">
        <f>29.6*(2/3*10)</f>
        <v>197.33333333333331</v>
      </c>
      <c r="I1674" s="14">
        <f>104.1*(2/3*10)</f>
        <v>693.99999999999989</v>
      </c>
      <c r="K1674">
        <v>1671</v>
      </c>
      <c r="L1674">
        <f t="shared" si="26"/>
        <v>7</v>
      </c>
    </row>
    <row r="1675" spans="1:12" ht="16.5" x14ac:dyDescent="0.2">
      <c r="A1675" s="4" t="s">
        <v>144</v>
      </c>
      <c r="B1675">
        <v>2016</v>
      </c>
      <c r="C1675" s="14">
        <f>340.6*(2/3*10)</f>
        <v>2270.6666666666665</v>
      </c>
      <c r="D1675" s="14">
        <f>322.2*(2/3*10)</f>
        <v>2147.9999999999995</v>
      </c>
      <c r="E1675" s="14">
        <f>713*(2/3*10)</f>
        <v>4753.333333333333</v>
      </c>
      <c r="F1675" s="14">
        <f>12.1*(2/3*10)</f>
        <v>80.666666666666657</v>
      </c>
      <c r="G1675" s="14">
        <f>164.7*(2/3*10)</f>
        <v>1098</v>
      </c>
      <c r="H1675" s="14">
        <f>29.8*(2/3*10)</f>
        <v>198.66666666666666</v>
      </c>
      <c r="I1675" s="14">
        <f>104*(2/3*10)</f>
        <v>693.33333333333326</v>
      </c>
      <c r="K1675">
        <v>1672</v>
      </c>
      <c r="L1675">
        <f t="shared" si="26"/>
        <v>0</v>
      </c>
    </row>
    <row r="1676" spans="1:12" ht="16.5" x14ac:dyDescent="0.2">
      <c r="A1676" s="4" t="s">
        <v>143</v>
      </c>
      <c r="B1676">
        <v>2009</v>
      </c>
      <c r="C1676" s="14">
        <f>213.2*(2/3*10)</f>
        <v>1421.333333333333</v>
      </c>
      <c r="D1676" s="14">
        <f>118.5*(2/3*10)</f>
        <v>789.99999999999989</v>
      </c>
      <c r="E1676" s="14">
        <f>1575.8*(2/3*10)</f>
        <v>10505.333333333332</v>
      </c>
      <c r="F1676" s="14">
        <f>31.2*(2/3*10)</f>
        <v>207.99999999999997</v>
      </c>
      <c r="G1676" s="14">
        <f>99.3*(2/3*10)</f>
        <v>661.99999999999989</v>
      </c>
      <c r="H1676" s="14">
        <f>18.8*(2/3*10)</f>
        <v>125.33333333333333</v>
      </c>
      <c r="I1676" s="14">
        <f>150.6*(2/3*10)</f>
        <v>1003.9999999999999</v>
      </c>
      <c r="K1676" s="15">
        <v>1673</v>
      </c>
      <c r="L1676">
        <f t="shared" si="26"/>
        <v>1</v>
      </c>
    </row>
    <row r="1677" spans="1:12" ht="16.5" x14ac:dyDescent="0.2">
      <c r="A1677" s="4" t="s">
        <v>143</v>
      </c>
      <c r="B1677">
        <v>2010</v>
      </c>
      <c r="C1677" s="14">
        <f>220.4*(2/3*10)</f>
        <v>1469.3333333333333</v>
      </c>
      <c r="D1677" s="14">
        <f>116*(2/3*10)</f>
        <v>773.33333333333326</v>
      </c>
      <c r="E1677" s="14">
        <f>1571.5*(2/3*10)</f>
        <v>10476.666666666666</v>
      </c>
      <c r="F1677" s="14">
        <f>27.9*(2/3*10)</f>
        <v>185.99999999999997</v>
      </c>
      <c r="G1677" s="14">
        <f>102.1*(2/3*10)</f>
        <v>680.66666666666652</v>
      </c>
      <c r="H1677" s="14">
        <f>20*(2/3*10)</f>
        <v>133.33333333333331</v>
      </c>
      <c r="I1677" s="14">
        <f>149.1*(2/3*10)</f>
        <v>993.99999999999989</v>
      </c>
      <c r="K1677">
        <v>1674</v>
      </c>
      <c r="L1677">
        <f t="shared" si="26"/>
        <v>2</v>
      </c>
    </row>
    <row r="1678" spans="1:12" ht="16.5" x14ac:dyDescent="0.2">
      <c r="A1678" s="4" t="s">
        <v>143</v>
      </c>
      <c r="B1678">
        <v>2011</v>
      </c>
      <c r="C1678" s="14">
        <f>223.4*(2/3*10)</f>
        <v>1489.3333333333333</v>
      </c>
      <c r="D1678" s="14">
        <f>114.4*(2/3*10)</f>
        <v>762.66666666666663</v>
      </c>
      <c r="E1678" s="14">
        <f>1569*(2/3*10)</f>
        <v>10459.999999999998</v>
      </c>
      <c r="F1678" s="14">
        <f>26.6*(2/3*10)</f>
        <v>177.33333333333331</v>
      </c>
      <c r="G1678" s="14">
        <f>103.7*(2/3*10)</f>
        <v>691.33333333333314</v>
      </c>
      <c r="H1678" s="14">
        <f>21.2*(2/3*10)</f>
        <v>141.33333333333331</v>
      </c>
      <c r="I1678" s="14">
        <f>148.4*(2/3*10)</f>
        <v>989.33333333333326</v>
      </c>
      <c r="K1678" s="15">
        <v>1675</v>
      </c>
      <c r="L1678">
        <f t="shared" si="26"/>
        <v>3</v>
      </c>
    </row>
    <row r="1679" spans="1:12" ht="16.5" x14ac:dyDescent="0.2">
      <c r="A1679" s="4" t="s">
        <v>143</v>
      </c>
      <c r="B1679">
        <v>2012</v>
      </c>
      <c r="C1679" s="14">
        <f>224.1*(2/3*10)</f>
        <v>1493.9999999999998</v>
      </c>
      <c r="D1679" s="14">
        <f>114.1*(2/3*10)</f>
        <v>760.66666666666652</v>
      </c>
      <c r="E1679" s="14">
        <f>1567.7*(2/3*10)</f>
        <v>10451.333333333332</v>
      </c>
      <c r="F1679" s="14">
        <f>26.3*(2/3*10)</f>
        <v>175.33333333333331</v>
      </c>
      <c r="G1679" s="14">
        <f>105.3*(2/3*10)</f>
        <v>702</v>
      </c>
      <c r="H1679" s="14">
        <f>21.5*(2/3*10)</f>
        <v>143.33333333333331</v>
      </c>
      <c r="I1679" s="14">
        <f>148.1*(2/3*10)</f>
        <v>987.33333333333326</v>
      </c>
      <c r="K1679">
        <v>1676</v>
      </c>
      <c r="L1679">
        <f t="shared" si="26"/>
        <v>4</v>
      </c>
    </row>
    <row r="1680" spans="1:12" ht="16.5" x14ac:dyDescent="0.2">
      <c r="A1680" s="4" t="s">
        <v>143</v>
      </c>
      <c r="B1680">
        <v>2013</v>
      </c>
      <c r="C1680" s="14">
        <f>223.8*(2/3*10)</f>
        <v>1492</v>
      </c>
      <c r="D1680" s="14">
        <f>113.8*(2/3*10)</f>
        <v>758.66666666666663</v>
      </c>
      <c r="E1680" s="14">
        <f>1567.4*(2/3*10)</f>
        <v>10449.333333333332</v>
      </c>
      <c r="F1680" s="14">
        <f>26.2*(2/3*10)</f>
        <v>174.66666666666666</v>
      </c>
      <c r="G1680" s="14">
        <f>106.8*(2/3*10)</f>
        <v>712</v>
      </c>
      <c r="H1680" s="14">
        <f>21.6*(2/3*10)</f>
        <v>144</v>
      </c>
      <c r="I1680" s="14">
        <f>147.4*(2/3*10)</f>
        <v>982.66666666666663</v>
      </c>
      <c r="K1680">
        <v>1677</v>
      </c>
      <c r="L1680">
        <f t="shared" si="26"/>
        <v>5</v>
      </c>
    </row>
    <row r="1681" spans="1:12" ht="16.5" x14ac:dyDescent="0.2">
      <c r="A1681" s="4" t="s">
        <v>143</v>
      </c>
      <c r="B1681">
        <v>2014</v>
      </c>
      <c r="C1681" s="14">
        <f>223.5*(2/3*10)</f>
        <v>1489.9999999999998</v>
      </c>
      <c r="D1681" s="14">
        <f>113.2*(2/3*10)</f>
        <v>754.66666666666663</v>
      </c>
      <c r="E1681" s="14">
        <f>1565.9*(2/3*10)</f>
        <v>10439.333333333332</v>
      </c>
      <c r="F1681" s="14">
        <f>25.8*(2/3*10)</f>
        <v>172</v>
      </c>
      <c r="G1681" s="14">
        <f>108.6*(2/3*10)</f>
        <v>723.99999999999989</v>
      </c>
      <c r="H1681" s="14">
        <f>23.5*(2/3*10)</f>
        <v>156.66666666666666</v>
      </c>
      <c r="I1681" s="14">
        <f>146.4*(2/3*10)</f>
        <v>976</v>
      </c>
      <c r="K1681" s="15">
        <v>1678</v>
      </c>
      <c r="L1681">
        <f t="shared" si="26"/>
        <v>6</v>
      </c>
    </row>
    <row r="1682" spans="1:12" ht="16.5" x14ac:dyDescent="0.2">
      <c r="A1682" s="4" t="s">
        <v>143</v>
      </c>
      <c r="B1682">
        <v>2015</v>
      </c>
      <c r="C1682" s="14">
        <f>223.4*(2/3*10)</f>
        <v>1489.3333333333333</v>
      </c>
      <c r="D1682" s="14">
        <f>112.9*(2/3*10)</f>
        <v>752.66666666666663</v>
      </c>
      <c r="E1682" s="14">
        <f>1565.4*(2/3*10)</f>
        <v>10436</v>
      </c>
      <c r="F1682" s="14">
        <f>25.5*(2/3*10)</f>
        <v>169.99999999999997</v>
      </c>
      <c r="G1682" s="14">
        <f>110.5*(2/3*10)</f>
        <v>736.66666666666663</v>
      </c>
      <c r="H1682" s="14">
        <f>23.7*(2/3*10)</f>
        <v>157.99999999999997</v>
      </c>
      <c r="I1682" s="14">
        <f>145.7*(2/3*10)</f>
        <v>971.33333333333314</v>
      </c>
      <c r="K1682">
        <v>1679</v>
      </c>
      <c r="L1682">
        <f t="shared" si="26"/>
        <v>7</v>
      </c>
    </row>
    <row r="1683" spans="1:12" ht="16.5" x14ac:dyDescent="0.2">
      <c r="A1683" s="4" t="s">
        <v>143</v>
      </c>
      <c r="B1683">
        <v>2016</v>
      </c>
      <c r="C1683" s="14">
        <f>222.8*(2/3*10)</f>
        <v>1485.3333333333333</v>
      </c>
      <c r="D1683" s="14">
        <f>112.5*(2/3*10)</f>
        <v>749.99999999999989</v>
      </c>
      <c r="E1683" s="14">
        <f>1564.7*(2/3*10)</f>
        <v>10431.333333333332</v>
      </c>
      <c r="F1683" s="14">
        <f>25.3*(2/3*10)</f>
        <v>168.66666666666666</v>
      </c>
      <c r="G1683" s="14">
        <f>113.1*(2/3*10)</f>
        <v>753.99999999999989</v>
      </c>
      <c r="H1683" s="14">
        <f>24.1*(2/3*10)</f>
        <v>160.66666666666666</v>
      </c>
      <c r="I1683" s="14">
        <f>144.8*(2/3*10)</f>
        <v>965.33333333333337</v>
      </c>
      <c r="K1683" s="15">
        <v>1680</v>
      </c>
      <c r="L1683">
        <f t="shared" si="26"/>
        <v>0</v>
      </c>
    </row>
    <row r="1684" spans="1:12" ht="16.5" x14ac:dyDescent="0.2">
      <c r="A1684" s="4" t="s">
        <v>142</v>
      </c>
      <c r="B1684">
        <v>2009</v>
      </c>
      <c r="C1684" s="14">
        <f>211.3*(2/3*10)</f>
        <v>1408.6666666666665</v>
      </c>
      <c r="D1684" s="14">
        <f>141.5*(2/3*10)</f>
        <v>943.33333333333326</v>
      </c>
      <c r="E1684" s="14">
        <f>1018.8*(2/3*10)</f>
        <v>6791.9999999999991</v>
      </c>
      <c r="F1684" s="14">
        <f>26.2*(2/3*10)</f>
        <v>174.66666666666666</v>
      </c>
      <c r="G1684" s="14">
        <f>97.4*(2/3*10)</f>
        <v>649.33333333333326</v>
      </c>
      <c r="H1684" s="14">
        <f>26.6*(2/3*10)</f>
        <v>177.33333333333331</v>
      </c>
      <c r="I1684" s="14">
        <f>133.6*(2/3*10)</f>
        <v>890.66666666666652</v>
      </c>
      <c r="K1684">
        <v>1681</v>
      </c>
      <c r="L1684">
        <f t="shared" si="26"/>
        <v>1</v>
      </c>
    </row>
    <row r="1685" spans="1:12" ht="16.5" x14ac:dyDescent="0.2">
      <c r="A1685" s="4" t="s">
        <v>142</v>
      </c>
      <c r="B1685">
        <v>2010</v>
      </c>
      <c r="C1685" s="14">
        <f>211.4*(2/3*10)</f>
        <v>1409.3333333333333</v>
      </c>
      <c r="D1685" s="14">
        <f>140.2*(2/3*10)</f>
        <v>934.66666666666652</v>
      </c>
      <c r="E1685" s="14">
        <f>1017.3*(2/3*10)</f>
        <v>6781.9999999999991</v>
      </c>
      <c r="F1685" s="14">
        <f>25.3*(2/3*10)</f>
        <v>168.66666666666666</v>
      </c>
      <c r="G1685" s="14">
        <f>102.8*(2/3*10)</f>
        <v>685.33333333333326</v>
      </c>
      <c r="H1685" s="14">
        <f>27.5*(2/3*10)</f>
        <v>183.33333333333331</v>
      </c>
      <c r="I1685" s="14">
        <f>132.9*(2/3*10)</f>
        <v>886</v>
      </c>
      <c r="K1685">
        <v>1682</v>
      </c>
      <c r="L1685">
        <f t="shared" si="26"/>
        <v>2</v>
      </c>
    </row>
    <row r="1686" spans="1:12" ht="16.5" x14ac:dyDescent="0.2">
      <c r="A1686" s="4" t="s">
        <v>142</v>
      </c>
      <c r="B1686">
        <v>2011</v>
      </c>
      <c r="C1686" s="14">
        <f>211.9*(2/3*10)</f>
        <v>1412.6666666666665</v>
      </c>
      <c r="D1686" s="14">
        <f>138.3*(2/3*10)</f>
        <v>922</v>
      </c>
      <c r="E1686" s="14">
        <f>1015.5*(2/3*10)</f>
        <v>6769.9999999999991</v>
      </c>
      <c r="F1686" s="14">
        <f>24*(2/3*10)</f>
        <v>160</v>
      </c>
      <c r="G1686" s="14">
        <f>108.5*(2/3*10)</f>
        <v>723.33333333333326</v>
      </c>
      <c r="H1686" s="14">
        <f>29.1*(2/3*10)</f>
        <v>194</v>
      </c>
      <c r="I1686" s="14">
        <f>131.8*(2/3*10)</f>
        <v>878.66666666666663</v>
      </c>
      <c r="K1686" s="15">
        <v>1683</v>
      </c>
      <c r="L1686">
        <f t="shared" si="26"/>
        <v>3</v>
      </c>
    </row>
    <row r="1687" spans="1:12" ht="16.5" x14ac:dyDescent="0.2">
      <c r="A1687" s="4" t="s">
        <v>142</v>
      </c>
      <c r="B1687">
        <v>2012</v>
      </c>
      <c r="C1687" s="14">
        <f>211.6*(2/3*10)</f>
        <v>1410.6666666666665</v>
      </c>
      <c r="D1687" s="14">
        <f>137.6*(2/3*10)</f>
        <v>917.33333333333326</v>
      </c>
      <c r="E1687" s="14">
        <f>1014.8*(2/3*10)</f>
        <v>6765.3333333333321</v>
      </c>
      <c r="F1687" s="14">
        <f>23.5*(2/3*10)</f>
        <v>156.66666666666666</v>
      </c>
      <c r="G1687" s="14">
        <f>111.2*(2/3*10)</f>
        <v>741.33333333333314</v>
      </c>
      <c r="H1687" s="14">
        <f>29.9*(2/3*10)</f>
        <v>199.33333333333331</v>
      </c>
      <c r="I1687" s="14">
        <f>131.2*(2/3*10)</f>
        <v>874.66666666666652</v>
      </c>
      <c r="K1687">
        <v>1684</v>
      </c>
      <c r="L1687">
        <f t="shared" si="26"/>
        <v>4</v>
      </c>
    </row>
    <row r="1688" spans="1:12" ht="16.5" x14ac:dyDescent="0.2">
      <c r="A1688" s="4" t="s">
        <v>142</v>
      </c>
      <c r="B1688">
        <v>2013</v>
      </c>
      <c r="C1688" s="14">
        <f>211.5*(2/3*10)</f>
        <v>1409.9999999999998</v>
      </c>
      <c r="D1688" s="14">
        <f>136.9*(2/3*10)</f>
        <v>912.66666666666663</v>
      </c>
      <c r="E1688" s="14">
        <f>1013.9*(2/3*10)</f>
        <v>6759.333333333333</v>
      </c>
      <c r="F1688" s="14">
        <f>22.9*(2/3*10)</f>
        <v>152.66666666666666</v>
      </c>
      <c r="G1688" s="14">
        <f>114.4*(2/3*10)</f>
        <v>762.66666666666652</v>
      </c>
      <c r="H1688" s="14">
        <f>30.2*(2/3*10)</f>
        <v>201.33333333333331</v>
      </c>
      <c r="I1688" s="14">
        <f>130.7*(2/3*10)</f>
        <v>871.33333333333314</v>
      </c>
      <c r="K1688" s="15">
        <v>1685</v>
      </c>
      <c r="L1688">
        <f t="shared" si="26"/>
        <v>5</v>
      </c>
    </row>
    <row r="1689" spans="1:12" ht="16.5" x14ac:dyDescent="0.2">
      <c r="A1689" s="4" t="s">
        <v>142</v>
      </c>
      <c r="B1689">
        <v>2014</v>
      </c>
      <c r="C1689" s="14">
        <f>211.2*(2/3*10)</f>
        <v>1407.9999999999998</v>
      </c>
      <c r="D1689" s="14">
        <f>135.9*(2/3*10)</f>
        <v>906</v>
      </c>
      <c r="E1689" s="14">
        <f>1012.7*(2/3*10)</f>
        <v>6751.333333333333</v>
      </c>
      <c r="F1689" s="14">
        <f>22.2*(2/3*10)</f>
        <v>147.99999999999997</v>
      </c>
      <c r="G1689" s="14">
        <f>118.4*(2/3*10)</f>
        <v>789.33333333333326</v>
      </c>
      <c r="H1689" s="14">
        <f>31*(2/3*10)</f>
        <v>206.66666666666666</v>
      </c>
      <c r="I1689" s="14">
        <f>129.9*(2/3*10)</f>
        <v>866</v>
      </c>
      <c r="K1689">
        <v>1686</v>
      </c>
      <c r="L1689">
        <f t="shared" si="26"/>
        <v>6</v>
      </c>
    </row>
    <row r="1690" spans="1:12" ht="16.5" x14ac:dyDescent="0.2">
      <c r="A1690" s="4" t="s">
        <v>142</v>
      </c>
      <c r="B1690">
        <v>2015</v>
      </c>
      <c r="C1690" s="14">
        <f>210.4*(2/3*10)</f>
        <v>1402.6666666666665</v>
      </c>
      <c r="D1690" s="14">
        <f>135.3*(2/3*10)</f>
        <v>902</v>
      </c>
      <c r="E1690" s="14">
        <f>1011.8*(2/3*10)</f>
        <v>6745.3333333333321</v>
      </c>
      <c r="F1690" s="14">
        <f>21.7*(2/3*10)</f>
        <v>144.66666666666666</v>
      </c>
      <c r="G1690" s="14">
        <f>122.3*(2/3*10)</f>
        <v>815.33333333333326</v>
      </c>
      <c r="H1690" s="14">
        <f>31.2*(2/3*10)</f>
        <v>207.99999999999997</v>
      </c>
      <c r="I1690" s="14">
        <f>129.4*(2/3*10)</f>
        <v>862.66666666666663</v>
      </c>
      <c r="K1690">
        <v>1687</v>
      </c>
      <c r="L1690">
        <f t="shared" si="26"/>
        <v>7</v>
      </c>
    </row>
    <row r="1691" spans="1:12" ht="16.5" x14ac:dyDescent="0.2">
      <c r="A1691" s="4" t="s">
        <v>142</v>
      </c>
      <c r="B1691">
        <v>2016</v>
      </c>
      <c r="C1691" s="14">
        <f>209.4*(2/3*10)</f>
        <v>1396</v>
      </c>
      <c r="D1691" s="14">
        <f>134.5*(2/3*10)</f>
        <v>896.66666666666663</v>
      </c>
      <c r="E1691" s="14">
        <f>1010.5*(2/3*10)</f>
        <v>6736.6666666666661</v>
      </c>
      <c r="F1691" s="14">
        <f>21.2*(2/3*10)</f>
        <v>141.33333333333331</v>
      </c>
      <c r="G1691" s="14">
        <f>125.6*(2/3*10)</f>
        <v>837.33333333333326</v>
      </c>
      <c r="H1691" s="14">
        <f>32.6*(2/3*10)</f>
        <v>217.33333333333331</v>
      </c>
      <c r="I1691" s="14">
        <f>128.9*(2/3*10)</f>
        <v>859.33333333333326</v>
      </c>
      <c r="K1691" s="15">
        <v>1688</v>
      </c>
      <c r="L1691">
        <f t="shared" si="26"/>
        <v>0</v>
      </c>
    </row>
    <row r="1692" spans="1:12" ht="16.5" x14ac:dyDescent="0.2">
      <c r="A1692" s="4" t="s">
        <v>141</v>
      </c>
      <c r="B1692">
        <v>2009</v>
      </c>
      <c r="C1692" s="14">
        <f>239*(2/3*10)</f>
        <v>1593.3333333333333</v>
      </c>
      <c r="D1692" s="14">
        <f>74.5*(2/3*10)</f>
        <v>496.66666666666663</v>
      </c>
      <c r="E1692" s="14">
        <f>1780.2*(2/3*10)</f>
        <v>11868</v>
      </c>
      <c r="F1692" s="14">
        <f>53*(2/3*10)</f>
        <v>353.33333333333331</v>
      </c>
      <c r="G1692" s="14">
        <f>110.5*(2/3*10)</f>
        <v>736.66666666666674</v>
      </c>
      <c r="H1692" s="14">
        <f>24.2*(2/3*10)</f>
        <v>161.33333333333331</v>
      </c>
      <c r="I1692" s="14">
        <f>69.1*(2/3*10)</f>
        <v>460.66666666666657</v>
      </c>
      <c r="K1692">
        <v>1689</v>
      </c>
      <c r="L1692">
        <f t="shared" si="26"/>
        <v>1</v>
      </c>
    </row>
    <row r="1693" spans="1:12" ht="16.5" x14ac:dyDescent="0.2">
      <c r="A1693" s="4" t="s">
        <v>141</v>
      </c>
      <c r="B1693">
        <v>2010</v>
      </c>
      <c r="C1693" s="14">
        <f>244.6*(2/3*10)</f>
        <v>1630.6666666666665</v>
      </c>
      <c r="D1693" s="14">
        <f>73.3*(2/3*10)</f>
        <v>488.66666666666663</v>
      </c>
      <c r="E1693" s="14">
        <f>1774.5*(2/3*10)</f>
        <v>11829.999999999998</v>
      </c>
      <c r="F1693" s="14">
        <f>52.7*(2/3*10)</f>
        <v>351.33333333333331</v>
      </c>
      <c r="G1693" s="14">
        <f>111.3*(2/3*10)</f>
        <v>742</v>
      </c>
      <c r="H1693" s="14">
        <f>24.5*(2/3*10)</f>
        <v>163.33333333333331</v>
      </c>
      <c r="I1693" s="14">
        <f>69.1*(2/3*10)</f>
        <v>460.66666666666657</v>
      </c>
      <c r="K1693" s="15">
        <v>1690</v>
      </c>
      <c r="L1693">
        <f t="shared" si="26"/>
        <v>2</v>
      </c>
    </row>
    <row r="1694" spans="1:12" ht="16.5" x14ac:dyDescent="0.2">
      <c r="A1694" s="4" t="s">
        <v>141</v>
      </c>
      <c r="B1694">
        <v>2011</v>
      </c>
      <c r="C1694" s="14">
        <f>246.1*(2/3*10)</f>
        <v>1640.6666666666665</v>
      </c>
      <c r="D1694" s="14">
        <f>72.7*(2/3*10)</f>
        <v>484.66666666666663</v>
      </c>
      <c r="E1694" s="14">
        <f>1772.8*(2/3*10)</f>
        <v>11818.666666666666</v>
      </c>
      <c r="F1694" s="14">
        <f>52.1*(2/3*10)</f>
        <v>347.33333333333331</v>
      </c>
      <c r="G1694" s="14">
        <f>111.9*(2/3*10)</f>
        <v>746</v>
      </c>
      <c r="H1694" s="14">
        <f>25*(2/3*10)</f>
        <v>166.66666666666666</v>
      </c>
      <c r="I1694" s="14">
        <f>69*(2/3*10)</f>
        <v>459.99999999999994</v>
      </c>
      <c r="K1694">
        <v>1691</v>
      </c>
      <c r="L1694">
        <f t="shared" si="26"/>
        <v>3</v>
      </c>
    </row>
    <row r="1695" spans="1:12" ht="16.5" x14ac:dyDescent="0.2">
      <c r="A1695" s="4" t="s">
        <v>141</v>
      </c>
      <c r="B1695">
        <v>2012</v>
      </c>
      <c r="C1695" s="14">
        <f>246.2*(2/3*10)</f>
        <v>1641.333333333333</v>
      </c>
      <c r="D1695" s="14">
        <f>72.7*(2/3*10)</f>
        <v>484.66666666666663</v>
      </c>
      <c r="E1695" s="14">
        <f>1772.2*(2/3*10)</f>
        <v>11814.666666666666</v>
      </c>
      <c r="F1695" s="14">
        <f>52*(2/3*10)</f>
        <v>346.66666666666663</v>
      </c>
      <c r="G1695" s="14">
        <f>112.6*(2/3*10)</f>
        <v>750.66666666666652</v>
      </c>
      <c r="H1695" s="14">
        <f>25*(2/3*10)</f>
        <v>166.66666666666666</v>
      </c>
      <c r="I1695" s="14">
        <f>68.9*(2/3*10)</f>
        <v>459.33333333333331</v>
      </c>
      <c r="K1695">
        <v>1692</v>
      </c>
      <c r="L1695">
        <f t="shared" si="26"/>
        <v>4</v>
      </c>
    </row>
    <row r="1696" spans="1:12" ht="16.5" x14ac:dyDescent="0.2">
      <c r="A1696" s="4" t="s">
        <v>141</v>
      </c>
      <c r="B1696">
        <v>2013</v>
      </c>
      <c r="C1696" s="14">
        <f>246.2*(2/3*10)</f>
        <v>1641.333333333333</v>
      </c>
      <c r="D1696" s="14">
        <f>72.5*(2/3*10)</f>
        <v>483.33333333333331</v>
      </c>
      <c r="E1696" s="14">
        <f>1770.6*(2/3*10)</f>
        <v>11803.999999999998</v>
      </c>
      <c r="F1696" s="14">
        <f>51.8*(2/3*10)</f>
        <v>345.33333333333326</v>
      </c>
      <c r="G1696" s="14">
        <f>113.4*(2/3*10)</f>
        <v>756</v>
      </c>
      <c r="H1696" s="14">
        <f>26.3*(2/3*10)</f>
        <v>175.33333333333331</v>
      </c>
      <c r="I1696" s="14">
        <f>68.8*(2/3*10)</f>
        <v>458.66666666666663</v>
      </c>
      <c r="K1696" s="15">
        <v>1693</v>
      </c>
      <c r="L1696">
        <f t="shared" si="26"/>
        <v>5</v>
      </c>
    </row>
    <row r="1697" spans="1:12" ht="16.5" x14ac:dyDescent="0.2">
      <c r="A1697" s="4" t="s">
        <v>141</v>
      </c>
      <c r="B1697">
        <v>2014</v>
      </c>
      <c r="C1697" s="14">
        <f>246.2*(2/3*10)</f>
        <v>1641.333333333333</v>
      </c>
      <c r="D1697" s="14">
        <f>72*(2/3*10)</f>
        <v>479.99999999999994</v>
      </c>
      <c r="E1697" s="14">
        <f>1768.9*(2/3*10)</f>
        <v>11792.666666666666</v>
      </c>
      <c r="F1697" s="14">
        <f>51.3*(2/3*10)</f>
        <v>341.99999999999994</v>
      </c>
      <c r="G1697" s="14">
        <f>115.6*(2/3*10)</f>
        <v>770.66666666666652</v>
      </c>
      <c r="H1697" s="14">
        <f>27*(2/3*10)</f>
        <v>179.99999999999997</v>
      </c>
      <c r="I1697" s="14">
        <f>68.7*(2/3*10)</f>
        <v>458</v>
      </c>
      <c r="K1697">
        <v>1694</v>
      </c>
      <c r="L1697">
        <f t="shared" si="26"/>
        <v>6</v>
      </c>
    </row>
    <row r="1698" spans="1:12" ht="16.5" x14ac:dyDescent="0.2">
      <c r="A1698" s="4" t="s">
        <v>141</v>
      </c>
      <c r="B1698">
        <v>2015</v>
      </c>
      <c r="C1698" s="14">
        <f>245.4*(2/3*10)</f>
        <v>1636</v>
      </c>
      <c r="D1698" s="14">
        <f>71.7*(2/3*10)</f>
        <v>478</v>
      </c>
      <c r="E1698" s="14">
        <f>1767.7*(2/3*10)</f>
        <v>11784.666666666666</v>
      </c>
      <c r="F1698" s="14">
        <f>51*(2/3*10)</f>
        <v>339.99999999999994</v>
      </c>
      <c r="G1698" s="14">
        <f>117.5*(2/3*10)</f>
        <v>783.33333333333314</v>
      </c>
      <c r="H1698" s="14">
        <f>27.8*(2/3*10)</f>
        <v>185.33333333333331</v>
      </c>
      <c r="I1698" s="14">
        <f>68.5*(2/3*10)</f>
        <v>456.66666666666663</v>
      </c>
      <c r="K1698" s="15">
        <v>1695</v>
      </c>
      <c r="L1698">
        <f t="shared" si="26"/>
        <v>7</v>
      </c>
    </row>
    <row r="1699" spans="1:12" ht="16.5" x14ac:dyDescent="0.2">
      <c r="A1699" s="4" t="s">
        <v>141</v>
      </c>
      <c r="B1699">
        <v>2016</v>
      </c>
      <c r="C1699" s="14">
        <f>244.5*(2/3*10)</f>
        <v>1629.9999999999998</v>
      </c>
      <c r="D1699" s="14">
        <f>71.5*(2/3*10)</f>
        <v>476.66666666666663</v>
      </c>
      <c r="E1699" s="14">
        <f>1766.7*(2/3*10)</f>
        <v>11778</v>
      </c>
      <c r="F1699" s="14">
        <f>50.9*(2/3*10)</f>
        <v>339.33333333333331</v>
      </c>
      <c r="G1699" s="14">
        <f>119*(2/3*10)</f>
        <v>793.33333333333326</v>
      </c>
      <c r="H1699" s="14">
        <f>28.8*(2/3*10)</f>
        <v>192</v>
      </c>
      <c r="I1699" s="14">
        <f>68.4*(2/3*10)</f>
        <v>456</v>
      </c>
      <c r="K1699">
        <v>1696</v>
      </c>
      <c r="L1699">
        <f t="shared" si="26"/>
        <v>0</v>
      </c>
    </row>
    <row r="1700" spans="1:12" ht="16.5" x14ac:dyDescent="0.2">
      <c r="A1700" s="4" t="s">
        <v>140</v>
      </c>
      <c r="B1700">
        <v>2009</v>
      </c>
      <c r="C1700" s="14">
        <f>139.2*(2/3*10)</f>
        <v>927.99999999999989</v>
      </c>
      <c r="D1700" s="14">
        <f>61*(2/3*10)</f>
        <v>406.66666666666663</v>
      </c>
      <c r="E1700" s="14">
        <f>372.2*(2/3*10)</f>
        <v>2481.333333333333</v>
      </c>
      <c r="F1700" s="14">
        <f>21.7*(2/3*10)</f>
        <v>144.66666666666666</v>
      </c>
      <c r="G1700" s="14">
        <f>40.2*(2/3*10)</f>
        <v>267.99999999999994</v>
      </c>
      <c r="H1700" s="14">
        <f>8.6*(2/3*10)</f>
        <v>57.333333333333329</v>
      </c>
      <c r="I1700" s="14">
        <f>73.7*(2/3*10)</f>
        <v>491.33333333333331</v>
      </c>
      <c r="K1700">
        <v>1697</v>
      </c>
      <c r="L1700">
        <f t="shared" si="26"/>
        <v>1</v>
      </c>
    </row>
    <row r="1701" spans="1:12" ht="16.5" x14ac:dyDescent="0.2">
      <c r="A1701" s="4" t="s">
        <v>140</v>
      </c>
      <c r="B1701">
        <v>2010</v>
      </c>
      <c r="C1701" s="14">
        <f>141.8*(2/3*10)</f>
        <v>945.33333333333337</v>
      </c>
      <c r="D1701" s="14">
        <f>60.2*(2/3*10)</f>
        <v>401.33333333333331</v>
      </c>
      <c r="E1701" s="14">
        <f>370.8*(2/3*10)</f>
        <v>2472</v>
      </c>
      <c r="F1701" s="14">
        <f>21.1*(2/3*10)</f>
        <v>140.66666666666666</v>
      </c>
      <c r="G1701" s="14">
        <f>40.6*(2/3*10)</f>
        <v>270.66666666666663</v>
      </c>
      <c r="H1701" s="14">
        <f>8.6*(2/3*10)</f>
        <v>57.333333333333329</v>
      </c>
      <c r="I1701" s="14">
        <f>73.5*(2/3*10)</f>
        <v>489.99999999999994</v>
      </c>
      <c r="K1701" s="15">
        <v>1698</v>
      </c>
      <c r="L1701">
        <f t="shared" si="26"/>
        <v>2</v>
      </c>
    </row>
    <row r="1702" spans="1:12" ht="16.5" x14ac:dyDescent="0.2">
      <c r="A1702" s="4" t="s">
        <v>140</v>
      </c>
      <c r="B1702">
        <v>2011</v>
      </c>
      <c r="C1702" s="14">
        <f>143.2*(2/3*10)</f>
        <v>954.66666666666652</v>
      </c>
      <c r="D1702" s="14">
        <f>60*(2/3*10)</f>
        <v>399.99999999999994</v>
      </c>
      <c r="E1702" s="14">
        <f>369.8*(2/3*10)</f>
        <v>2465.333333333333</v>
      </c>
      <c r="F1702" s="14">
        <f>20.9*(2/3*10)</f>
        <v>139.33333333333331</v>
      </c>
      <c r="G1702" s="14">
        <f>41*(2/3*10)</f>
        <v>273.33333333333331</v>
      </c>
      <c r="H1702" s="14">
        <f>8.7*(2/3*10)</f>
        <v>57.999999999999993</v>
      </c>
      <c r="I1702" s="14">
        <f>73.7*(2/3*10)</f>
        <v>491.33333333333331</v>
      </c>
      <c r="K1702">
        <v>1699</v>
      </c>
      <c r="L1702">
        <f t="shared" si="26"/>
        <v>3</v>
      </c>
    </row>
    <row r="1703" spans="1:12" ht="16.5" x14ac:dyDescent="0.2">
      <c r="A1703" s="4" t="s">
        <v>140</v>
      </c>
      <c r="B1703">
        <v>2012</v>
      </c>
      <c r="C1703" s="14">
        <f>146.8*(2/3*10)</f>
        <v>978.66666666666663</v>
      </c>
      <c r="D1703" s="14">
        <f>58.6*(2/3*10)</f>
        <v>390.66666666666663</v>
      </c>
      <c r="E1703" s="14">
        <f>367.1*(2/3*10)</f>
        <v>2447.3333333333335</v>
      </c>
      <c r="F1703" s="14">
        <f>20.6*(2/3*10)</f>
        <v>137.33333333333334</v>
      </c>
      <c r="G1703" s="14">
        <f>41.4*(2/3*10)</f>
        <v>275.99999999999994</v>
      </c>
      <c r="H1703" s="14">
        <f>8.7*(2/3*10)</f>
        <v>57.999999999999993</v>
      </c>
      <c r="I1703" s="14">
        <f>73.7*(2/3*10)</f>
        <v>491.33333333333331</v>
      </c>
      <c r="K1703" s="15">
        <v>1700</v>
      </c>
      <c r="L1703">
        <f t="shared" si="26"/>
        <v>4</v>
      </c>
    </row>
    <row r="1704" spans="1:12" ht="16.5" x14ac:dyDescent="0.2">
      <c r="A1704" s="4" t="s">
        <v>140</v>
      </c>
      <c r="B1704">
        <v>2013</v>
      </c>
      <c r="C1704" s="14">
        <f>147.3*(2/3*10)</f>
        <v>982</v>
      </c>
      <c r="D1704" s="14">
        <f>58.4*(2/3*10)</f>
        <v>389.33333333333331</v>
      </c>
      <c r="E1704" s="14">
        <f>366.4*(2/3*10)</f>
        <v>2442.6666666666665</v>
      </c>
      <c r="F1704" s="14">
        <f>20.5*(2/3*10)</f>
        <v>136.66666666666666</v>
      </c>
      <c r="G1704" s="14">
        <f>42*(2/3*10)</f>
        <v>280</v>
      </c>
      <c r="H1704" s="14">
        <f>8.8*(2/3*10)</f>
        <v>58.666666666666664</v>
      </c>
      <c r="I1704" s="14">
        <f>73.6*(2/3*10)</f>
        <v>490.66666666666657</v>
      </c>
      <c r="K1704">
        <v>1701</v>
      </c>
      <c r="L1704">
        <f t="shared" si="26"/>
        <v>5</v>
      </c>
    </row>
    <row r="1705" spans="1:12" ht="16.5" x14ac:dyDescent="0.2">
      <c r="A1705" s="4" t="s">
        <v>140</v>
      </c>
      <c r="B1705">
        <v>2014</v>
      </c>
      <c r="C1705" s="14">
        <f>146.8*(2/3*10)</f>
        <v>978.66666666666663</v>
      </c>
      <c r="D1705" s="14">
        <f>58.1*(2/3*10)</f>
        <v>387.33333333333331</v>
      </c>
      <c r="E1705" s="14">
        <f>365.4*(2/3*10)</f>
        <v>2435.9999999999995</v>
      </c>
      <c r="F1705" s="14">
        <f>20.4*(2/3*10)</f>
        <v>135.99999999999997</v>
      </c>
      <c r="G1705" s="14">
        <f>43*(2/3*10)</f>
        <v>286.66666666666663</v>
      </c>
      <c r="H1705" s="14">
        <f>9.8*(2/3*10)</f>
        <v>65.333333333333329</v>
      </c>
      <c r="I1705" s="14">
        <f>73.5*(2/3*10)</f>
        <v>489.99999999999994</v>
      </c>
      <c r="K1705">
        <v>1702</v>
      </c>
      <c r="L1705">
        <f t="shared" si="26"/>
        <v>6</v>
      </c>
    </row>
    <row r="1706" spans="1:12" ht="16.5" x14ac:dyDescent="0.2">
      <c r="A1706" s="4" t="s">
        <v>140</v>
      </c>
      <c r="B1706">
        <v>2015</v>
      </c>
      <c r="C1706" s="14">
        <f>146.3*(2/3*10)</f>
        <v>975.33333333333337</v>
      </c>
      <c r="D1706" s="14">
        <f>58.1*(2/3*10)</f>
        <v>387.33333333333331</v>
      </c>
      <c r="E1706" s="14">
        <f>364.9*(2/3*10)</f>
        <v>2432.6666666666665</v>
      </c>
      <c r="F1706" s="14">
        <f>20.3*(2/3*10)</f>
        <v>135.33333333333331</v>
      </c>
      <c r="G1706" s="14">
        <f>44.3*(2/3*10)</f>
        <v>295.33333333333331</v>
      </c>
      <c r="H1706" s="14">
        <f>9.8*(2/3*10)</f>
        <v>65.333333333333329</v>
      </c>
      <c r="I1706" s="14">
        <f>73.4*(2/3*10)</f>
        <v>489.33333333333331</v>
      </c>
      <c r="K1706" s="15">
        <v>1703</v>
      </c>
      <c r="L1706">
        <f t="shared" si="26"/>
        <v>7</v>
      </c>
    </row>
    <row r="1707" spans="1:12" ht="16.5" x14ac:dyDescent="0.2">
      <c r="A1707" s="4" t="s">
        <v>140</v>
      </c>
      <c r="B1707">
        <v>2016</v>
      </c>
      <c r="C1707" s="14">
        <f>145.6*(2/3*10)</f>
        <v>970.66666666666652</v>
      </c>
      <c r="D1707" s="14">
        <f>57.9*(2/3*10)</f>
        <v>385.99999999999994</v>
      </c>
      <c r="E1707" s="14">
        <f>364.7*(2/3*10)</f>
        <v>2431.333333333333</v>
      </c>
      <c r="F1707" s="14">
        <f>20.2*(2/3*10)</f>
        <v>134.66666666666666</v>
      </c>
      <c r="G1707" s="14">
        <f>45.6*(2/3*10)</f>
        <v>303.99999999999994</v>
      </c>
      <c r="H1707" s="14">
        <f>9.9*(2/3*10)</f>
        <v>66</v>
      </c>
      <c r="I1707" s="14">
        <f>73.2*(2/3*10)</f>
        <v>488</v>
      </c>
      <c r="K1707">
        <v>1704</v>
      </c>
      <c r="L1707">
        <f t="shared" si="26"/>
        <v>0</v>
      </c>
    </row>
    <row r="1708" spans="1:12" ht="16.5" x14ac:dyDescent="0.2">
      <c r="A1708" s="4" t="s">
        <v>139</v>
      </c>
      <c r="B1708">
        <v>2009</v>
      </c>
      <c r="C1708" s="14">
        <f>207.3*(2/3*10)</f>
        <v>1382</v>
      </c>
      <c r="D1708" s="14">
        <f>62.7*(2/3*10)</f>
        <v>418</v>
      </c>
      <c r="E1708" s="14">
        <f>1794.3*(2/3*10)</f>
        <v>11961.999999999998</v>
      </c>
      <c r="F1708" s="14">
        <f>46.5*(2/3*10)</f>
        <v>310</v>
      </c>
      <c r="G1708" s="14">
        <f>55.3*(2/3*10)</f>
        <v>368.66666666666663</v>
      </c>
      <c r="H1708" s="14">
        <f>20.1*(2/3*10)</f>
        <v>134</v>
      </c>
      <c r="I1708" s="14">
        <f>106.8*(2/3*10)</f>
        <v>711.99999999999989</v>
      </c>
      <c r="K1708" s="15">
        <v>1705</v>
      </c>
      <c r="L1708">
        <f t="shared" si="26"/>
        <v>1</v>
      </c>
    </row>
    <row r="1709" spans="1:12" ht="16.5" x14ac:dyDescent="0.2">
      <c r="A1709" s="4" t="s">
        <v>139</v>
      </c>
      <c r="B1709">
        <v>2010</v>
      </c>
      <c r="C1709" s="14">
        <f>209.2*(2/3*10)</f>
        <v>1394.6666666666665</v>
      </c>
      <c r="D1709" s="14">
        <f>61.9*(2/3*10)</f>
        <v>412.66666666666663</v>
      </c>
      <c r="E1709" s="14">
        <f>1792.9*(2/3*10)</f>
        <v>11952.666666666666</v>
      </c>
      <c r="F1709" s="14">
        <f>45.9*(2/3*10)</f>
        <v>305.99999999999994</v>
      </c>
      <c r="G1709" s="14">
        <f>56.3*(2/3*10)</f>
        <v>375.33333333333331</v>
      </c>
      <c r="H1709" s="14">
        <f>20.2*(2/3*10)</f>
        <v>134.66666666666666</v>
      </c>
      <c r="I1709" s="14">
        <f>106.7*(2/3*10)</f>
        <v>711.33333333333326</v>
      </c>
      <c r="K1709">
        <v>1706</v>
      </c>
      <c r="L1709">
        <f t="shared" si="26"/>
        <v>2</v>
      </c>
    </row>
    <row r="1710" spans="1:12" ht="16.5" x14ac:dyDescent="0.2">
      <c r="A1710" s="4" t="s">
        <v>139</v>
      </c>
      <c r="B1710">
        <v>2011</v>
      </c>
      <c r="C1710" s="14">
        <f>211.8*(2/3*10)</f>
        <v>1412</v>
      </c>
      <c r="D1710" s="14">
        <f>61.4*(2/3*10)</f>
        <v>409.33333333333331</v>
      </c>
      <c r="E1710" s="14">
        <f>1790.1*(2/3*10)</f>
        <v>11933.999999999998</v>
      </c>
      <c r="F1710" s="14">
        <f>45.5*(2/3*10)</f>
        <v>303.33333333333331</v>
      </c>
      <c r="G1710" s="14">
        <f>57.3*(2/3*10)</f>
        <v>382</v>
      </c>
      <c r="H1710" s="14">
        <f>20.4*(2/3*10)</f>
        <v>135.99999999999997</v>
      </c>
      <c r="I1710" s="14">
        <f>106.6*(2/3*10)</f>
        <v>710.66666666666652</v>
      </c>
      <c r="K1710">
        <v>1707</v>
      </c>
      <c r="L1710">
        <f t="shared" si="26"/>
        <v>3</v>
      </c>
    </row>
    <row r="1711" spans="1:12" ht="16.5" x14ac:dyDescent="0.2">
      <c r="A1711" s="4" t="s">
        <v>139</v>
      </c>
      <c r="B1711">
        <v>2012</v>
      </c>
      <c r="C1711" s="14">
        <f>212.9*(2/3*10)</f>
        <v>1419.3333333333333</v>
      </c>
      <c r="D1711" s="14">
        <f>61*(2/3*10)</f>
        <v>406.66666666666663</v>
      </c>
      <c r="E1711" s="14">
        <f>1788.9*(2/3*10)</f>
        <v>11926</v>
      </c>
      <c r="F1711" s="14">
        <f>45.4*(2/3*10)</f>
        <v>302.66666666666663</v>
      </c>
      <c r="G1711" s="14">
        <f>57.9*(2/3*10)</f>
        <v>386</v>
      </c>
      <c r="H1711" s="14">
        <f>20.4*(2/3*10)</f>
        <v>135.99999999999997</v>
      </c>
      <c r="I1711" s="14">
        <f>106.5*(2/3*10)</f>
        <v>709.99999999999989</v>
      </c>
      <c r="K1711" s="15">
        <v>1708</v>
      </c>
      <c r="L1711">
        <f t="shared" si="26"/>
        <v>4</v>
      </c>
    </row>
    <row r="1712" spans="1:12" ht="16.5" x14ac:dyDescent="0.2">
      <c r="A1712" s="4" t="s">
        <v>139</v>
      </c>
      <c r="B1712">
        <v>2013</v>
      </c>
      <c r="C1712" s="14">
        <f>214.9*(2/3*10)</f>
        <v>1432.6666666666665</v>
      </c>
      <c r="D1712" s="14">
        <f>60.1*(2/3*10)</f>
        <v>400.66666666666663</v>
      </c>
      <c r="E1712" s="14">
        <f>1785.4*(2/3*10)</f>
        <v>11902.666666666666</v>
      </c>
      <c r="F1712" s="14">
        <f>45.1*(2/3*10)</f>
        <v>300.66666666666663</v>
      </c>
      <c r="G1712" s="14">
        <f>59.3*(2/3*10)</f>
        <v>395.33333333333331</v>
      </c>
      <c r="H1712" s="14">
        <f>21.9*(2/3*10)</f>
        <v>145.99999999999997</v>
      </c>
      <c r="I1712" s="14">
        <f>106.4*(2/3*10)</f>
        <v>709.33333333333326</v>
      </c>
      <c r="K1712">
        <v>1709</v>
      </c>
      <c r="L1712">
        <f t="shared" si="26"/>
        <v>5</v>
      </c>
    </row>
    <row r="1713" spans="1:12" ht="16.5" x14ac:dyDescent="0.2">
      <c r="A1713" s="4" t="s">
        <v>139</v>
      </c>
      <c r="B1713">
        <v>2014</v>
      </c>
      <c r="C1713" s="14">
        <f>217.1*(2/3*10)</f>
        <v>1447.3333333333333</v>
      </c>
      <c r="D1713" s="14">
        <f>59.2*(2/3*10)</f>
        <v>394.66666666666663</v>
      </c>
      <c r="E1713" s="14">
        <f>1782.8*(2/3*10)</f>
        <v>11885.333333333332</v>
      </c>
      <c r="F1713" s="14">
        <f>44.4*(2/3*10)</f>
        <v>295.99999999999994</v>
      </c>
      <c r="G1713" s="14">
        <f>61.3*(2/3*10)</f>
        <v>408.66666666666663</v>
      </c>
      <c r="H1713" s="14">
        <f>22.2*(2/3*10)</f>
        <v>147.99999999999997</v>
      </c>
      <c r="I1713" s="14">
        <f>106.2*(2/3*10)</f>
        <v>708</v>
      </c>
      <c r="K1713" s="15">
        <v>1710</v>
      </c>
      <c r="L1713">
        <f t="shared" si="26"/>
        <v>6</v>
      </c>
    </row>
    <row r="1714" spans="1:12" ht="16.5" x14ac:dyDescent="0.2">
      <c r="A1714" s="4" t="s">
        <v>139</v>
      </c>
      <c r="B1714">
        <v>2015</v>
      </c>
      <c r="C1714" s="14">
        <f>216.5*(2/3*10)</f>
        <v>1443.3333333333333</v>
      </c>
      <c r="D1714" s="14">
        <f>58.5*(2/3*10)</f>
        <v>389.99999999999994</v>
      </c>
      <c r="E1714" s="14">
        <f>1781.8*(2/3*10)</f>
        <v>11878.666666666666</v>
      </c>
      <c r="F1714" s="14">
        <f>44.1*(2/3*10)</f>
        <v>294</v>
      </c>
      <c r="G1714" s="14">
        <f>63.9*(2/3*10)</f>
        <v>425.99999999999994</v>
      </c>
      <c r="H1714" s="14">
        <f>22.9*(2/3*10)</f>
        <v>152.66666666666666</v>
      </c>
      <c r="I1714" s="14">
        <f>106*(2/3*10)</f>
        <v>706.66666666666663</v>
      </c>
      <c r="K1714">
        <v>1711</v>
      </c>
      <c r="L1714">
        <f t="shared" si="26"/>
        <v>7</v>
      </c>
    </row>
    <row r="1715" spans="1:12" ht="16.5" x14ac:dyDescent="0.2">
      <c r="A1715" s="4" t="s">
        <v>139</v>
      </c>
      <c r="B1715">
        <v>2016</v>
      </c>
      <c r="C1715" s="14">
        <f>216.2*(2/3*10)</f>
        <v>1441.333333333333</v>
      </c>
      <c r="D1715" s="14">
        <f>58.1*(2/3*10)</f>
        <v>387.33333333333331</v>
      </c>
      <c r="E1715" s="14">
        <f>1780.7*(2/3*10)</f>
        <v>11871.333333333332</v>
      </c>
      <c r="F1715" s="14">
        <f>43.9*(2/3*10)</f>
        <v>292.66666666666663</v>
      </c>
      <c r="G1715" s="14">
        <f>65.6*(2/3*10)</f>
        <v>437.33333333333337</v>
      </c>
      <c r="H1715" s="14">
        <f>23.4*(2/3*10)</f>
        <v>155.99999999999997</v>
      </c>
      <c r="I1715" s="14">
        <f>105.9*(2/3*10)</f>
        <v>706</v>
      </c>
      <c r="K1715">
        <v>1712</v>
      </c>
      <c r="L1715">
        <f t="shared" si="26"/>
        <v>0</v>
      </c>
    </row>
    <row r="1716" spans="1:12" ht="16.5" x14ac:dyDescent="0.2">
      <c r="A1716" s="4" t="s">
        <v>138</v>
      </c>
      <c r="B1716">
        <v>2009</v>
      </c>
      <c r="C1716" s="14">
        <f>203.6*(2/3*10)</f>
        <v>1357.3333333333333</v>
      </c>
      <c r="D1716" s="14">
        <f>129.7*(2/3*10)</f>
        <v>864.66666666666652</v>
      </c>
      <c r="E1716" s="14">
        <f>623.1*(2/3*10)</f>
        <v>4154</v>
      </c>
      <c r="F1716" s="14">
        <f>20.5*(2/3*10)</f>
        <v>136.66666666666666</v>
      </c>
      <c r="G1716" s="14">
        <f>69.1*(2/3*10)</f>
        <v>460.66666666666657</v>
      </c>
      <c r="H1716" s="14">
        <f>15.5*(2/3*10)</f>
        <v>103.33333333333333</v>
      </c>
      <c r="I1716" s="14">
        <f>112.7*(2/3*10)</f>
        <v>751.33333333333326</v>
      </c>
      <c r="K1716" s="15">
        <v>1713</v>
      </c>
      <c r="L1716">
        <f t="shared" si="26"/>
        <v>1</v>
      </c>
    </row>
    <row r="1717" spans="1:12" ht="16.5" x14ac:dyDescent="0.2">
      <c r="A1717" s="4" t="s">
        <v>138</v>
      </c>
      <c r="B1717">
        <v>2010</v>
      </c>
      <c r="C1717" s="14">
        <f>211.1*(2/3*10)</f>
        <v>1407.3333333333333</v>
      </c>
      <c r="D1717" s="14">
        <f>125.8*(2/3*10)</f>
        <v>838.66666666666663</v>
      </c>
      <c r="E1717" s="14">
        <f>618.4*(2/3*10)</f>
        <v>4122.6666666666661</v>
      </c>
      <c r="F1717" s="14">
        <f>18.6*(2/3*10)</f>
        <v>124</v>
      </c>
      <c r="G1717" s="14">
        <f>72.2*(2/3*10)</f>
        <v>481.3333333333332</v>
      </c>
      <c r="H1717" s="14">
        <f>16.2*(2/3*10)</f>
        <v>107.99999999999999</v>
      </c>
      <c r="I1717" s="14">
        <f>112*(2/3*10)</f>
        <v>746.66666666666663</v>
      </c>
      <c r="K1717">
        <v>1714</v>
      </c>
      <c r="L1717">
        <f t="shared" si="26"/>
        <v>2</v>
      </c>
    </row>
    <row r="1718" spans="1:12" ht="16.5" x14ac:dyDescent="0.2">
      <c r="A1718" s="4" t="s">
        <v>138</v>
      </c>
      <c r="B1718">
        <v>2011</v>
      </c>
      <c r="C1718" s="14">
        <f>218.7*(2/3*10)</f>
        <v>1457.9999999999998</v>
      </c>
      <c r="D1718" s="14">
        <f>122.7*(2/3*10)</f>
        <v>818</v>
      </c>
      <c r="E1718" s="14">
        <f>612.9*(2/3*10)</f>
        <v>4085.9999999999995</v>
      </c>
      <c r="F1718" s="14">
        <f>17.9*(2/3*10)</f>
        <v>119.33333333333331</v>
      </c>
      <c r="G1718" s="14">
        <f>73.4*(2/3*10)</f>
        <v>489.33333333333326</v>
      </c>
      <c r="H1718" s="14">
        <f>16.5*(2/3*10)</f>
        <v>109.99999999999999</v>
      </c>
      <c r="I1718" s="14">
        <f>111.9*(2/3*10)</f>
        <v>746</v>
      </c>
      <c r="K1718" s="15">
        <v>1715</v>
      </c>
      <c r="L1718">
        <f t="shared" si="26"/>
        <v>3</v>
      </c>
    </row>
    <row r="1719" spans="1:12" ht="16.5" x14ac:dyDescent="0.2">
      <c r="A1719" s="4" t="s">
        <v>138</v>
      </c>
      <c r="B1719">
        <v>2012</v>
      </c>
      <c r="C1719" s="14">
        <f>226.1*(2/3*10)</f>
        <v>1507.3333333333333</v>
      </c>
      <c r="D1719" s="14">
        <f>119.7*(2/3*10)</f>
        <v>798</v>
      </c>
      <c r="E1719" s="14">
        <f>607.5*(2/3*10)</f>
        <v>4049.9999999999995</v>
      </c>
      <c r="F1719" s="14">
        <f>17.3*(2/3*10)</f>
        <v>115.33333333333333</v>
      </c>
      <c r="G1719" s="14">
        <f>74.7*(2/3*10)</f>
        <v>497.99999999999989</v>
      </c>
      <c r="H1719" s="14">
        <f>16.5*(2/3*10)</f>
        <v>109.99999999999999</v>
      </c>
      <c r="I1719" s="14">
        <f>111.5*(2/3*10)</f>
        <v>743.33333333333326</v>
      </c>
      <c r="K1719">
        <v>1716</v>
      </c>
      <c r="L1719">
        <f t="shared" si="26"/>
        <v>4</v>
      </c>
    </row>
    <row r="1720" spans="1:12" ht="16.5" x14ac:dyDescent="0.2">
      <c r="A1720" s="4" t="s">
        <v>138</v>
      </c>
      <c r="B1720">
        <v>2013</v>
      </c>
      <c r="C1720" s="14">
        <f>225.4*(2/3*10)</f>
        <v>1502.6666666666665</v>
      </c>
      <c r="D1720" s="14">
        <f>119.1*(2/3*10)</f>
        <v>793.99999999999989</v>
      </c>
      <c r="E1720" s="14">
        <f>606.9*(2/3*10)</f>
        <v>4045.9999999999995</v>
      </c>
      <c r="F1720" s="14">
        <f>17.2*(2/3*10)</f>
        <v>114.66666666666666</v>
      </c>
      <c r="G1720" s="14">
        <f>76.3*(2/3*10)</f>
        <v>508.66666666666652</v>
      </c>
      <c r="H1720" s="14">
        <f>17*(2/3*10)</f>
        <v>113.33333333333333</v>
      </c>
      <c r="I1720" s="14">
        <f>111.3*(2/3*10)</f>
        <v>741.99999999999989</v>
      </c>
      <c r="K1720">
        <v>1717</v>
      </c>
      <c r="L1720">
        <f t="shared" si="26"/>
        <v>5</v>
      </c>
    </row>
    <row r="1721" spans="1:12" ht="16.5" x14ac:dyDescent="0.2">
      <c r="A1721" s="4" t="s">
        <v>138</v>
      </c>
      <c r="B1721">
        <v>2014</v>
      </c>
      <c r="C1721" s="14">
        <f>225.8*(2/3*10)</f>
        <v>1505.3333333333333</v>
      </c>
      <c r="D1721" s="14">
        <f>118.6*(2/3*10)</f>
        <v>790.66666666666652</v>
      </c>
      <c r="E1721" s="14">
        <f>606.1*(2/3*10)</f>
        <v>4040.6666666666665</v>
      </c>
      <c r="F1721" s="14">
        <f>16.9*(2/3*10)</f>
        <v>112.66666666666664</v>
      </c>
      <c r="G1721" s="14">
        <f>77.8*(2/3*10)</f>
        <v>518.66666666666663</v>
      </c>
      <c r="H1721" s="14">
        <f>17.3*(2/3*10)</f>
        <v>115.33333333333333</v>
      </c>
      <c r="I1721" s="14">
        <f>110.9*(2/3*10)</f>
        <v>739.33333333333326</v>
      </c>
      <c r="K1721" s="15">
        <v>1718</v>
      </c>
      <c r="L1721">
        <f t="shared" si="26"/>
        <v>6</v>
      </c>
    </row>
    <row r="1722" spans="1:12" ht="16.5" x14ac:dyDescent="0.2">
      <c r="A1722" s="4" t="s">
        <v>138</v>
      </c>
      <c r="B1722">
        <v>2015</v>
      </c>
      <c r="C1722" s="14">
        <f>225.2*(2/3*10)</f>
        <v>1501.333333333333</v>
      </c>
      <c r="D1722" s="14">
        <f>118.2*(2/3*10)</f>
        <v>788</v>
      </c>
      <c r="E1722" s="14">
        <f>605.6*(2/3*10)</f>
        <v>4037.333333333333</v>
      </c>
      <c r="F1722" s="14">
        <f>16.8*(2/3*10)</f>
        <v>112</v>
      </c>
      <c r="G1722" s="14">
        <f>79.8*(2/3*10)</f>
        <v>531.99999999999989</v>
      </c>
      <c r="H1722" s="14">
        <f>17.4*(2/3*10)</f>
        <v>115.99999999999999</v>
      </c>
      <c r="I1722" s="14">
        <f>110.6*(2/3*10)</f>
        <v>737.33333333333326</v>
      </c>
      <c r="K1722">
        <v>1719</v>
      </c>
      <c r="L1722">
        <f t="shared" si="26"/>
        <v>7</v>
      </c>
    </row>
    <row r="1723" spans="1:12" ht="16.5" x14ac:dyDescent="0.2">
      <c r="A1723" s="4" t="s">
        <v>138</v>
      </c>
      <c r="B1723">
        <v>2016</v>
      </c>
      <c r="C1723" s="14">
        <f>224.1*(2/3*10)</f>
        <v>1493.9999999999998</v>
      </c>
      <c r="D1723" s="14">
        <f>117.7*(2/3*10)</f>
        <v>784.66666666666663</v>
      </c>
      <c r="E1723" s="14">
        <f>605*(2/3*10)</f>
        <v>4033.333333333333</v>
      </c>
      <c r="F1723" s="14">
        <f>16.7*(2/3*10)</f>
        <v>111.33333333333331</v>
      </c>
      <c r="G1723" s="14">
        <f>81.5*(2/3*10)</f>
        <v>543.33333333333326</v>
      </c>
      <c r="H1723" s="14">
        <f>18.3*(2/3*10)</f>
        <v>122</v>
      </c>
      <c r="I1723" s="14">
        <f>110.3*(2/3*10)</f>
        <v>735.33333333333326</v>
      </c>
      <c r="K1723" s="15">
        <v>1720</v>
      </c>
      <c r="L1723">
        <f t="shared" si="26"/>
        <v>0</v>
      </c>
    </row>
    <row r="1724" spans="1:12" ht="16.5" x14ac:dyDescent="0.2">
      <c r="A1724" s="4" t="s">
        <v>137</v>
      </c>
      <c r="B1724">
        <v>2009</v>
      </c>
      <c r="C1724" s="14">
        <f>391.5*(2/3*10)</f>
        <v>2609.9999999999995</v>
      </c>
      <c r="D1724" s="14">
        <f>75.6*(2/3*10)</f>
        <v>503.99999999999994</v>
      </c>
      <c r="E1724" s="14">
        <f>1940.4*(2/3*10)</f>
        <v>12936</v>
      </c>
      <c r="F1724" s="14">
        <f>145.5*(2/3*10)</f>
        <v>969.99999999999989</v>
      </c>
      <c r="G1724" s="14">
        <f>111.2*(2/3*10)</f>
        <v>741.33333333333326</v>
      </c>
      <c r="H1724" s="14">
        <f>29.2*(2/3*10)</f>
        <v>194.66666666666666</v>
      </c>
      <c r="I1724" s="14">
        <f>117.5*(2/3*10)</f>
        <v>783.33333333333326</v>
      </c>
      <c r="K1724">
        <v>1721</v>
      </c>
      <c r="L1724">
        <f t="shared" si="26"/>
        <v>1</v>
      </c>
    </row>
    <row r="1725" spans="1:12" ht="16.5" x14ac:dyDescent="0.2">
      <c r="A1725" s="4" t="s">
        <v>137</v>
      </c>
      <c r="B1725">
        <v>2010</v>
      </c>
      <c r="C1725" s="14">
        <f>397.5*(2/3*10)</f>
        <v>2649.9999999999995</v>
      </c>
      <c r="D1725" s="14">
        <f>74.8*(2/3*10)</f>
        <v>498.66666666666663</v>
      </c>
      <c r="E1725" s="14">
        <f>1935*(2/3*10)</f>
        <v>12899.999999999998</v>
      </c>
      <c r="F1725" s="14">
        <f>142.9*(2/3*10)</f>
        <v>952.66666666666663</v>
      </c>
      <c r="G1725" s="14">
        <f>114.2*(2/3*10)</f>
        <v>761.33333333333326</v>
      </c>
      <c r="H1725" s="14">
        <f>29.3*(2/3*10)</f>
        <v>195.33333333333331</v>
      </c>
      <c r="I1725" s="14">
        <f>117.3*(2/3*10)</f>
        <v>781.99999999999989</v>
      </c>
      <c r="K1725">
        <v>1722</v>
      </c>
      <c r="L1725">
        <f t="shared" si="26"/>
        <v>2</v>
      </c>
    </row>
    <row r="1726" spans="1:12" ht="16.5" x14ac:dyDescent="0.2">
      <c r="A1726" s="4" t="s">
        <v>137</v>
      </c>
      <c r="B1726">
        <v>2011</v>
      </c>
      <c r="C1726" s="14">
        <f>403.5*(2/3*10)</f>
        <v>2689.9999999999995</v>
      </c>
      <c r="D1726" s="14">
        <f>73.9*(2/3*10)</f>
        <v>492.66666666666669</v>
      </c>
      <c r="E1726" s="14">
        <f>1926.8*(2/3*10)</f>
        <v>12845.333333333332</v>
      </c>
      <c r="F1726" s="14">
        <f>141.2*(2/3*10)</f>
        <v>941.33333333333314</v>
      </c>
      <c r="G1726" s="14">
        <f>115.3*(2/3*10)</f>
        <v>768.66666666666663</v>
      </c>
      <c r="H1726" s="14">
        <f>32.1*(2/3*10)</f>
        <v>214</v>
      </c>
      <c r="I1726" s="14">
        <f>117.4*(2/3*10)</f>
        <v>782.66666666666663</v>
      </c>
      <c r="K1726" s="15">
        <v>1723</v>
      </c>
      <c r="L1726">
        <f t="shared" si="26"/>
        <v>3</v>
      </c>
    </row>
    <row r="1727" spans="1:12" ht="16.5" x14ac:dyDescent="0.2">
      <c r="A1727" s="4" t="s">
        <v>137</v>
      </c>
      <c r="B1727">
        <v>2012</v>
      </c>
      <c r="C1727" s="14">
        <f>405.4*(2/3*10)</f>
        <v>2702.6666666666661</v>
      </c>
      <c r="D1727" s="14">
        <f>73.5*(2/3*10)</f>
        <v>489.99999999999994</v>
      </c>
      <c r="E1727" s="14">
        <f>1924*(2/3*10)</f>
        <v>12826.666666666666</v>
      </c>
      <c r="F1727" s="14">
        <f>140.7*(2/3*10)</f>
        <v>937.99999999999989</v>
      </c>
      <c r="G1727" s="14">
        <f>117.3*(2/3*10)</f>
        <v>781.99999999999989</v>
      </c>
      <c r="H1727" s="14">
        <f>32.2*(2/3*10)</f>
        <v>214.66666666666666</v>
      </c>
      <c r="I1727" s="14">
        <f>117*(2/3*10)</f>
        <v>779.99999999999989</v>
      </c>
      <c r="K1727">
        <v>1724</v>
      </c>
      <c r="L1727">
        <f t="shared" si="26"/>
        <v>4</v>
      </c>
    </row>
    <row r="1728" spans="1:12" ht="16.5" x14ac:dyDescent="0.2">
      <c r="A1728" s="4" t="s">
        <v>137</v>
      </c>
      <c r="B1728">
        <v>2013</v>
      </c>
      <c r="C1728" s="14">
        <f>406.3*(2/3*10)</f>
        <v>2708.6666666666665</v>
      </c>
      <c r="D1728" s="14">
        <f>73.3*(2/3*10)</f>
        <v>488.66666666666663</v>
      </c>
      <c r="E1728" s="14">
        <f>1923.1*(2/3*10)</f>
        <v>12820.666666666664</v>
      </c>
      <c r="F1728" s="14">
        <f>140.3*(2/3*10)</f>
        <v>935.33333333333337</v>
      </c>
      <c r="G1728" s="14">
        <f>117.8*(2/3*10)</f>
        <v>785.33333333333314</v>
      </c>
      <c r="H1728" s="14">
        <f>32.3*(2/3*10)</f>
        <v>215.33333333333329</v>
      </c>
      <c r="I1728" s="14">
        <f>116.9*(2/3*10)</f>
        <v>779.33333333333326</v>
      </c>
      <c r="K1728" s="15">
        <v>1725</v>
      </c>
      <c r="L1728">
        <f t="shared" ref="L1728:L1791" si="27">MOD(K1728,8)</f>
        <v>5</v>
      </c>
    </row>
    <row r="1729" spans="1:12" ht="16.5" x14ac:dyDescent="0.2">
      <c r="A1729" s="4" t="s">
        <v>137</v>
      </c>
      <c r="B1729">
        <v>2014</v>
      </c>
      <c r="C1729" s="14">
        <f>405.4*(2/3*10)</f>
        <v>2702.6666666666661</v>
      </c>
      <c r="D1729" s="14">
        <f>72.7*(2/3*10)</f>
        <v>484.66666666666663</v>
      </c>
      <c r="E1729" s="14">
        <f>1922.2*(2/3*10)</f>
        <v>12814.666666666666</v>
      </c>
      <c r="F1729" s="14">
        <f>140.1*(2/3*10)</f>
        <v>933.99999999999989</v>
      </c>
      <c r="G1729" s="14">
        <f>120.5*(2/3*10)</f>
        <v>803.33333333333326</v>
      </c>
      <c r="H1729" s="14">
        <f>32.9*(2/3*10)</f>
        <v>219.33333333333331</v>
      </c>
      <c r="I1729" s="14">
        <f>116.5*(2/3*10)</f>
        <v>776.66666666666663</v>
      </c>
      <c r="K1729">
        <v>1726</v>
      </c>
      <c r="L1729">
        <f t="shared" si="27"/>
        <v>6</v>
      </c>
    </row>
    <row r="1730" spans="1:12" ht="16.5" x14ac:dyDescent="0.2">
      <c r="A1730" s="4" t="s">
        <v>137</v>
      </c>
      <c r="B1730">
        <v>2015</v>
      </c>
      <c r="C1730" s="14">
        <f>404.6*(2/3*10)</f>
        <v>2697.333333333333</v>
      </c>
      <c r="D1730" s="14">
        <f>72.4*(2/3*10)</f>
        <v>482.66666666666669</v>
      </c>
      <c r="E1730" s="14">
        <f>1921.3*(2/3*10)</f>
        <v>12808.666666666666</v>
      </c>
      <c r="F1730" s="14">
        <f>139.9*(2/3*10)</f>
        <v>932.66666666666663</v>
      </c>
      <c r="G1730" s="14">
        <f>123*(2/3*10)</f>
        <v>819.99999999999989</v>
      </c>
      <c r="H1730" s="14">
        <f>33*(2/3*10)</f>
        <v>219.99999999999997</v>
      </c>
      <c r="I1730" s="14">
        <f>116.2*(2/3*10)</f>
        <v>774.66666666666663</v>
      </c>
      <c r="K1730">
        <v>1727</v>
      </c>
      <c r="L1730">
        <f t="shared" si="27"/>
        <v>7</v>
      </c>
    </row>
    <row r="1731" spans="1:12" ht="16.5" x14ac:dyDescent="0.2">
      <c r="A1731" s="4" t="s">
        <v>137</v>
      </c>
      <c r="B1731">
        <v>2016</v>
      </c>
      <c r="C1731" s="14">
        <f>403.2*(2/3*10)</f>
        <v>2687.9999999999995</v>
      </c>
      <c r="D1731" s="14">
        <f>72.1*(2/3*10)</f>
        <v>480.66666666666657</v>
      </c>
      <c r="E1731" s="14">
        <f>1920.2*(2/3*10)</f>
        <v>12801.333333333332</v>
      </c>
      <c r="F1731" s="14">
        <f>139.7*(2/3*10)</f>
        <v>931.33333333333314</v>
      </c>
      <c r="G1731" s="14">
        <f>124.6*(2/3*10)</f>
        <v>830.66666666666652</v>
      </c>
      <c r="H1731" s="14">
        <f>34.8*(2/3*10)</f>
        <v>231.99999999999997</v>
      </c>
      <c r="I1731" s="14">
        <f>115.9*(2/3*10)</f>
        <v>772.66666666666663</v>
      </c>
      <c r="K1731" s="15">
        <v>1728</v>
      </c>
      <c r="L1731">
        <f t="shared" si="27"/>
        <v>0</v>
      </c>
    </row>
    <row r="1732" spans="1:12" ht="16.5" x14ac:dyDescent="0.2">
      <c r="A1732" s="4" t="s">
        <v>136</v>
      </c>
      <c r="B1732">
        <v>2009</v>
      </c>
      <c r="C1732" s="14">
        <f>18.9*(2/3*10)</f>
        <v>125.99999999999999</v>
      </c>
      <c r="D1732" s="14">
        <f>52.2*(2/3*10)</f>
        <v>348</v>
      </c>
      <c r="E1732" s="14">
        <f>51.8*(2/3*10)</f>
        <v>345.33333333333326</v>
      </c>
      <c r="F1732" s="14">
        <f>21.7*(2/3*10)</f>
        <v>144.66666666666666</v>
      </c>
      <c r="G1732" s="14">
        <f>141.4*(2/3*10)</f>
        <v>942.66666666666663</v>
      </c>
      <c r="H1732" s="14">
        <f>15.6*(2/3*10)</f>
        <v>103.99999999999999</v>
      </c>
      <c r="I1732" s="14">
        <f>57.6*(2/3*10)</f>
        <v>384</v>
      </c>
      <c r="K1732">
        <v>1729</v>
      </c>
      <c r="L1732">
        <f t="shared" si="27"/>
        <v>1</v>
      </c>
    </row>
    <row r="1733" spans="1:12" ht="16.5" x14ac:dyDescent="0.2">
      <c r="A1733" s="4" t="s">
        <v>136</v>
      </c>
      <c r="B1733">
        <v>2010</v>
      </c>
      <c r="C1733" s="14">
        <f>25*(2/3*10)</f>
        <v>166.66666666666666</v>
      </c>
      <c r="D1733" s="14">
        <f>48.9*(2/3*10)</f>
        <v>325.99999999999994</v>
      </c>
      <c r="E1733" s="14">
        <f>51.6*(2/3*10)</f>
        <v>344</v>
      </c>
      <c r="F1733" s="14">
        <f>18.9*(2/3*10)</f>
        <v>125.99999999999999</v>
      </c>
      <c r="G1733" s="14">
        <f>144.2*(2/3*10)</f>
        <v>961.33333333333314</v>
      </c>
      <c r="H1733" s="14">
        <f>16.1*(2/3*10)</f>
        <v>107.33333333333333</v>
      </c>
      <c r="I1733" s="14">
        <f>55.7*(2/3*10)</f>
        <v>371.33333333333331</v>
      </c>
      <c r="K1733" s="15">
        <v>1730</v>
      </c>
      <c r="L1733">
        <f t="shared" si="27"/>
        <v>2</v>
      </c>
    </row>
    <row r="1734" spans="1:12" ht="16.5" x14ac:dyDescent="0.2">
      <c r="A1734" s="4" t="s">
        <v>136</v>
      </c>
      <c r="B1734">
        <v>2011</v>
      </c>
      <c r="C1734" s="14">
        <f>23.2*(2/3*10)</f>
        <v>154.66666666666666</v>
      </c>
      <c r="D1734" s="14">
        <f>48.8*(2/3*10)</f>
        <v>325.33333333333326</v>
      </c>
      <c r="E1734" s="14">
        <f>51.5*(2/3*10)</f>
        <v>343.33333333333331</v>
      </c>
      <c r="F1734" s="14">
        <f>18.9*(2/3*10)</f>
        <v>125.99999999999999</v>
      </c>
      <c r="G1734" s="14">
        <f>146.3*(2/3*10)</f>
        <v>975.33333333333337</v>
      </c>
      <c r="H1734" s="14">
        <f>16.6*(2/3*10)</f>
        <v>110.66666666666667</v>
      </c>
      <c r="I1734" s="14">
        <f>55.5*(2/3*10)</f>
        <v>369.99999999999994</v>
      </c>
      <c r="K1734">
        <v>1731</v>
      </c>
      <c r="L1734">
        <f t="shared" si="27"/>
        <v>3</v>
      </c>
    </row>
    <row r="1735" spans="1:12" ht="16.5" x14ac:dyDescent="0.2">
      <c r="A1735" s="4" t="s">
        <v>136</v>
      </c>
      <c r="B1735">
        <v>2012</v>
      </c>
      <c r="C1735" s="14">
        <f>21.3*(2/3*10)</f>
        <v>142</v>
      </c>
      <c r="D1735" s="14">
        <f>48.5*(2/3*10)</f>
        <v>323.33333333333331</v>
      </c>
      <c r="E1735" s="14">
        <f>51.3*(2/3*10)</f>
        <v>341.99999999999994</v>
      </c>
      <c r="F1735" s="14">
        <f>18.9*(2/3*10)</f>
        <v>125.99999999999999</v>
      </c>
      <c r="G1735" s="14">
        <f>148.9*(2/3*10)</f>
        <v>992.6666666666664</v>
      </c>
      <c r="H1735" s="14">
        <f>17.2*(2/3*10)</f>
        <v>114.66666666666666</v>
      </c>
      <c r="I1735" s="14">
        <f>55.2*(2/3*10)</f>
        <v>368</v>
      </c>
      <c r="K1735">
        <v>1732</v>
      </c>
      <c r="L1735">
        <f t="shared" si="27"/>
        <v>4</v>
      </c>
    </row>
    <row r="1736" spans="1:12" ht="16.5" x14ac:dyDescent="0.2">
      <c r="A1736" s="4" t="s">
        <v>136</v>
      </c>
      <c r="B1736">
        <v>2013</v>
      </c>
      <c r="C1736" s="14">
        <f>21.1*(2/3*10)</f>
        <v>140.66666666666666</v>
      </c>
      <c r="D1736" s="14">
        <f>48*(2/3*10)</f>
        <v>320</v>
      </c>
      <c r="E1736" s="14">
        <f>51.3*(2/3*10)</f>
        <v>341.99999999999994</v>
      </c>
      <c r="F1736" s="14">
        <f>18.4*(2/3*10)</f>
        <v>122.66666666666664</v>
      </c>
      <c r="G1736" s="14">
        <f>150.6*(2/3*10)</f>
        <v>1003.9999999999999</v>
      </c>
      <c r="H1736" s="14">
        <f>17.5*(2/3*10)</f>
        <v>116.66666666666666</v>
      </c>
      <c r="I1736" s="14">
        <f>54.9*(2/3*10)</f>
        <v>365.99999999999994</v>
      </c>
      <c r="K1736" s="15">
        <v>1733</v>
      </c>
      <c r="L1736">
        <f t="shared" si="27"/>
        <v>5</v>
      </c>
    </row>
    <row r="1737" spans="1:12" ht="16.5" x14ac:dyDescent="0.2">
      <c r="A1737" s="4" t="s">
        <v>136</v>
      </c>
      <c r="B1737">
        <v>2014</v>
      </c>
      <c r="C1737" s="14">
        <f>20.5*(2/3*10)</f>
        <v>136.66666666666666</v>
      </c>
      <c r="D1737" s="14">
        <f>47.1*(2/3*10)</f>
        <v>314</v>
      </c>
      <c r="E1737" s="14">
        <f>51.1*(2/3*10)</f>
        <v>340.66666666666663</v>
      </c>
      <c r="F1737" s="14">
        <f>17.3*(2/3*10)</f>
        <v>115.33333333333333</v>
      </c>
      <c r="G1737" s="14">
        <f>153.9*(2/3*10)</f>
        <v>1026</v>
      </c>
      <c r="H1737" s="14">
        <f>18.2*(2/3*10)</f>
        <v>121.33333333333331</v>
      </c>
      <c r="I1737" s="14">
        <f>54.3*(2/3*10)</f>
        <v>361.99999999999994</v>
      </c>
      <c r="K1737">
        <v>1734</v>
      </c>
      <c r="L1737">
        <f t="shared" si="27"/>
        <v>6</v>
      </c>
    </row>
    <row r="1738" spans="1:12" ht="16.5" x14ac:dyDescent="0.2">
      <c r="A1738" s="4" t="s">
        <v>136</v>
      </c>
      <c r="B1738">
        <v>2015</v>
      </c>
      <c r="C1738" s="14">
        <f>20*(2/3*10)</f>
        <v>133.33333333333331</v>
      </c>
      <c r="D1738" s="14">
        <f>46.3*(2/3*10)</f>
        <v>308.66666666666663</v>
      </c>
      <c r="E1738" s="14">
        <f>51*(2/3*10)</f>
        <v>339.99999999999994</v>
      </c>
      <c r="F1738" s="14">
        <f>16.6*(2/3*10)</f>
        <v>110.66666666666667</v>
      </c>
      <c r="G1738" s="14">
        <f>157*(2/3*10)</f>
        <v>1046.6666666666665</v>
      </c>
      <c r="H1738" s="14">
        <f>18.3*(2/3*10)</f>
        <v>122</v>
      </c>
      <c r="I1738" s="14">
        <f>53.7*(2/3*10)</f>
        <v>358</v>
      </c>
      <c r="K1738" s="15">
        <v>1735</v>
      </c>
      <c r="L1738">
        <f t="shared" si="27"/>
        <v>7</v>
      </c>
    </row>
    <row r="1739" spans="1:12" ht="16.5" x14ac:dyDescent="0.2">
      <c r="A1739" s="4" t="s">
        <v>136</v>
      </c>
      <c r="B1739">
        <v>2016</v>
      </c>
      <c r="C1739" s="14">
        <f>19.7*(2/3*10)</f>
        <v>131.33333333333331</v>
      </c>
      <c r="D1739" s="14">
        <f>45.7*(2/3*10)</f>
        <v>304.66666666666669</v>
      </c>
      <c r="E1739" s="14">
        <f>50.9*(2/3*10)</f>
        <v>339.33333333333331</v>
      </c>
      <c r="F1739" s="14">
        <f>16*(2/3*10)</f>
        <v>106.66666666666666</v>
      </c>
      <c r="G1739" s="14">
        <f>158.9*(2/3*10)</f>
        <v>1059.3333333333333</v>
      </c>
      <c r="H1739" s="14">
        <f>18.5*(2/3*10)</f>
        <v>123.33333333333333</v>
      </c>
      <c r="I1739" s="14">
        <f>53.3*(2/3*10)</f>
        <v>355.33333333333326</v>
      </c>
      <c r="K1739">
        <v>1736</v>
      </c>
      <c r="L1739">
        <f t="shared" si="27"/>
        <v>0</v>
      </c>
    </row>
    <row r="1740" spans="1:12" ht="16.5" x14ac:dyDescent="0.2">
      <c r="A1740" s="4" t="s">
        <v>135</v>
      </c>
      <c r="B1740">
        <v>2009</v>
      </c>
      <c r="C1740" s="14">
        <f>19*(2/3*10)</f>
        <v>126.66666666666666</v>
      </c>
      <c r="D1740" s="14">
        <f>29.6*(2/3*10)</f>
        <v>197.33333333333331</v>
      </c>
      <c r="E1740" s="14">
        <f>45.4*(2/3*10)</f>
        <v>302.66666666666663</v>
      </c>
      <c r="F1740" s="14">
        <f>4.1*(2/3*10)</f>
        <v>27.333333333333329</v>
      </c>
      <c r="G1740" s="14">
        <f>84.8*(2/3*10)</f>
        <v>565.33333333333326</v>
      </c>
      <c r="H1740" s="14">
        <f>5.2*(2/3*10)</f>
        <v>34.666666666666664</v>
      </c>
      <c r="I1740" s="14">
        <f>76.2*(2/3*10)</f>
        <v>508</v>
      </c>
      <c r="K1740">
        <v>1737</v>
      </c>
      <c r="L1740">
        <f t="shared" si="27"/>
        <v>1</v>
      </c>
    </row>
    <row r="1741" spans="1:12" ht="16.5" x14ac:dyDescent="0.2">
      <c r="A1741" s="4" t="s">
        <v>135</v>
      </c>
      <c r="B1741">
        <v>2010</v>
      </c>
      <c r="C1741" s="14">
        <f>19.1*(2/3*10)</f>
        <v>127.33333333333333</v>
      </c>
      <c r="D1741" s="14">
        <f>29.3*(2/3*10)</f>
        <v>195.33333333333331</v>
      </c>
      <c r="E1741" s="14">
        <f>45.3*(2/3*10)</f>
        <v>301.99999999999994</v>
      </c>
      <c r="F1741" s="14">
        <f>3.9*(2/3*10)</f>
        <v>25.999999999999996</v>
      </c>
      <c r="G1741" s="14">
        <f>86.8*(2/3*10)</f>
        <v>578.66666666666663</v>
      </c>
      <c r="H1741" s="14">
        <f>5.2*(2/3*10)</f>
        <v>34.666666666666664</v>
      </c>
      <c r="I1741" s="14">
        <f>74.8*(2/3*10)</f>
        <v>498.66666666666663</v>
      </c>
      <c r="K1741" s="15">
        <v>1738</v>
      </c>
      <c r="L1741">
        <f t="shared" si="27"/>
        <v>2</v>
      </c>
    </row>
    <row r="1742" spans="1:12" ht="16.5" x14ac:dyDescent="0.2">
      <c r="A1742" s="4" t="s">
        <v>135</v>
      </c>
      <c r="B1742">
        <v>2011</v>
      </c>
      <c r="C1742" s="14">
        <f>18.8*(2/3*10)</f>
        <v>125.33333333333333</v>
      </c>
      <c r="D1742" s="14">
        <f>28.9*(2/3*10)</f>
        <v>192.66666666666663</v>
      </c>
      <c r="E1742" s="14">
        <f>45.1*(2/3*10)</f>
        <v>300.66666666666663</v>
      </c>
      <c r="F1742" s="14">
        <f>3.6*(2/3*10)</f>
        <v>24</v>
      </c>
      <c r="G1742" s="14">
        <f>88.5*(2/3*10)</f>
        <v>590</v>
      </c>
      <c r="H1742" s="14">
        <f>5.8*(2/3*10)</f>
        <v>38.666666666666664</v>
      </c>
      <c r="I1742" s="14">
        <f>73.9*(2/3*10)</f>
        <v>492.66666666666669</v>
      </c>
      <c r="K1742">
        <v>1739</v>
      </c>
      <c r="L1742">
        <f t="shared" si="27"/>
        <v>3</v>
      </c>
    </row>
    <row r="1743" spans="1:12" ht="16.5" x14ac:dyDescent="0.2">
      <c r="A1743" s="4" t="s">
        <v>135</v>
      </c>
      <c r="B1743">
        <v>2012</v>
      </c>
      <c r="C1743" s="14">
        <f>18.6*(2/3*10)</f>
        <v>124</v>
      </c>
      <c r="D1743" s="14">
        <f>28.6*(2/3*10)</f>
        <v>190.66666666666666</v>
      </c>
      <c r="E1743" s="14">
        <f>45*(2/3*10)</f>
        <v>300</v>
      </c>
      <c r="F1743" s="14">
        <f>3.5*(2/3*10)</f>
        <v>23.333333333333332</v>
      </c>
      <c r="G1743" s="14">
        <f>89.7*(2/3*10)</f>
        <v>597.99999999999989</v>
      </c>
      <c r="H1743" s="14">
        <f>5.9*(2/3*10)</f>
        <v>39.333333333333336</v>
      </c>
      <c r="I1743" s="14">
        <f>73.3*(2/3*10)</f>
        <v>488.66666666666663</v>
      </c>
      <c r="K1743" s="15">
        <v>1740</v>
      </c>
      <c r="L1743">
        <f t="shared" si="27"/>
        <v>4</v>
      </c>
    </row>
    <row r="1744" spans="1:12" ht="16.5" x14ac:dyDescent="0.2">
      <c r="A1744" s="4" t="s">
        <v>135</v>
      </c>
      <c r="B1744">
        <v>2013</v>
      </c>
      <c r="C1744" s="14">
        <f>18.3*(2/3*10)</f>
        <v>122</v>
      </c>
      <c r="D1744" s="14">
        <f>28.3*(2/3*10)</f>
        <v>188.66666666666666</v>
      </c>
      <c r="E1744" s="14">
        <f>44.9*(2/3*10)</f>
        <v>299.33333333333331</v>
      </c>
      <c r="F1744" s="14">
        <f>3.2*(2/3*10)</f>
        <v>21.333333333333332</v>
      </c>
      <c r="G1744" s="14">
        <f>91.4*(2/3*10)</f>
        <v>609.33333333333337</v>
      </c>
      <c r="H1744" s="14">
        <f>5.9*(2/3*10)</f>
        <v>39.333333333333336</v>
      </c>
      <c r="I1744" s="14">
        <f>72.7*(2/3*10)</f>
        <v>484.66666666666663</v>
      </c>
      <c r="K1744">
        <v>1741</v>
      </c>
      <c r="L1744">
        <f t="shared" si="27"/>
        <v>5</v>
      </c>
    </row>
    <row r="1745" spans="1:12" ht="16.5" x14ac:dyDescent="0.2">
      <c r="A1745" s="4" t="s">
        <v>135</v>
      </c>
      <c r="B1745">
        <v>2014</v>
      </c>
      <c r="C1745" s="14">
        <f>18.1*(2/3*10)</f>
        <v>120.66666666666667</v>
      </c>
      <c r="D1745" s="14">
        <f>28*(2/3*10)</f>
        <v>186.66666666666666</v>
      </c>
      <c r="E1745" s="14">
        <f>44.7*(2/3*10)</f>
        <v>298</v>
      </c>
      <c r="F1745" s="14">
        <f>3*(2/3*10)</f>
        <v>20</v>
      </c>
      <c r="G1745" s="14">
        <f>92.7*(2/3*10)</f>
        <v>617.99999999999989</v>
      </c>
      <c r="H1745" s="14">
        <f>6.1*(2/3*10)</f>
        <v>40.666666666666657</v>
      </c>
      <c r="I1745" s="14">
        <f>72.2*(2/3*10)</f>
        <v>481.33333333333331</v>
      </c>
      <c r="K1745">
        <v>1742</v>
      </c>
      <c r="L1745">
        <f t="shared" si="27"/>
        <v>6</v>
      </c>
    </row>
    <row r="1746" spans="1:12" ht="16.5" x14ac:dyDescent="0.2">
      <c r="A1746" s="4" t="s">
        <v>135</v>
      </c>
      <c r="B1746">
        <v>2015</v>
      </c>
      <c r="C1746" s="14">
        <f>17.8*(2/3*10)</f>
        <v>118.66666666666666</v>
      </c>
      <c r="D1746" s="14">
        <f>27.5*(2/3*10)</f>
        <v>183.33333333333331</v>
      </c>
      <c r="E1746" s="14">
        <f>44.6*(2/3*10)</f>
        <v>297.33333333333331</v>
      </c>
      <c r="F1746" s="14">
        <f>2.8*(2/3*10)</f>
        <v>18.666666666666664</v>
      </c>
      <c r="G1746" s="14">
        <f>94.3*(2/3*10)</f>
        <v>628.66666666666663</v>
      </c>
      <c r="H1746" s="14">
        <f>6.2*(2/3*10)</f>
        <v>41.333333333333329</v>
      </c>
      <c r="I1746" s="14">
        <f>71.7*(2/3*10)</f>
        <v>478</v>
      </c>
      <c r="K1746" s="15">
        <v>1743</v>
      </c>
      <c r="L1746">
        <f t="shared" si="27"/>
        <v>7</v>
      </c>
    </row>
    <row r="1747" spans="1:12" ht="16.5" x14ac:dyDescent="0.2">
      <c r="A1747" s="4" t="s">
        <v>135</v>
      </c>
      <c r="B1747">
        <v>2016</v>
      </c>
      <c r="C1747" s="14">
        <f>17.7*(2/3*10)</f>
        <v>117.99999999999999</v>
      </c>
      <c r="D1747" s="14">
        <f>27.3*(2/3*10)</f>
        <v>182</v>
      </c>
      <c r="E1747" s="14">
        <f>44.5*(2/3*10)</f>
        <v>296.66666666666663</v>
      </c>
      <c r="F1747" s="14">
        <f>2.7*(2/3*10)</f>
        <v>18</v>
      </c>
      <c r="G1747" s="14">
        <f>95.2*(2/3*10)</f>
        <v>634.66666666666663</v>
      </c>
      <c r="H1747" s="14">
        <f>6.4*(2/3*10)</f>
        <v>42.666666666666664</v>
      </c>
      <c r="I1747" s="14">
        <f>71.3*(2/3*10)</f>
        <v>475.33333333333326</v>
      </c>
      <c r="K1747">
        <v>1744</v>
      </c>
      <c r="L1747">
        <f t="shared" si="27"/>
        <v>0</v>
      </c>
    </row>
    <row r="1748" spans="1:12" ht="16.5" x14ac:dyDescent="0.2">
      <c r="A1748" s="4" t="s">
        <v>134</v>
      </c>
      <c r="B1748">
        <v>2009</v>
      </c>
      <c r="C1748" s="14">
        <f>49.7*(2/3*10)</f>
        <v>331.33333333333331</v>
      </c>
      <c r="D1748" s="14">
        <f>87.3*(2/3*10)</f>
        <v>581.99999999999989</v>
      </c>
      <c r="E1748" s="14">
        <f>219.9*(2/3*10)</f>
        <v>1466</v>
      </c>
      <c r="F1748" s="14">
        <f>5.5*(2/3*10)</f>
        <v>36.666666666666664</v>
      </c>
      <c r="G1748" s="14">
        <f>43.5*(2/3*10)</f>
        <v>290</v>
      </c>
      <c r="H1748" s="14">
        <f>6.9*(2/3*10)</f>
        <v>46</v>
      </c>
      <c r="I1748" s="14">
        <f>52.9*(2/3*10)</f>
        <v>352.66666666666663</v>
      </c>
      <c r="K1748" s="15">
        <v>1745</v>
      </c>
      <c r="L1748">
        <f t="shared" si="27"/>
        <v>1</v>
      </c>
    </row>
    <row r="1749" spans="1:12" ht="16.5" x14ac:dyDescent="0.2">
      <c r="A1749" s="4" t="s">
        <v>134</v>
      </c>
      <c r="B1749">
        <v>2010</v>
      </c>
      <c r="C1749" s="14">
        <f>52.3*(2/3*10)</f>
        <v>348.66666666666663</v>
      </c>
      <c r="D1749" s="14">
        <f>85.3*(2/3*10)</f>
        <v>568.66666666666663</v>
      </c>
      <c r="E1749" s="14">
        <f>219.8*(2/3*10)</f>
        <v>1465.3333333333333</v>
      </c>
      <c r="F1749" s="14">
        <f>5.5*(2/3*10)</f>
        <v>36.666666666666664</v>
      </c>
      <c r="G1749" s="14">
        <f>43.6*(2/3*10)</f>
        <v>290.66666666666663</v>
      </c>
      <c r="H1749" s="14">
        <f>7.1*(2/3*10)</f>
        <v>47.333333333333329</v>
      </c>
      <c r="I1749" s="14">
        <f>52*(2/3*10)</f>
        <v>346.66666666666663</v>
      </c>
      <c r="K1749">
        <v>1746</v>
      </c>
      <c r="L1749">
        <f t="shared" si="27"/>
        <v>2</v>
      </c>
    </row>
    <row r="1750" spans="1:12" ht="16.5" x14ac:dyDescent="0.2">
      <c r="A1750" s="4" t="s">
        <v>134</v>
      </c>
      <c r="B1750">
        <v>2011</v>
      </c>
      <c r="C1750" s="14">
        <f>54.1*(2/3*10)</f>
        <v>360.66666666666663</v>
      </c>
      <c r="D1750" s="14">
        <f>83.9*(2/3*10)</f>
        <v>559.33333333333337</v>
      </c>
      <c r="E1750" s="14">
        <f>218.9*(2/3*10)</f>
        <v>1459.3333333333333</v>
      </c>
      <c r="F1750" s="14">
        <f>5.3*(2/3*10)</f>
        <v>35.333333333333329</v>
      </c>
      <c r="G1750" s="14">
        <f>44.1*(2/3*10)</f>
        <v>293.99999999999994</v>
      </c>
      <c r="H1750" s="14">
        <f>7.1*(2/3*10)</f>
        <v>47.333333333333329</v>
      </c>
      <c r="I1750" s="14">
        <f>52*(2/3*10)</f>
        <v>346.66666666666663</v>
      </c>
      <c r="K1750">
        <v>1747</v>
      </c>
      <c r="L1750">
        <f t="shared" si="27"/>
        <v>3</v>
      </c>
    </row>
    <row r="1751" spans="1:12" ht="16.5" x14ac:dyDescent="0.2">
      <c r="A1751" s="4" t="s">
        <v>134</v>
      </c>
      <c r="B1751">
        <v>2012</v>
      </c>
      <c r="C1751" s="14">
        <f>54*(2/3*10)</f>
        <v>359.99999999999994</v>
      </c>
      <c r="D1751" s="14">
        <f>83.8*(2/3*10)</f>
        <v>558.66666666666663</v>
      </c>
      <c r="E1751" s="14">
        <f>218.9*(2/3*10)</f>
        <v>1459.3333333333333</v>
      </c>
      <c r="F1751" s="14">
        <f>5.3*(2/3*10)</f>
        <v>35.333333333333329</v>
      </c>
      <c r="G1751" s="14">
        <f>44.5*(2/3*10)</f>
        <v>296.66666666666663</v>
      </c>
      <c r="H1751" s="14">
        <f>7.1*(2/3*10)</f>
        <v>47.333333333333329</v>
      </c>
      <c r="I1751" s="14">
        <f>51.9*(2/3*10)</f>
        <v>345.99999999999994</v>
      </c>
      <c r="K1751" s="15">
        <v>1748</v>
      </c>
      <c r="L1751">
        <f t="shared" si="27"/>
        <v>4</v>
      </c>
    </row>
    <row r="1752" spans="1:12" ht="16.5" x14ac:dyDescent="0.2">
      <c r="A1752" s="4" t="s">
        <v>134</v>
      </c>
      <c r="B1752">
        <v>2013</v>
      </c>
      <c r="C1752" s="14">
        <f>53.9*(2/3*10)</f>
        <v>359.33333333333331</v>
      </c>
      <c r="D1752" s="14">
        <f>83.5*(2/3*10)</f>
        <v>556.66666666666663</v>
      </c>
      <c r="E1752" s="14">
        <f>218.7*(2/3*10)</f>
        <v>1457.9999999999998</v>
      </c>
      <c r="F1752" s="14">
        <f>5.3*(2/3*10)</f>
        <v>35.333333333333329</v>
      </c>
      <c r="G1752" s="14">
        <f>45.2*(2/3*10)</f>
        <v>301.33333333333331</v>
      </c>
      <c r="H1752" s="14">
        <f>7.2*(2/3*10)</f>
        <v>48</v>
      </c>
      <c r="I1752" s="14">
        <f>51.7*(2/3*10)</f>
        <v>344.66666666666663</v>
      </c>
      <c r="K1752">
        <v>1749</v>
      </c>
      <c r="L1752">
        <f t="shared" si="27"/>
        <v>5</v>
      </c>
    </row>
    <row r="1753" spans="1:12" ht="16.5" x14ac:dyDescent="0.2">
      <c r="A1753" s="4" t="s">
        <v>134</v>
      </c>
      <c r="B1753">
        <v>2014</v>
      </c>
      <c r="C1753" s="14">
        <f>53.7*(2/3*10)</f>
        <v>358</v>
      </c>
      <c r="D1753" s="14">
        <f>83.1*(2/3*10)</f>
        <v>553.99999999999989</v>
      </c>
      <c r="E1753" s="14">
        <f>218.6*(2/3*10)</f>
        <v>1457.3333333333333</v>
      </c>
      <c r="F1753" s="14">
        <f>5.2*(2/3*10)</f>
        <v>34.666666666666664</v>
      </c>
      <c r="G1753" s="14">
        <f>46*(2/3*10)</f>
        <v>306.66666666666663</v>
      </c>
      <c r="H1753" s="14">
        <f>7.4*(2/3*10)</f>
        <v>49.333333333333329</v>
      </c>
      <c r="I1753" s="14">
        <f>51.5*(2/3*10)</f>
        <v>343.33333333333331</v>
      </c>
      <c r="K1753" s="15">
        <v>1750</v>
      </c>
      <c r="L1753">
        <f t="shared" si="27"/>
        <v>6</v>
      </c>
    </row>
    <row r="1754" spans="1:12" ht="16.5" x14ac:dyDescent="0.2">
      <c r="A1754" s="4" t="s">
        <v>134</v>
      </c>
      <c r="B1754">
        <v>2015</v>
      </c>
      <c r="C1754" s="14">
        <f>53.3*(2/3*10)</f>
        <v>355.33333333333326</v>
      </c>
      <c r="D1754" s="14">
        <f>82.7*(2/3*10)</f>
        <v>551.33333333333326</v>
      </c>
      <c r="E1754" s="14">
        <f>218.2*(2/3*10)</f>
        <v>1454.6666666666665</v>
      </c>
      <c r="F1754" s="14">
        <f>5.2*(2/3*10)</f>
        <v>34.666666666666664</v>
      </c>
      <c r="G1754" s="14">
        <f>46.9*(2/3*10)</f>
        <v>312.66666666666663</v>
      </c>
      <c r="H1754" s="14">
        <f>8*(2/3*10)</f>
        <v>53.333333333333329</v>
      </c>
      <c r="I1754" s="14">
        <f>51.3*(2/3*10)</f>
        <v>341.99999999999994</v>
      </c>
      <c r="K1754">
        <v>1751</v>
      </c>
      <c r="L1754">
        <f t="shared" si="27"/>
        <v>7</v>
      </c>
    </row>
    <row r="1755" spans="1:12" ht="16.5" x14ac:dyDescent="0.2">
      <c r="A1755" s="4" t="s">
        <v>134</v>
      </c>
      <c r="B1755">
        <v>2016</v>
      </c>
      <c r="C1755" s="14">
        <f>53.1*(2/3*10)</f>
        <v>354</v>
      </c>
      <c r="D1755" s="14">
        <f>82.6*(2/3*10)</f>
        <v>550.66666666666663</v>
      </c>
      <c r="E1755" s="14">
        <f>218.1*(2/3*10)</f>
        <v>1453.9999999999998</v>
      </c>
      <c r="F1755" s="14">
        <f>5.2*(2/3*10)</f>
        <v>34.666666666666664</v>
      </c>
      <c r="G1755" s="14">
        <f>47.3*(2/3*10)</f>
        <v>315.33333333333331</v>
      </c>
      <c r="H1755" s="14">
        <f>8.2*(2/3*10)</f>
        <v>54.666666666666657</v>
      </c>
      <c r="I1755" s="14">
        <f>51.2*(2/3*10)</f>
        <v>341.33333333333331</v>
      </c>
      <c r="K1755">
        <v>1752</v>
      </c>
      <c r="L1755">
        <f t="shared" si="27"/>
        <v>0</v>
      </c>
    </row>
    <row r="1756" spans="1:12" ht="16.5" x14ac:dyDescent="0.2">
      <c r="A1756" s="4" t="s">
        <v>133</v>
      </c>
      <c r="B1756">
        <v>2009</v>
      </c>
      <c r="C1756" s="14">
        <f>124.8*(2/3*10)</f>
        <v>831.99999999999989</v>
      </c>
      <c r="D1756" s="14">
        <f>136.5*(2/3*10)</f>
        <v>909.99999999999989</v>
      </c>
      <c r="E1756" s="14">
        <f>319.7*(2/3*10)</f>
        <v>2131.333333333333</v>
      </c>
      <c r="F1756" s="14">
        <f>30.2*(2/3*10)</f>
        <v>201.33333333333331</v>
      </c>
      <c r="G1756" s="14">
        <f>81.7*(2/3*10)</f>
        <v>544.66666666666663</v>
      </c>
      <c r="H1756" s="14">
        <f>14.7*(2/3*10)</f>
        <v>97.999999999999986</v>
      </c>
      <c r="I1756" s="14">
        <f>70.5*(2/3*10)</f>
        <v>469.99999999999994</v>
      </c>
      <c r="K1756" s="15">
        <v>1753</v>
      </c>
      <c r="L1756">
        <f t="shared" si="27"/>
        <v>1</v>
      </c>
    </row>
    <row r="1757" spans="1:12" ht="16.5" x14ac:dyDescent="0.2">
      <c r="A1757" s="4" t="s">
        <v>133</v>
      </c>
      <c r="B1757">
        <v>2010</v>
      </c>
      <c r="C1757" s="14">
        <f>129.2*(2/3*10)</f>
        <v>861.33333333333314</v>
      </c>
      <c r="D1757" s="14">
        <f>133.3*(2/3*10)</f>
        <v>888.66666666666663</v>
      </c>
      <c r="E1757" s="14">
        <f>318.8*(2/3*10)</f>
        <v>2125.333333333333</v>
      </c>
      <c r="F1757" s="14">
        <f>29.3*(2/3*10)</f>
        <v>195.33333333333331</v>
      </c>
      <c r="G1757" s="14">
        <f>82.5*(2/3*10)</f>
        <v>550</v>
      </c>
      <c r="H1757" s="14">
        <f>14.8*(2/3*10)</f>
        <v>98.666666666666657</v>
      </c>
      <c r="I1757" s="14">
        <f>70.4*(2/3*10)</f>
        <v>469.33333333333331</v>
      </c>
      <c r="K1757">
        <v>1754</v>
      </c>
      <c r="L1757">
        <f t="shared" si="27"/>
        <v>2</v>
      </c>
    </row>
    <row r="1758" spans="1:12" ht="16.5" x14ac:dyDescent="0.2">
      <c r="A1758" s="4" t="s">
        <v>133</v>
      </c>
      <c r="B1758">
        <v>2011</v>
      </c>
      <c r="C1758" s="14">
        <f>131.9*(2/3*10)</f>
        <v>879.33333333333326</v>
      </c>
      <c r="D1758" s="14">
        <f>131.1*(2/3*10)</f>
        <v>873.99999999999989</v>
      </c>
      <c r="E1758" s="14">
        <f>318.2*(2/3*10)</f>
        <v>2121.333333333333</v>
      </c>
      <c r="F1758" s="14">
        <f>28.6*(2/3*10)</f>
        <v>190.66666666666666</v>
      </c>
      <c r="G1758" s="14">
        <f>83.4*(2/3*10)</f>
        <v>556</v>
      </c>
      <c r="H1758" s="14">
        <f>14.8*(2/3*10)</f>
        <v>98.666666666666657</v>
      </c>
      <c r="I1758" s="14">
        <f>70.1*(2/3*10)</f>
        <v>467.33333333333326</v>
      </c>
      <c r="K1758" s="15">
        <v>1755</v>
      </c>
      <c r="L1758">
        <f t="shared" si="27"/>
        <v>3</v>
      </c>
    </row>
    <row r="1759" spans="1:12" ht="16.5" x14ac:dyDescent="0.2">
      <c r="A1759" s="4" t="s">
        <v>133</v>
      </c>
      <c r="B1759">
        <v>2012</v>
      </c>
      <c r="C1759" s="14">
        <f>132.4*(2/3*10)</f>
        <v>882.66666666666663</v>
      </c>
      <c r="D1759" s="14">
        <f>130.6*(2/3*10)</f>
        <v>870.66666666666652</v>
      </c>
      <c r="E1759" s="14">
        <f>317.8*(2/3*10)</f>
        <v>2118.6666666666665</v>
      </c>
      <c r="F1759" s="14">
        <f>28.2*(2/3*10)</f>
        <v>187.99999999999997</v>
      </c>
      <c r="G1759" s="14">
        <f>84.2*(2/3*10)</f>
        <v>561.33333333333326</v>
      </c>
      <c r="H1759" s="14">
        <f>14.9*(2/3*10)</f>
        <v>99.333333333333329</v>
      </c>
      <c r="I1759" s="14">
        <f>69.9*(2/3*10)</f>
        <v>466</v>
      </c>
      <c r="K1759">
        <v>1756</v>
      </c>
      <c r="L1759">
        <f t="shared" si="27"/>
        <v>4</v>
      </c>
    </row>
    <row r="1760" spans="1:12" ht="16.5" x14ac:dyDescent="0.2">
      <c r="A1760" s="4" t="s">
        <v>133</v>
      </c>
      <c r="B1760">
        <v>2013</v>
      </c>
      <c r="C1760" s="14">
        <f>132.8*(2/3*10)</f>
        <v>885.33333333333337</v>
      </c>
      <c r="D1760" s="14">
        <f>128.6*(2/3*10)</f>
        <v>857.33333333333326</v>
      </c>
      <c r="E1760" s="14">
        <f>317.4*(2/3*10)</f>
        <v>2115.9999999999995</v>
      </c>
      <c r="F1760" s="14">
        <f>28.1*(2/3*10)</f>
        <v>187.33333333333331</v>
      </c>
      <c r="G1760" s="14">
        <f>86.3*(2/3*10)</f>
        <v>575.33333333333326</v>
      </c>
      <c r="H1760" s="14">
        <f>15.6*(2/3*10)</f>
        <v>103.99999999999999</v>
      </c>
      <c r="I1760" s="14">
        <f>69.5*(2/3*10)</f>
        <v>463.33333333333331</v>
      </c>
      <c r="K1760">
        <v>1757</v>
      </c>
      <c r="L1760">
        <f t="shared" si="27"/>
        <v>5</v>
      </c>
    </row>
    <row r="1761" spans="1:12" ht="16.5" x14ac:dyDescent="0.2">
      <c r="A1761" s="4" t="s">
        <v>133</v>
      </c>
      <c r="B1761">
        <v>2014</v>
      </c>
      <c r="C1761" s="14">
        <f>131.6*(2/3*10)</f>
        <v>877.33333333333326</v>
      </c>
      <c r="D1761" s="14">
        <f>127.6*(2/3*10)</f>
        <v>850.66666666666652</v>
      </c>
      <c r="E1761" s="14">
        <f>317*(2/3*10)</f>
        <v>2113.333333333333</v>
      </c>
      <c r="F1761" s="14">
        <f>27.9*(2/3*10)</f>
        <v>185.99999999999997</v>
      </c>
      <c r="G1761" s="14">
        <f>88.8*(2/3*10)</f>
        <v>591.99999999999989</v>
      </c>
      <c r="H1761" s="14">
        <f>16.3*(2/3*10)</f>
        <v>108.66666666666666</v>
      </c>
      <c r="I1761" s="14">
        <f>69.1*(2/3*10)</f>
        <v>460.66666666666657</v>
      </c>
      <c r="K1761" s="15">
        <v>1758</v>
      </c>
      <c r="L1761">
        <f t="shared" si="27"/>
        <v>6</v>
      </c>
    </row>
    <row r="1762" spans="1:12" ht="16.5" x14ac:dyDescent="0.2">
      <c r="A1762" s="4" t="s">
        <v>133</v>
      </c>
      <c r="B1762">
        <v>2015</v>
      </c>
      <c r="C1762" s="14">
        <f>131.1*(2/3*10)</f>
        <v>873.99999999999989</v>
      </c>
      <c r="D1762" s="14">
        <f>127.3*(2/3*10)</f>
        <v>848.66666666666663</v>
      </c>
      <c r="E1762" s="14">
        <f>316.9*(2/3*10)</f>
        <v>2112.6666666666665</v>
      </c>
      <c r="F1762" s="14">
        <f>27.8*(2/3*10)</f>
        <v>185.33333333333331</v>
      </c>
      <c r="G1762" s="14">
        <f>89.9*(2/3*10)</f>
        <v>599.33333333333326</v>
      </c>
      <c r="H1762" s="14">
        <f>16.5*(2/3*10)</f>
        <v>109.99999999999999</v>
      </c>
      <c r="I1762" s="14">
        <f>68.9*(2/3*10)</f>
        <v>459.33333333333331</v>
      </c>
      <c r="K1762">
        <v>1759</v>
      </c>
      <c r="L1762">
        <f t="shared" si="27"/>
        <v>7</v>
      </c>
    </row>
    <row r="1763" spans="1:12" ht="16.5" x14ac:dyDescent="0.2">
      <c r="A1763" s="4" t="s">
        <v>133</v>
      </c>
      <c r="B1763">
        <v>2016</v>
      </c>
      <c r="C1763" s="14">
        <f>130.7*(2/3*10)</f>
        <v>871.33333333333314</v>
      </c>
      <c r="D1763" s="14">
        <f>126.9*(2/3*10)</f>
        <v>846</v>
      </c>
      <c r="E1763" s="14">
        <f>316.7*(2/3*10)</f>
        <v>2111.333333333333</v>
      </c>
      <c r="F1763" s="14">
        <f>27.7*(2/3*10)</f>
        <v>184.66666666666666</v>
      </c>
      <c r="G1763" s="14">
        <f>90.8*(2/3*10)</f>
        <v>605.33333333333314</v>
      </c>
      <c r="H1763" s="14">
        <f>16.6*(2/3*10)</f>
        <v>110.66666666666667</v>
      </c>
      <c r="I1763" s="14">
        <f>68.8*(2/3*10)</f>
        <v>458.66666666666663</v>
      </c>
      <c r="K1763" s="15">
        <v>1760</v>
      </c>
      <c r="L1763">
        <f t="shared" si="27"/>
        <v>0</v>
      </c>
    </row>
    <row r="1764" spans="1:12" ht="16.5" x14ac:dyDescent="0.2">
      <c r="A1764" s="4" t="s">
        <v>132</v>
      </c>
      <c r="B1764">
        <v>2009</v>
      </c>
      <c r="C1764" s="14">
        <f>152*(2/3*10)</f>
        <v>1013.3333333333333</v>
      </c>
      <c r="D1764" s="14">
        <f>116.1*(2/3*10)</f>
        <v>773.99999999999989</v>
      </c>
      <c r="E1764" s="14">
        <f>741.4*(2/3*10)</f>
        <v>4942.6666666666661</v>
      </c>
      <c r="F1764" s="14">
        <f>12.1*(2/3*10)</f>
        <v>80.666666666666657</v>
      </c>
      <c r="G1764" s="14">
        <f>66.1*(2/3*10)</f>
        <v>440.66666666666657</v>
      </c>
      <c r="H1764" s="14">
        <f>14.7*(2/3*10)</f>
        <v>97.999999999999986</v>
      </c>
      <c r="I1764" s="14">
        <f>46.3*(2/3*10)</f>
        <v>308.66666666666663</v>
      </c>
      <c r="K1764">
        <v>1761</v>
      </c>
      <c r="L1764">
        <f t="shared" si="27"/>
        <v>1</v>
      </c>
    </row>
    <row r="1765" spans="1:12" ht="16.5" x14ac:dyDescent="0.2">
      <c r="A1765" s="4" t="s">
        <v>132</v>
      </c>
      <c r="B1765">
        <v>2010</v>
      </c>
      <c r="C1765" s="14">
        <f>155.7*(2/3*10)</f>
        <v>1037.9999999999998</v>
      </c>
      <c r="D1765" s="14">
        <f>113.1*(2/3*10)</f>
        <v>753.99999999999989</v>
      </c>
      <c r="E1765" s="14">
        <f>739.8*(2/3*10)</f>
        <v>4931.9999999999991</v>
      </c>
      <c r="F1765" s="14">
        <f>11.9*(2/3*10)</f>
        <v>79.333333333333329</v>
      </c>
      <c r="G1765" s="14">
        <f>67.1*(2/3*10)</f>
        <v>447.33333333333326</v>
      </c>
      <c r="H1765" s="14">
        <f>15.1*(2/3*10)</f>
        <v>100.66666666666666</v>
      </c>
      <c r="I1765" s="14">
        <f>45.8*(2/3*10)</f>
        <v>305.33333333333331</v>
      </c>
      <c r="K1765">
        <v>1762</v>
      </c>
      <c r="L1765">
        <f t="shared" si="27"/>
        <v>2</v>
      </c>
    </row>
    <row r="1766" spans="1:12" ht="16.5" x14ac:dyDescent="0.2">
      <c r="A1766" s="4" t="s">
        <v>132</v>
      </c>
      <c r="B1766">
        <v>2011</v>
      </c>
      <c r="C1766" s="14">
        <f>155.5*(2/3*10)</f>
        <v>1036.6666666666665</v>
      </c>
      <c r="D1766" s="14">
        <f>112.6*(2/3*10)</f>
        <v>750.66666666666652</v>
      </c>
      <c r="E1766" s="14">
        <f>738.9*(2/3*10)</f>
        <v>4925.9999999999991</v>
      </c>
      <c r="F1766" s="14">
        <f>11.8*(2/3*10)</f>
        <v>78.666666666666671</v>
      </c>
      <c r="G1766" s="14">
        <f>67.7*(2/3*10)</f>
        <v>451.3333333333332</v>
      </c>
      <c r="H1766" s="14">
        <f>16*(2/3*10)</f>
        <v>106.66666666666666</v>
      </c>
      <c r="I1766" s="14">
        <f>45.7*(2/3*10)</f>
        <v>304.66666666666669</v>
      </c>
      <c r="K1766" s="15">
        <v>1763</v>
      </c>
      <c r="L1766">
        <f t="shared" si="27"/>
        <v>3</v>
      </c>
    </row>
    <row r="1767" spans="1:12" ht="16.5" x14ac:dyDescent="0.2">
      <c r="A1767" s="4" t="s">
        <v>132</v>
      </c>
      <c r="B1767">
        <v>2012</v>
      </c>
      <c r="C1767" s="14">
        <f>155.3*(2/3*10)</f>
        <v>1035.3333333333333</v>
      </c>
      <c r="D1767" s="14">
        <f>112.5*(2/3*10)</f>
        <v>749.99999999999989</v>
      </c>
      <c r="E1767" s="14">
        <f>738.6*(2/3*10)</f>
        <v>4924</v>
      </c>
      <c r="F1767" s="14">
        <f>11.8*(2/3*10)</f>
        <v>78.666666666666671</v>
      </c>
      <c r="G1767" s="14">
        <f>68.4*(2/3*10)</f>
        <v>455.99999999999989</v>
      </c>
      <c r="H1767" s="14">
        <f>16*(2/3*10)</f>
        <v>106.66666666666666</v>
      </c>
      <c r="I1767" s="14">
        <f>45.6*(2/3*10)</f>
        <v>304</v>
      </c>
      <c r="K1767">
        <v>1764</v>
      </c>
      <c r="L1767">
        <f t="shared" si="27"/>
        <v>4</v>
      </c>
    </row>
    <row r="1768" spans="1:12" ht="16.5" x14ac:dyDescent="0.2">
      <c r="A1768" s="4" t="s">
        <v>132</v>
      </c>
      <c r="B1768">
        <v>2013</v>
      </c>
      <c r="C1768" s="14">
        <f>154.8*(2/3*10)</f>
        <v>1032</v>
      </c>
      <c r="D1768" s="14">
        <f>112.2*(2/3*10)</f>
        <v>748</v>
      </c>
      <c r="E1768" s="14">
        <f>738.2*(2/3*10)</f>
        <v>4921.333333333333</v>
      </c>
      <c r="F1768" s="14">
        <f>11.7*(2/3*10)</f>
        <v>77.999999999999986</v>
      </c>
      <c r="G1768" s="14">
        <f>69*(2/3*10)</f>
        <v>459.99999999999994</v>
      </c>
      <c r="H1768" s="14">
        <f>16.8*(2/3*10)</f>
        <v>112</v>
      </c>
      <c r="I1768" s="14">
        <f>45.5*(2/3*10)</f>
        <v>303.33333333333331</v>
      </c>
      <c r="K1768" s="15">
        <v>1765</v>
      </c>
      <c r="L1768">
        <f t="shared" si="27"/>
        <v>5</v>
      </c>
    </row>
    <row r="1769" spans="1:12" ht="16.5" x14ac:dyDescent="0.2">
      <c r="A1769" s="4" t="s">
        <v>132</v>
      </c>
      <c r="B1769">
        <v>2014</v>
      </c>
      <c r="C1769" s="14">
        <f>154.6*(2/3*10)</f>
        <v>1030.6666666666665</v>
      </c>
      <c r="D1769" s="14">
        <f>111.7*(2/3*10)</f>
        <v>744.66666666666663</v>
      </c>
      <c r="E1769" s="14">
        <f>737.4*(2/3*10)</f>
        <v>4915.9999999999991</v>
      </c>
      <c r="F1769" s="14">
        <f>11.7*(2/3*10)</f>
        <v>77.999999999999986</v>
      </c>
      <c r="G1769" s="14">
        <f>70.3*(2/3*10)</f>
        <v>468.66666666666663</v>
      </c>
      <c r="H1769" s="14">
        <f>17.4*(2/3*10)</f>
        <v>115.99999999999999</v>
      </c>
      <c r="I1769" s="14">
        <f>45.3*(2/3*10)</f>
        <v>301.99999999999994</v>
      </c>
      <c r="K1769">
        <v>1766</v>
      </c>
      <c r="L1769">
        <f t="shared" si="27"/>
        <v>6</v>
      </c>
    </row>
    <row r="1770" spans="1:12" ht="16.5" x14ac:dyDescent="0.2">
      <c r="A1770" s="4" t="s">
        <v>132</v>
      </c>
      <c r="B1770">
        <v>2015</v>
      </c>
      <c r="C1770" s="14">
        <f>154.2*(2/3*10)</f>
        <v>1027.9999999999998</v>
      </c>
      <c r="D1770" s="14">
        <f>111.3*(2/3*10)</f>
        <v>741.99999999999989</v>
      </c>
      <c r="E1770" s="14">
        <f>736.6*(2/3*10)</f>
        <v>4910.6666666666661</v>
      </c>
      <c r="F1770" s="14">
        <f>11.6*(2/3*10)</f>
        <v>77.333333333333329</v>
      </c>
      <c r="G1770" s="14">
        <f>72*(2/3*10)</f>
        <v>479.99999999999994</v>
      </c>
      <c r="H1770" s="14">
        <f>17.6*(2/3*10)</f>
        <v>117.33333333333333</v>
      </c>
      <c r="I1770" s="14">
        <f>45.1*(2/3*10)</f>
        <v>300.66666666666663</v>
      </c>
      <c r="K1770">
        <v>1767</v>
      </c>
      <c r="L1770">
        <f t="shared" si="27"/>
        <v>7</v>
      </c>
    </row>
    <row r="1771" spans="1:12" ht="16.5" x14ac:dyDescent="0.2">
      <c r="A1771" s="4" t="s">
        <v>132</v>
      </c>
      <c r="B1771">
        <v>2016</v>
      </c>
      <c r="C1771" s="14">
        <f>153.7*(2/3*10)</f>
        <v>1024.6666666666665</v>
      </c>
      <c r="D1771" s="14">
        <f>110.9*(2/3*10)</f>
        <v>739.33333333333326</v>
      </c>
      <c r="E1771" s="14">
        <f>736.1*(2/3*10)</f>
        <v>4907.333333333333</v>
      </c>
      <c r="F1771" s="14">
        <f>11.6*(2/3*10)</f>
        <v>77.333333333333329</v>
      </c>
      <c r="G1771" s="14">
        <f>73.3*(2/3*10)</f>
        <v>488.66666666666663</v>
      </c>
      <c r="H1771" s="14">
        <f>18*(2/3*10)</f>
        <v>119.99999999999999</v>
      </c>
      <c r="I1771" s="14">
        <f>45*(2/3*10)</f>
        <v>300</v>
      </c>
      <c r="K1771" s="15">
        <v>1768</v>
      </c>
      <c r="L1771">
        <f t="shared" si="27"/>
        <v>0</v>
      </c>
    </row>
    <row r="1772" spans="1:12" ht="16.5" x14ac:dyDescent="0.2">
      <c r="A1772" s="4" t="s">
        <v>131</v>
      </c>
      <c r="B1772">
        <v>2009</v>
      </c>
      <c r="C1772" s="14">
        <f>1036*(2/3*10)</f>
        <v>6906.6666666666661</v>
      </c>
      <c r="D1772" s="14">
        <f>128.4*(2/3*10)</f>
        <v>856</v>
      </c>
      <c r="E1772" s="14">
        <f>1466.9*(2/3*10)</f>
        <v>9779.3333333333339</v>
      </c>
      <c r="F1772" s="14">
        <f>72.5*(2/3*10)</f>
        <v>483.33333333333331</v>
      </c>
      <c r="G1772" s="14">
        <f>164.1*(2/3*10)</f>
        <v>1093.9999999999998</v>
      </c>
      <c r="H1772" s="14">
        <f>49.9*(2/3*10)</f>
        <v>332.66666666666663</v>
      </c>
      <c r="I1772" s="14">
        <f>162.5*(2/3*10)</f>
        <v>1083.3333333333333</v>
      </c>
      <c r="K1772">
        <v>1769</v>
      </c>
      <c r="L1772">
        <f t="shared" si="27"/>
        <v>1</v>
      </c>
    </row>
    <row r="1773" spans="1:12" ht="16.5" x14ac:dyDescent="0.2">
      <c r="A1773" s="4" t="s">
        <v>131</v>
      </c>
      <c r="B1773">
        <v>2010</v>
      </c>
      <c r="C1773" s="14">
        <f>1032.7*(2/3*10)</f>
        <v>6884.6666666666661</v>
      </c>
      <c r="D1773" s="14">
        <f>127.5*(2/3*10)</f>
        <v>849.99999999999989</v>
      </c>
      <c r="E1773" s="14">
        <f>1464.5*(2/3*10)</f>
        <v>9763.3333333333321</v>
      </c>
      <c r="F1773" s="14">
        <f>72.1*(2/3*10)</f>
        <v>480.66666666666657</v>
      </c>
      <c r="G1773" s="14">
        <f>170.3*(2/3*10)</f>
        <v>1135.3333333333333</v>
      </c>
      <c r="H1773" s="14">
        <f>51.5*(2/3*10)</f>
        <v>343.33333333333331</v>
      </c>
      <c r="I1773" s="14">
        <f>161.8*(2/3*10)</f>
        <v>1078.6666666666667</v>
      </c>
      <c r="K1773" s="15">
        <v>1770</v>
      </c>
      <c r="L1773">
        <f t="shared" si="27"/>
        <v>2</v>
      </c>
    </row>
    <row r="1774" spans="1:12" ht="16.5" x14ac:dyDescent="0.2">
      <c r="A1774" s="4" t="s">
        <v>131</v>
      </c>
      <c r="B1774">
        <v>2011</v>
      </c>
      <c r="C1774" s="14">
        <f>1031*(2/3*10)</f>
        <v>6873.333333333333</v>
      </c>
      <c r="D1774" s="14">
        <f>127*(2/3*10)</f>
        <v>846.66666666666663</v>
      </c>
      <c r="E1774" s="14">
        <f>1463.3*(2/3*10)</f>
        <v>9755.3333333333321</v>
      </c>
      <c r="F1774" s="14">
        <f>71.7*(2/3*10)</f>
        <v>478</v>
      </c>
      <c r="G1774" s="14">
        <f>172.3*(2/3*10)</f>
        <v>1148.6666666666667</v>
      </c>
      <c r="H1774" s="14">
        <f>53*(2/3*10)</f>
        <v>353.33333333333331</v>
      </c>
      <c r="I1774" s="14">
        <f>161.9*(2/3*10)</f>
        <v>1079.3333333333333</v>
      </c>
      <c r="K1774">
        <v>1771</v>
      </c>
      <c r="L1774">
        <f t="shared" si="27"/>
        <v>3</v>
      </c>
    </row>
    <row r="1775" spans="1:12" ht="16.5" x14ac:dyDescent="0.2">
      <c r="A1775" s="4" t="s">
        <v>131</v>
      </c>
      <c r="B1775">
        <v>2012</v>
      </c>
      <c r="C1775" s="14">
        <f>1029.6*(2/3*10)</f>
        <v>6863.9999999999991</v>
      </c>
      <c r="D1775" s="14">
        <f>126.6*(2/3*10)</f>
        <v>843.99999999999989</v>
      </c>
      <c r="E1775" s="14">
        <f>1462.6*(2/3*10)</f>
        <v>9750.6666666666661</v>
      </c>
      <c r="F1775" s="14">
        <f>71.5*(2/3*10)</f>
        <v>476.66666666666663</v>
      </c>
      <c r="G1775" s="14">
        <f>174*(2/3*10)</f>
        <v>1160</v>
      </c>
      <c r="H1775" s="14">
        <f>54.3*(2/3*10)</f>
        <v>361.99999999999994</v>
      </c>
      <c r="I1775" s="14">
        <f>161.8*(2/3*10)</f>
        <v>1078.6666666666667</v>
      </c>
      <c r="K1775">
        <v>1772</v>
      </c>
      <c r="L1775">
        <f t="shared" si="27"/>
        <v>4</v>
      </c>
    </row>
    <row r="1776" spans="1:12" ht="16.5" x14ac:dyDescent="0.2">
      <c r="A1776" s="4" t="s">
        <v>131</v>
      </c>
      <c r="B1776">
        <v>2013</v>
      </c>
      <c r="C1776" s="14">
        <f>1028.2*(2/3*10)</f>
        <v>6854.6666666666661</v>
      </c>
      <c r="D1776" s="14">
        <f>125.6*(2/3*10)</f>
        <v>837.33333333333326</v>
      </c>
      <c r="E1776" s="14">
        <f>1460.6*(2/3*10)</f>
        <v>9737.3333333333321</v>
      </c>
      <c r="F1776" s="14">
        <f>71*(2/3*10)</f>
        <v>473.33333333333331</v>
      </c>
      <c r="G1776" s="14">
        <f>178.1*(2/3*10)</f>
        <v>1187.3333333333333</v>
      </c>
      <c r="H1776" s="14">
        <f>55.3*(2/3*10)</f>
        <v>368.66666666666663</v>
      </c>
      <c r="I1776" s="14">
        <f>161.3*(2/3*10)</f>
        <v>1075.3333333333333</v>
      </c>
      <c r="K1776" s="15">
        <v>1773</v>
      </c>
      <c r="L1776">
        <f t="shared" si="27"/>
        <v>5</v>
      </c>
    </row>
    <row r="1777" spans="1:12" ht="16.5" x14ac:dyDescent="0.2">
      <c r="A1777" s="4" t="s">
        <v>131</v>
      </c>
      <c r="B1777">
        <v>2014</v>
      </c>
      <c r="C1777" s="14">
        <f>1025.4*(2/3*10)</f>
        <v>6836</v>
      </c>
      <c r="D1777" s="14">
        <f>125*(2/3*10)</f>
        <v>833.33333333333326</v>
      </c>
      <c r="E1777" s="14">
        <f>1459.5*(2/3*10)</f>
        <v>9730</v>
      </c>
      <c r="F1777" s="14">
        <f>70.8*(2/3*10)</f>
        <v>471.99999999999994</v>
      </c>
      <c r="G1777" s="14">
        <f>182.4*(2/3*10)</f>
        <v>1216</v>
      </c>
      <c r="H1777" s="14">
        <f>56.1*(2/3*10)</f>
        <v>374</v>
      </c>
      <c r="I1777" s="14">
        <f>160.8*(2/3*10)</f>
        <v>1072</v>
      </c>
      <c r="K1777">
        <v>1774</v>
      </c>
      <c r="L1777">
        <f t="shared" si="27"/>
        <v>6</v>
      </c>
    </row>
    <row r="1778" spans="1:12" ht="16.5" x14ac:dyDescent="0.2">
      <c r="A1778" s="4" t="s">
        <v>131</v>
      </c>
      <c r="B1778">
        <v>2015</v>
      </c>
      <c r="C1778" s="14">
        <f>1023.7*(2/3*10)</f>
        <v>6824.6666666666661</v>
      </c>
      <c r="D1778" s="14">
        <f>124.6*(2/3*10)</f>
        <v>830.66666666666652</v>
      </c>
      <c r="E1778" s="14">
        <f>1458.5*(2/3*10)</f>
        <v>9723.3333333333321</v>
      </c>
      <c r="F1778" s="14">
        <f>70.6*(2/3*10)</f>
        <v>470.66666666666657</v>
      </c>
      <c r="G1778" s="14">
        <f>185.6*(2/3*10)</f>
        <v>1237.3333333333333</v>
      </c>
      <c r="H1778" s="14">
        <f>56.5*(2/3*10)</f>
        <v>376.66666666666663</v>
      </c>
      <c r="I1778" s="14">
        <f>160.4*(2/3*10)</f>
        <v>1069.3333333333333</v>
      </c>
      <c r="K1778" s="15">
        <v>1775</v>
      </c>
      <c r="L1778">
        <f t="shared" si="27"/>
        <v>7</v>
      </c>
    </row>
    <row r="1779" spans="1:12" ht="16.5" x14ac:dyDescent="0.2">
      <c r="A1779" s="4" t="s">
        <v>131</v>
      </c>
      <c r="B1779">
        <v>2016</v>
      </c>
      <c r="C1779" s="14">
        <f>1021.4*(2/3*10)</f>
        <v>6809.333333333333</v>
      </c>
      <c r="D1779" s="14">
        <f>124.1*(2/3*10)</f>
        <v>827.33333333333326</v>
      </c>
      <c r="E1779" s="14">
        <f>1457.5*(2/3*10)</f>
        <v>9716.6666666666661</v>
      </c>
      <c r="F1779" s="14">
        <f>70.4*(2/3*10)</f>
        <v>469.33333333333331</v>
      </c>
      <c r="G1779" s="14">
        <f>188.4*(2/3*10)</f>
        <v>1256</v>
      </c>
      <c r="H1779" s="14">
        <f>57.7*(2/3*10)</f>
        <v>384.66666666666663</v>
      </c>
      <c r="I1779" s="14">
        <f>160.5*(2/3*10)</f>
        <v>1070</v>
      </c>
      <c r="K1779">
        <v>1776</v>
      </c>
      <c r="L1779">
        <f t="shared" si="27"/>
        <v>0</v>
      </c>
    </row>
    <row r="1780" spans="1:12" ht="16.5" x14ac:dyDescent="0.2">
      <c r="A1780" s="4" t="s">
        <v>130</v>
      </c>
      <c r="B1780">
        <v>2009</v>
      </c>
      <c r="C1780" s="14">
        <f>533.3*(2/3*10)</f>
        <v>3555.3333333333326</v>
      </c>
      <c r="D1780" s="14">
        <f>74.2*(2/3*10)</f>
        <v>494.66666666666663</v>
      </c>
      <c r="E1780" s="14">
        <f>1664.3*(2/3*10)</f>
        <v>11095.333333333332</v>
      </c>
      <c r="F1780" s="14">
        <f>174.1*(2/3*10)</f>
        <v>1160.6666666666665</v>
      </c>
      <c r="G1780" s="14">
        <f>82.4*(2/3*10)</f>
        <v>549.33333333333326</v>
      </c>
      <c r="H1780" s="14">
        <f>32.5*(2/3*10)</f>
        <v>216.66666666666666</v>
      </c>
      <c r="I1780" s="14">
        <f>90.7*(2/3*10)</f>
        <v>604.66666666666663</v>
      </c>
      <c r="K1780">
        <v>1777</v>
      </c>
      <c r="L1780">
        <f t="shared" si="27"/>
        <v>1</v>
      </c>
    </row>
    <row r="1781" spans="1:12" ht="16.5" x14ac:dyDescent="0.2">
      <c r="A1781" s="4" t="s">
        <v>130</v>
      </c>
      <c r="B1781">
        <v>2010</v>
      </c>
      <c r="C1781" s="14">
        <f>532*(2/3*10)</f>
        <v>3546.6666666666665</v>
      </c>
      <c r="D1781" s="14">
        <f>73.8*(2/3*10)</f>
        <v>491.99999999999994</v>
      </c>
      <c r="E1781" s="14">
        <f>1663.4*(2/3*10)</f>
        <v>11089.333333333332</v>
      </c>
      <c r="F1781" s="14">
        <f>173.5*(2/3*10)</f>
        <v>1156.6666666666665</v>
      </c>
      <c r="G1781" s="14">
        <f>85.3*(2/3*10)</f>
        <v>568.66666666666652</v>
      </c>
      <c r="H1781" s="14">
        <f>33*(2/3*10)</f>
        <v>219.99999999999997</v>
      </c>
      <c r="I1781" s="14">
        <f>90.3*(2/3*10)</f>
        <v>601.99999999999989</v>
      </c>
      <c r="K1781" s="15">
        <v>1778</v>
      </c>
      <c r="L1781">
        <f t="shared" si="27"/>
        <v>2</v>
      </c>
    </row>
    <row r="1782" spans="1:12" ht="16.5" x14ac:dyDescent="0.2">
      <c r="A1782" s="4" t="s">
        <v>130</v>
      </c>
      <c r="B1782">
        <v>2011</v>
      </c>
      <c r="C1782" s="14">
        <f>531.5*(2/3*10)</f>
        <v>3543.333333333333</v>
      </c>
      <c r="D1782" s="14">
        <f>73.6*(2/3*10)</f>
        <v>490.66666666666657</v>
      </c>
      <c r="E1782" s="14">
        <f>1662.8*(2/3*10)</f>
        <v>11085.333333333332</v>
      </c>
      <c r="F1782" s="14">
        <f>173.2*(2/3*10)</f>
        <v>1154.6666666666665</v>
      </c>
      <c r="G1782" s="14">
        <f>86.6*(2/3*10)</f>
        <v>577.33333333333326</v>
      </c>
      <c r="H1782" s="14">
        <f>33.4*(2/3*10)</f>
        <v>222.66666666666663</v>
      </c>
      <c r="I1782" s="14">
        <f>90.2*(2/3*10)</f>
        <v>601.33333333333326</v>
      </c>
      <c r="K1782">
        <v>1779</v>
      </c>
      <c r="L1782">
        <f t="shared" si="27"/>
        <v>3</v>
      </c>
    </row>
    <row r="1783" spans="1:12" ht="16.5" x14ac:dyDescent="0.2">
      <c r="A1783" s="4" t="s">
        <v>130</v>
      </c>
      <c r="B1783">
        <v>2012</v>
      </c>
      <c r="C1783" s="14">
        <f>529.4*(2/3*10)</f>
        <v>3529.333333333333</v>
      </c>
      <c r="D1783" s="14">
        <f>73.4*(2/3*10)</f>
        <v>489.33333333333331</v>
      </c>
      <c r="E1783" s="14">
        <f>1661.7*(2/3*10)</f>
        <v>11078</v>
      </c>
      <c r="F1783" s="14">
        <f>173.1*(2/3*10)</f>
        <v>1153.9999999999998</v>
      </c>
      <c r="G1783" s="14">
        <f>88.5*(2/3*10)</f>
        <v>590</v>
      </c>
      <c r="H1783" s="14">
        <f>35.1*(2/3*10)</f>
        <v>234</v>
      </c>
      <c r="I1783" s="14">
        <f>90*(2/3*10)</f>
        <v>600</v>
      </c>
      <c r="K1783" s="15">
        <v>1780</v>
      </c>
      <c r="L1783">
        <f t="shared" si="27"/>
        <v>4</v>
      </c>
    </row>
    <row r="1784" spans="1:12" ht="16.5" x14ac:dyDescent="0.2">
      <c r="A1784" s="4" t="s">
        <v>130</v>
      </c>
      <c r="B1784">
        <v>2013</v>
      </c>
      <c r="C1784" s="14">
        <f>527.3*(2/3*10)</f>
        <v>3515.3333333333326</v>
      </c>
      <c r="D1784" s="14">
        <f>73.1*(2/3*10)</f>
        <v>487.33333333333326</v>
      </c>
      <c r="E1784" s="14">
        <f>1661.2*(2/3*10)</f>
        <v>11074.666666666666</v>
      </c>
      <c r="F1784" s="14">
        <f>172.9*(2/3*10)</f>
        <v>1152.6666666666665</v>
      </c>
      <c r="G1784" s="14">
        <f>91.3*(2/3*10)</f>
        <v>608.66666666666663</v>
      </c>
      <c r="H1784" s="14">
        <f>35.5*(2/3*10)</f>
        <v>236.66666666666666</v>
      </c>
      <c r="I1784" s="14">
        <f>89.7*(2/3*10)</f>
        <v>598</v>
      </c>
      <c r="K1784">
        <v>1781</v>
      </c>
      <c r="L1784">
        <f t="shared" si="27"/>
        <v>5</v>
      </c>
    </row>
    <row r="1785" spans="1:12" ht="16.5" x14ac:dyDescent="0.2">
      <c r="A1785" s="4" t="s">
        <v>130</v>
      </c>
      <c r="B1785">
        <v>2014</v>
      </c>
      <c r="C1785" s="14">
        <f>525.9*(2/3*10)</f>
        <v>3505.9999999999995</v>
      </c>
      <c r="D1785" s="14">
        <f>72.8*(2/3*10)</f>
        <v>485.33333333333326</v>
      </c>
      <c r="E1785" s="14">
        <f>1660.7*(2/3*10)</f>
        <v>11071.333333333332</v>
      </c>
      <c r="F1785" s="14">
        <f>172.8*(2/3*10)</f>
        <v>1152</v>
      </c>
      <c r="G1785" s="14">
        <f>93.1*(2/3*10)</f>
        <v>620.66666666666663</v>
      </c>
      <c r="H1785" s="14">
        <f>36*(2/3*10)</f>
        <v>239.99999999999997</v>
      </c>
      <c r="I1785" s="14">
        <f>89.6*(2/3*10)</f>
        <v>597.33333333333326</v>
      </c>
      <c r="K1785">
        <v>1782</v>
      </c>
      <c r="L1785">
        <f t="shared" si="27"/>
        <v>6</v>
      </c>
    </row>
    <row r="1786" spans="1:12" ht="16.5" x14ac:dyDescent="0.2">
      <c r="A1786" s="4" t="s">
        <v>130</v>
      </c>
      <c r="B1786">
        <v>2015</v>
      </c>
      <c r="C1786" s="14">
        <f>524*(2/3*10)</f>
        <v>3493.333333333333</v>
      </c>
      <c r="D1786" s="14">
        <f>72.6*(2/3*10)</f>
        <v>483.99999999999994</v>
      </c>
      <c r="E1786" s="14">
        <f>1659.9*(2/3*10)</f>
        <v>11066</v>
      </c>
      <c r="F1786" s="14">
        <f>172.7*(2/3*10)</f>
        <v>1151.3333333333333</v>
      </c>
      <c r="G1786" s="14">
        <f>95.6*(2/3*10)</f>
        <v>637.33333333333326</v>
      </c>
      <c r="H1786" s="14">
        <f>36.6*(2/3*10)</f>
        <v>244</v>
      </c>
      <c r="I1786" s="14">
        <f>89.4*(2/3*10)</f>
        <v>596</v>
      </c>
      <c r="K1786" s="15">
        <v>1783</v>
      </c>
      <c r="L1786">
        <f t="shared" si="27"/>
        <v>7</v>
      </c>
    </row>
    <row r="1787" spans="1:12" ht="16.5" x14ac:dyDescent="0.2">
      <c r="A1787" s="4" t="s">
        <v>130</v>
      </c>
      <c r="B1787">
        <v>2016</v>
      </c>
      <c r="C1787" s="14">
        <f>522.7*(2/3*10)</f>
        <v>3484.6666666666665</v>
      </c>
      <c r="D1787" s="14">
        <f>72.5*(2/3*10)</f>
        <v>483.33333333333331</v>
      </c>
      <c r="E1787" s="14">
        <f>1659.5*(2/3*10)</f>
        <v>11063.333333333332</v>
      </c>
      <c r="F1787" s="14">
        <f>172.6*(2/3*10)</f>
        <v>1150.6666666666665</v>
      </c>
      <c r="G1787" s="14">
        <f>97.3*(2/3*10)</f>
        <v>648.66666666666663</v>
      </c>
      <c r="H1787" s="14">
        <f>36.9*(2/3*10)</f>
        <v>245.99999999999997</v>
      </c>
      <c r="I1787" s="14">
        <f>89.3*(2/3*10)</f>
        <v>595.33333333333326</v>
      </c>
      <c r="K1787">
        <v>1784</v>
      </c>
      <c r="L1787">
        <f t="shared" si="27"/>
        <v>0</v>
      </c>
    </row>
    <row r="1788" spans="1:12" ht="16.5" x14ac:dyDescent="0.2">
      <c r="A1788" s="4" t="s">
        <v>129</v>
      </c>
      <c r="B1788">
        <v>2009</v>
      </c>
      <c r="C1788" s="14">
        <f>492.2*(2/3*10)</f>
        <v>3281.333333333333</v>
      </c>
      <c r="D1788" s="14">
        <f>323*(2/3*10)</f>
        <v>2153.333333333333</v>
      </c>
      <c r="E1788" s="14">
        <f>2767.8*(2/3*10)</f>
        <v>18452</v>
      </c>
      <c r="F1788" s="14">
        <f>187.2*(2/3*10)</f>
        <v>1247.9999999999998</v>
      </c>
      <c r="G1788" s="14">
        <f>125.1*(2/3*10)</f>
        <v>833.99999999999989</v>
      </c>
      <c r="H1788" s="14">
        <f>36.6*(2/3*10)</f>
        <v>244</v>
      </c>
      <c r="I1788" s="14">
        <f>109.8*(2/3*10)</f>
        <v>731.99999999999989</v>
      </c>
      <c r="K1788" s="15">
        <v>1785</v>
      </c>
      <c r="L1788">
        <f t="shared" si="27"/>
        <v>1</v>
      </c>
    </row>
    <row r="1789" spans="1:12" ht="16.5" x14ac:dyDescent="0.2">
      <c r="A1789" s="4" t="s">
        <v>129</v>
      </c>
      <c r="B1789">
        <v>2010</v>
      </c>
      <c r="C1789" s="14">
        <f>493.8*(2/3*10)</f>
        <v>3292</v>
      </c>
      <c r="D1789" s="14">
        <f>320.5*(2/3*10)</f>
        <v>2136.6666666666665</v>
      </c>
      <c r="E1789" s="14">
        <f>2766.4*(2/3*10)</f>
        <v>18442.666666666664</v>
      </c>
      <c r="F1789" s="14">
        <f>186.6*(2/3*10)</f>
        <v>1243.9999999999998</v>
      </c>
      <c r="G1789" s="14">
        <f>127.7*(2/3*10)</f>
        <v>851.33333333333326</v>
      </c>
      <c r="H1789" s="14">
        <f>37.3*(2/3*10)</f>
        <v>248.66666666666663</v>
      </c>
      <c r="I1789" s="14">
        <f>109.5*(2/3*10)</f>
        <v>729.99999999999989</v>
      </c>
      <c r="K1789">
        <v>1786</v>
      </c>
      <c r="L1789">
        <f t="shared" si="27"/>
        <v>2</v>
      </c>
    </row>
    <row r="1790" spans="1:12" ht="16.5" x14ac:dyDescent="0.2">
      <c r="A1790" s="4" t="s">
        <v>129</v>
      </c>
      <c r="B1790">
        <v>2011</v>
      </c>
      <c r="C1790" s="14">
        <f>494.3*(2/3*10)</f>
        <v>3295.333333333333</v>
      </c>
      <c r="D1790" s="14">
        <f>319.2*(2/3*10)</f>
        <v>2127.9999999999995</v>
      </c>
      <c r="E1790" s="14">
        <f>2764*(2/3*10)</f>
        <v>18426.666666666664</v>
      </c>
      <c r="F1790" s="14">
        <f>186.5*(2/3*10)</f>
        <v>1243.3333333333333</v>
      </c>
      <c r="G1790" s="14">
        <f>128.8*(2/3*10)</f>
        <v>858.66666666666663</v>
      </c>
      <c r="H1790" s="14">
        <f>38.3*(2/3*10)</f>
        <v>255.33333333333329</v>
      </c>
      <c r="I1790" s="14">
        <f>110.5*(2/3*10)</f>
        <v>736.66666666666663</v>
      </c>
      <c r="K1790">
        <v>1787</v>
      </c>
      <c r="L1790">
        <f t="shared" si="27"/>
        <v>3</v>
      </c>
    </row>
    <row r="1791" spans="1:12" ht="16.5" x14ac:dyDescent="0.2">
      <c r="A1791" s="4" t="s">
        <v>129</v>
      </c>
      <c r="B1791">
        <v>2012</v>
      </c>
      <c r="C1791" s="14">
        <f>493.4*(2/3*10)</f>
        <v>3289.333333333333</v>
      </c>
      <c r="D1791" s="14">
        <f>318.4*(2/3*10)</f>
        <v>2122.6666666666665</v>
      </c>
      <c r="E1791" s="14">
        <f>2763*(2/3*10)</f>
        <v>18420</v>
      </c>
      <c r="F1791" s="14">
        <f>186.8*(2/3*10)</f>
        <v>1245.3333333333333</v>
      </c>
      <c r="G1791" s="14">
        <f>130.9*(2/3*10)</f>
        <v>872.66666666666663</v>
      </c>
      <c r="H1791" s="14">
        <f>38.9*(2/3*10)</f>
        <v>259.33333333333331</v>
      </c>
      <c r="I1791" s="14">
        <f>110.3*(2/3*10)</f>
        <v>735.33333333333326</v>
      </c>
      <c r="K1791" s="15">
        <v>1788</v>
      </c>
      <c r="L1791">
        <f t="shared" si="27"/>
        <v>4</v>
      </c>
    </row>
    <row r="1792" spans="1:12" ht="16.5" x14ac:dyDescent="0.2">
      <c r="A1792" s="4" t="s">
        <v>129</v>
      </c>
      <c r="B1792">
        <v>2013</v>
      </c>
      <c r="C1792" s="14">
        <f>496*(2/3*10)</f>
        <v>3306.6666666666665</v>
      </c>
      <c r="D1792" s="14">
        <f>315.8*(2/3*10)</f>
        <v>2105.333333333333</v>
      </c>
      <c r="E1792" s="14">
        <f>2761.9*(2/3*10)</f>
        <v>18412.666666666664</v>
      </c>
      <c r="F1792" s="14">
        <f>186.3*(2/3*10)</f>
        <v>1242</v>
      </c>
      <c r="G1792" s="14">
        <f>132.1*(2/3*10)</f>
        <v>880.66666666666674</v>
      </c>
      <c r="H1792" s="14">
        <f>39.2*(2/3*10)</f>
        <v>261.33333333333331</v>
      </c>
      <c r="I1792" s="14">
        <f>110.1*(2/3*10)</f>
        <v>733.99999999999989</v>
      </c>
      <c r="K1792">
        <v>1789</v>
      </c>
      <c r="L1792">
        <f t="shared" ref="L1792:L1855" si="28">MOD(K1792,8)</f>
        <v>5</v>
      </c>
    </row>
    <row r="1793" spans="1:12" ht="16.5" x14ac:dyDescent="0.2">
      <c r="A1793" s="4" t="s">
        <v>129</v>
      </c>
      <c r="B1793">
        <v>2014</v>
      </c>
      <c r="C1793" s="14">
        <f>494.7*(2/3*10)</f>
        <v>3297.9999999999995</v>
      </c>
      <c r="D1793" s="14">
        <f>315.2*(2/3*10)</f>
        <v>2101.333333333333</v>
      </c>
      <c r="E1793" s="14">
        <f>2760.4*(2/3*10)</f>
        <v>18402.666666666664</v>
      </c>
      <c r="F1793" s="14">
        <f>186*(2/3*10)</f>
        <v>1240</v>
      </c>
      <c r="G1793" s="14">
        <f>133.6*(2/3*10)</f>
        <v>890.66666666666652</v>
      </c>
      <c r="H1793" s="14">
        <f>40.3*(2/3*10)</f>
        <v>268.66666666666663</v>
      </c>
      <c r="I1793" s="14">
        <f>111*(2/3*10)</f>
        <v>739.99999999999989</v>
      </c>
      <c r="K1793" s="15">
        <v>1790</v>
      </c>
      <c r="L1793">
        <f t="shared" si="28"/>
        <v>6</v>
      </c>
    </row>
    <row r="1794" spans="1:12" ht="16.5" x14ac:dyDescent="0.2">
      <c r="A1794" s="4" t="s">
        <v>129</v>
      </c>
      <c r="B1794">
        <v>2015</v>
      </c>
      <c r="C1794" s="14">
        <f>494.1*(2/3*10)</f>
        <v>3294</v>
      </c>
      <c r="D1794" s="14">
        <f>314.8*(2/3*10)</f>
        <v>2098.6666666666665</v>
      </c>
      <c r="E1794" s="14">
        <f>2759.9*(2/3*10)</f>
        <v>18399.333333333332</v>
      </c>
      <c r="F1794" s="14">
        <f>185.8*(2/3*10)</f>
        <v>1238.6666666666667</v>
      </c>
      <c r="G1794" s="14">
        <f>135.1*(2/3*10)</f>
        <v>900.66666666666652</v>
      </c>
      <c r="H1794" s="14">
        <f>40.5*(2/3*10)</f>
        <v>270</v>
      </c>
      <c r="I1794" s="14">
        <f>110.8*(2/3*10)</f>
        <v>738.66666666666663</v>
      </c>
      <c r="K1794">
        <v>1791</v>
      </c>
      <c r="L1794">
        <f t="shared" si="28"/>
        <v>7</v>
      </c>
    </row>
    <row r="1795" spans="1:12" ht="16.5" x14ac:dyDescent="0.2">
      <c r="A1795" s="4" t="s">
        <v>129</v>
      </c>
      <c r="B1795">
        <v>2016</v>
      </c>
      <c r="C1795" s="14">
        <f>493.5*(2/3*10)</f>
        <v>3289.9999999999995</v>
      </c>
      <c r="D1795" s="14">
        <f>314.5*(2/3*10)</f>
        <v>2096.6666666666665</v>
      </c>
      <c r="E1795" s="14">
        <f>2759.4*(2/3*10)</f>
        <v>18396</v>
      </c>
      <c r="F1795" s="14">
        <f>185.6*(2/3*10)</f>
        <v>1237.3333333333333</v>
      </c>
      <c r="G1795" s="14">
        <f>136.2*(2/3*10)</f>
        <v>907.99999999999989</v>
      </c>
      <c r="H1795" s="14">
        <f>41*(2/3*10)</f>
        <v>273.33333333333331</v>
      </c>
      <c r="I1795" s="14">
        <f>110.7*(2/3*10)</f>
        <v>738</v>
      </c>
      <c r="K1795">
        <v>1792</v>
      </c>
      <c r="L1795">
        <f t="shared" si="28"/>
        <v>0</v>
      </c>
    </row>
    <row r="1796" spans="1:12" ht="16.5" x14ac:dyDescent="0.2">
      <c r="A1796" s="4" t="s">
        <v>128</v>
      </c>
      <c r="B1796">
        <v>2009</v>
      </c>
      <c r="C1796" s="14">
        <f>210.2*(2/3*10)</f>
        <v>1401.333333333333</v>
      </c>
      <c r="D1796" s="14">
        <f>69.2*(2/3*10)</f>
        <v>461.33333333333331</v>
      </c>
      <c r="E1796" s="14">
        <f>1399.9*(2/3*10)</f>
        <v>9332.6666666666661</v>
      </c>
      <c r="F1796" s="14">
        <f>44.2*(2/3*10)</f>
        <v>294.66666666666669</v>
      </c>
      <c r="G1796" s="14">
        <f>59.2*(2/3*10)</f>
        <v>394.66666666666663</v>
      </c>
      <c r="H1796" s="14">
        <f>17.6*(2/3*10)</f>
        <v>117.33333333333333</v>
      </c>
      <c r="I1796" s="14">
        <f>61.6*(2/3*10)</f>
        <v>410.66666666666663</v>
      </c>
      <c r="K1796" s="15">
        <v>1793</v>
      </c>
      <c r="L1796">
        <f t="shared" si="28"/>
        <v>1</v>
      </c>
    </row>
    <row r="1797" spans="1:12" ht="16.5" x14ac:dyDescent="0.2">
      <c r="A1797" s="4" t="s">
        <v>128</v>
      </c>
      <c r="B1797">
        <v>2010</v>
      </c>
      <c r="C1797" s="14">
        <f>210.1*(2/3*10)</f>
        <v>1400.6666666666665</v>
      </c>
      <c r="D1797" s="14">
        <f>69.1*(2/3*10)</f>
        <v>460.66666666666657</v>
      </c>
      <c r="E1797" s="14">
        <f>1399.1*(2/3*10)</f>
        <v>9327.3333333333321</v>
      </c>
      <c r="F1797" s="14">
        <f>44.1*(2/3*10)</f>
        <v>294</v>
      </c>
      <c r="G1797" s="14">
        <f>60.4*(2/3*10)</f>
        <v>402.66666666666663</v>
      </c>
      <c r="H1797" s="14">
        <f>17.6*(2/3*10)</f>
        <v>117.33333333333333</v>
      </c>
      <c r="I1797" s="14">
        <f>61.5*(2/3*10)</f>
        <v>409.99999999999994</v>
      </c>
      <c r="K1797">
        <v>1794</v>
      </c>
      <c r="L1797">
        <f t="shared" si="28"/>
        <v>2</v>
      </c>
    </row>
    <row r="1798" spans="1:12" ht="16.5" x14ac:dyDescent="0.2">
      <c r="A1798" s="4" t="s">
        <v>128</v>
      </c>
      <c r="B1798">
        <v>2011</v>
      </c>
      <c r="C1798" s="14">
        <f>209.8*(2/3*10)</f>
        <v>1398.6666666666665</v>
      </c>
      <c r="D1798" s="14">
        <f>69*(2/3*10)</f>
        <v>459.99999999999994</v>
      </c>
      <c r="E1798" s="14">
        <f>1398.2*(2/3*10)</f>
        <v>9321.3333333333321</v>
      </c>
      <c r="F1798" s="14">
        <f>44.1*(2/3*10)</f>
        <v>294</v>
      </c>
      <c r="G1798" s="14">
        <f>61.3*(2/3*10)</f>
        <v>408.66666666666663</v>
      </c>
      <c r="H1798" s="14">
        <f>18.2*(2/3*10)</f>
        <v>121.33333333333331</v>
      </c>
      <c r="I1798" s="14">
        <f>61.5*(2/3*10)</f>
        <v>409.99999999999994</v>
      </c>
      <c r="K1798" s="15">
        <v>1795</v>
      </c>
      <c r="L1798">
        <f t="shared" si="28"/>
        <v>3</v>
      </c>
    </row>
    <row r="1799" spans="1:12" ht="16.5" x14ac:dyDescent="0.2">
      <c r="A1799" s="4" t="s">
        <v>128</v>
      </c>
      <c r="B1799">
        <v>2012</v>
      </c>
      <c r="C1799" s="14">
        <f>208.6*(2/3*10)</f>
        <v>1390.6666666666665</v>
      </c>
      <c r="D1799" s="14">
        <f>68.9*(2/3*10)</f>
        <v>459.33333333333331</v>
      </c>
      <c r="E1799" s="14">
        <f>1397.2*(2/3*10)</f>
        <v>9314.6666666666661</v>
      </c>
      <c r="F1799" s="14">
        <f>43.6*(2/3*10)</f>
        <v>290.66666666666663</v>
      </c>
      <c r="G1799" s="14">
        <f>62*(2/3*10)</f>
        <v>413.33333333333331</v>
      </c>
      <c r="H1799" s="14">
        <f>18.8*(2/3*10)</f>
        <v>125.33333333333333</v>
      </c>
      <c r="I1799" s="14">
        <f>63*(2/3*10)</f>
        <v>419.99999999999994</v>
      </c>
      <c r="K1799">
        <v>1796</v>
      </c>
      <c r="L1799">
        <f t="shared" si="28"/>
        <v>4</v>
      </c>
    </row>
    <row r="1800" spans="1:12" ht="16.5" x14ac:dyDescent="0.2">
      <c r="A1800" s="4" t="s">
        <v>128</v>
      </c>
      <c r="B1800">
        <v>2013</v>
      </c>
      <c r="C1800" s="14">
        <f>208.5*(2/3*10)</f>
        <v>1389.9999999999998</v>
      </c>
      <c r="D1800" s="14">
        <f>68.8*(2/3*10)</f>
        <v>458.66666666666663</v>
      </c>
      <c r="E1800" s="14">
        <f>1396.1*(2/3*10)</f>
        <v>9307.3333333333321</v>
      </c>
      <c r="F1800" s="14">
        <f>43.3*(2/3*10)</f>
        <v>288.66666666666663</v>
      </c>
      <c r="G1800" s="14">
        <f>63.9*(2/3*10)</f>
        <v>425.99999999999994</v>
      </c>
      <c r="H1800" s="14">
        <f>18.8*(2/3*10)</f>
        <v>125.33333333333333</v>
      </c>
      <c r="I1800" s="14">
        <f>62.8*(2/3*10)</f>
        <v>418.66666666666663</v>
      </c>
      <c r="K1800">
        <v>1797</v>
      </c>
      <c r="L1800">
        <f t="shared" si="28"/>
        <v>5</v>
      </c>
    </row>
    <row r="1801" spans="1:12" ht="16.5" x14ac:dyDescent="0.2">
      <c r="A1801" s="4" t="s">
        <v>128</v>
      </c>
      <c r="B1801">
        <v>2014</v>
      </c>
      <c r="C1801" s="14">
        <f>208.2*(2/3*10)</f>
        <v>1387.9999999999998</v>
      </c>
      <c r="D1801" s="14">
        <f>68.7*(2/3*10)</f>
        <v>458</v>
      </c>
      <c r="E1801" s="14">
        <f>1395.5*(2/3*10)</f>
        <v>9303.3333333333321</v>
      </c>
      <c r="F1801" s="14">
        <f>43.2*(2/3*10)</f>
        <v>288</v>
      </c>
      <c r="G1801" s="14">
        <f>64.8*(2/3*10)</f>
        <v>431.99999999999994</v>
      </c>
      <c r="H1801" s="14">
        <f>19*(2/3*10)</f>
        <v>126.66666666666666</v>
      </c>
      <c r="I1801" s="14">
        <f>62.7*(2/3*10)</f>
        <v>418</v>
      </c>
      <c r="K1801" s="15">
        <v>1798</v>
      </c>
      <c r="L1801">
        <f t="shared" si="28"/>
        <v>6</v>
      </c>
    </row>
    <row r="1802" spans="1:12" ht="16.5" x14ac:dyDescent="0.2">
      <c r="A1802" s="4" t="s">
        <v>128</v>
      </c>
      <c r="B1802">
        <v>2015</v>
      </c>
      <c r="C1802" s="14">
        <f>207.9*(2/3*10)</f>
        <v>1386</v>
      </c>
      <c r="D1802" s="14">
        <f>68.5*(2/3*10)</f>
        <v>456.66666666666663</v>
      </c>
      <c r="E1802" s="14">
        <f>1394.9*(2/3*10)</f>
        <v>9299.3333333333339</v>
      </c>
      <c r="F1802" s="14">
        <f>43.1*(2/3*10)</f>
        <v>287.33333333333331</v>
      </c>
      <c r="G1802" s="14">
        <f>66.1*(2/3*10)</f>
        <v>440.66666666666657</v>
      </c>
      <c r="H1802" s="14">
        <f>19*(2/3*10)</f>
        <v>126.66666666666666</v>
      </c>
      <c r="I1802" s="14">
        <f>62.7*(2/3*10)</f>
        <v>418</v>
      </c>
      <c r="K1802">
        <v>1799</v>
      </c>
      <c r="L1802">
        <f t="shared" si="28"/>
        <v>7</v>
      </c>
    </row>
    <row r="1803" spans="1:12" ht="16.5" x14ac:dyDescent="0.2">
      <c r="A1803" s="4" t="s">
        <v>128</v>
      </c>
      <c r="B1803">
        <v>2016</v>
      </c>
      <c r="C1803" s="14">
        <f>207.6*(2/3*10)</f>
        <v>1383.9999999999998</v>
      </c>
      <c r="D1803" s="14">
        <f>68.5*(2/3*10)</f>
        <v>456.66666666666663</v>
      </c>
      <c r="E1803" s="14">
        <f>1394.2*(2/3*10)</f>
        <v>9294.6666666666661</v>
      </c>
      <c r="F1803" s="14">
        <f>43.1*(2/3*10)</f>
        <v>287.33333333333331</v>
      </c>
      <c r="G1803" s="14">
        <f>67.2*(2/3*10)</f>
        <v>448</v>
      </c>
      <c r="H1803" s="14">
        <f>19.1*(2/3*10)</f>
        <v>127.33333333333333</v>
      </c>
      <c r="I1803" s="14">
        <f>62.6*(2/3*10)</f>
        <v>417.33333333333331</v>
      </c>
      <c r="K1803" s="15">
        <v>1800</v>
      </c>
      <c r="L1803">
        <f t="shared" si="28"/>
        <v>0</v>
      </c>
    </row>
    <row r="1804" spans="1:12" ht="16.5" x14ac:dyDescent="0.2">
      <c r="A1804" s="4" t="s">
        <v>127</v>
      </c>
      <c r="B1804">
        <v>2009</v>
      </c>
      <c r="C1804" s="14">
        <f>188*(2/3*10)</f>
        <v>1253.3333333333333</v>
      </c>
      <c r="D1804" s="14">
        <f>10.3*(2/3*10)</f>
        <v>68.666666666666671</v>
      </c>
      <c r="E1804" s="14">
        <f>148.8*(2/3*10)</f>
        <v>992</v>
      </c>
      <c r="F1804" s="14">
        <f>12.6*(2/3*10)</f>
        <v>83.999999999999986</v>
      </c>
      <c r="G1804" s="14">
        <f>66.7*(2/3*10)</f>
        <v>444.66666666666663</v>
      </c>
      <c r="H1804" s="14">
        <f>11.5*(2/3*10)</f>
        <v>76.666666666666657</v>
      </c>
      <c r="I1804" s="14">
        <f>144.9*(2/3*10)</f>
        <v>966</v>
      </c>
      <c r="K1804">
        <v>1801</v>
      </c>
      <c r="L1804">
        <f t="shared" si="28"/>
        <v>1</v>
      </c>
    </row>
    <row r="1805" spans="1:12" ht="16.5" x14ac:dyDescent="0.2">
      <c r="A1805" s="4" t="s">
        <v>127</v>
      </c>
      <c r="B1805">
        <v>2010</v>
      </c>
      <c r="C1805" s="14">
        <f>187.5*(2/3*10)</f>
        <v>1250</v>
      </c>
      <c r="D1805" s="14">
        <f>10.3*(2/3*10)</f>
        <v>68.666666666666671</v>
      </c>
      <c r="E1805" s="14">
        <f>148.6*(2/3*10)</f>
        <v>990.66666666666652</v>
      </c>
      <c r="F1805" s="14">
        <f>12.6*(2/3*10)</f>
        <v>83.999999999999986</v>
      </c>
      <c r="G1805" s="14">
        <f>67.4*(2/3*10)</f>
        <v>449.33333333333331</v>
      </c>
      <c r="H1805" s="14">
        <f>11.6*(2/3*10)</f>
        <v>77.333333333333329</v>
      </c>
      <c r="I1805" s="14">
        <f>144.8*(2/3*10)</f>
        <v>965.33333333333337</v>
      </c>
      <c r="K1805">
        <v>1802</v>
      </c>
      <c r="L1805">
        <f t="shared" si="28"/>
        <v>2</v>
      </c>
    </row>
    <row r="1806" spans="1:12" ht="16.5" x14ac:dyDescent="0.2">
      <c r="A1806" s="4" t="s">
        <v>127</v>
      </c>
      <c r="B1806">
        <v>2011</v>
      </c>
      <c r="C1806" s="14">
        <f>187.1*(2/3*10)</f>
        <v>1247.3333333333333</v>
      </c>
      <c r="D1806" s="14">
        <f>10.3*(2/3*10)</f>
        <v>68.666666666666671</v>
      </c>
      <c r="E1806" s="14">
        <f>148.3*(2/3*10)</f>
        <v>988.66666666666663</v>
      </c>
      <c r="F1806" s="14">
        <f>12.6*(2/3*10)</f>
        <v>83.999999999999986</v>
      </c>
      <c r="G1806" s="14">
        <f>68.3*(2/3*10)</f>
        <v>455.33333333333337</v>
      </c>
      <c r="H1806" s="14">
        <f>11.7*(2/3*10)</f>
        <v>77.999999999999986</v>
      </c>
      <c r="I1806" s="14">
        <f>144.7*(2/3*10)</f>
        <v>964.66666666666652</v>
      </c>
      <c r="K1806" s="15">
        <v>1803</v>
      </c>
      <c r="L1806">
        <f t="shared" si="28"/>
        <v>3</v>
      </c>
    </row>
    <row r="1807" spans="1:12" ht="16.5" x14ac:dyDescent="0.2">
      <c r="A1807" s="4" t="s">
        <v>127</v>
      </c>
      <c r="B1807">
        <v>2012</v>
      </c>
      <c r="C1807" s="14">
        <f>186.7*(2/3*10)</f>
        <v>1244.6666666666665</v>
      </c>
      <c r="D1807" s="14">
        <f>10.2*(2/3*10)</f>
        <v>67.999999999999986</v>
      </c>
      <c r="E1807" s="14">
        <f>147.9*(2/3*10)</f>
        <v>986</v>
      </c>
      <c r="F1807" s="14">
        <f>12.5*(2/3*10)</f>
        <v>83.333333333333329</v>
      </c>
      <c r="G1807" s="14">
        <f>68.8*(2/3*10)</f>
        <v>458.66666666666663</v>
      </c>
      <c r="H1807" s="14">
        <f>12.4*(2/3*10)</f>
        <v>82.666666666666657</v>
      </c>
      <c r="I1807" s="14">
        <f>144.5*(2/3*10)</f>
        <v>963.33333333333326</v>
      </c>
      <c r="K1807">
        <v>1804</v>
      </c>
      <c r="L1807">
        <f t="shared" si="28"/>
        <v>4</v>
      </c>
    </row>
    <row r="1808" spans="1:12" ht="16.5" x14ac:dyDescent="0.2">
      <c r="A1808" s="4" t="s">
        <v>127</v>
      </c>
      <c r="B1808">
        <v>2013</v>
      </c>
      <c r="C1808" s="14">
        <f>187.2*(2/3*10)</f>
        <v>1247.9999999999998</v>
      </c>
      <c r="D1808" s="14">
        <f>10.2*(2/3*10)</f>
        <v>67.999999999999986</v>
      </c>
      <c r="E1808" s="14">
        <f>147.2*(2/3*10)</f>
        <v>981.33333333333314</v>
      </c>
      <c r="F1808" s="14">
        <f>12.1*(2/3*10)</f>
        <v>80.666666666666657</v>
      </c>
      <c r="G1808" s="14">
        <f>69.4*(2/3*10)</f>
        <v>462.66666666666669</v>
      </c>
      <c r="H1808" s="14">
        <f>12.4*(2/3*10)</f>
        <v>82.666666666666657</v>
      </c>
      <c r="I1808" s="14">
        <f>144.3*(2/3*10)</f>
        <v>962</v>
      </c>
      <c r="K1808" s="15">
        <v>1805</v>
      </c>
      <c r="L1808">
        <f t="shared" si="28"/>
        <v>5</v>
      </c>
    </row>
    <row r="1809" spans="1:12" ht="16.5" x14ac:dyDescent="0.2">
      <c r="A1809" s="4" t="s">
        <v>127</v>
      </c>
      <c r="B1809">
        <v>2014</v>
      </c>
      <c r="C1809" s="14">
        <f>186.8*(2/3*10)</f>
        <v>1245.3333333333333</v>
      </c>
      <c r="D1809" s="14">
        <f>10.1*(2/3*10)</f>
        <v>67.333333333333329</v>
      </c>
      <c r="E1809" s="14">
        <f>146.9*(2/3*10)</f>
        <v>979.33333333333326</v>
      </c>
      <c r="F1809" s="14">
        <f>12.1*(2/3*10)</f>
        <v>80.666666666666657</v>
      </c>
      <c r="G1809" s="14">
        <f>70.3*(2/3*10)</f>
        <v>468.66666666666669</v>
      </c>
      <c r="H1809" s="14">
        <f>12.6*(2/3*10)</f>
        <v>83.999999999999986</v>
      </c>
      <c r="I1809" s="14">
        <f>144*(2/3*10)</f>
        <v>959.99999999999989</v>
      </c>
      <c r="K1809">
        <v>1806</v>
      </c>
      <c r="L1809">
        <f t="shared" si="28"/>
        <v>6</v>
      </c>
    </row>
    <row r="1810" spans="1:12" ht="16.5" x14ac:dyDescent="0.2">
      <c r="A1810" s="4" t="s">
        <v>127</v>
      </c>
      <c r="B1810">
        <v>2015</v>
      </c>
      <c r="C1810" s="14">
        <f>186.3*(2/3*10)</f>
        <v>1242</v>
      </c>
      <c r="D1810" s="14">
        <f>10*(2/3*10)</f>
        <v>66.666666666666657</v>
      </c>
      <c r="E1810" s="14">
        <f>146.6*(2/3*10)</f>
        <v>977.33333333333326</v>
      </c>
      <c r="F1810" s="14">
        <f>12.1*(2/3*10)</f>
        <v>80.666666666666657</v>
      </c>
      <c r="G1810" s="14">
        <f>71*(2/3*10)</f>
        <v>473.33333333333331</v>
      </c>
      <c r="H1810" s="14">
        <f>13*(2/3*10)</f>
        <v>86.666666666666657</v>
      </c>
      <c r="I1810" s="14">
        <f>143.9*(2/3*10)</f>
        <v>959.33333333333326</v>
      </c>
      <c r="K1810">
        <v>1807</v>
      </c>
      <c r="L1810">
        <f t="shared" si="28"/>
        <v>7</v>
      </c>
    </row>
    <row r="1811" spans="1:12" ht="16.5" x14ac:dyDescent="0.2">
      <c r="A1811" s="4" t="s">
        <v>127</v>
      </c>
      <c r="B1811">
        <v>2016</v>
      </c>
      <c r="C1811" s="14">
        <f>186.1*(2/3*10)</f>
        <v>1240.6666666666665</v>
      </c>
      <c r="D1811" s="14">
        <f>10*(2/3*10)</f>
        <v>66.666666666666657</v>
      </c>
      <c r="E1811" s="14">
        <f>146.4*(2/3*10)</f>
        <v>976</v>
      </c>
      <c r="F1811" s="14">
        <f>12.1*(2/3*10)</f>
        <v>80.666666666666657</v>
      </c>
      <c r="G1811" s="14">
        <f>72*(2/3*10)</f>
        <v>479.99999999999994</v>
      </c>
      <c r="H1811" s="14">
        <f>13.1*(2/3*10)</f>
        <v>87.333333333333329</v>
      </c>
      <c r="I1811" s="14">
        <f>143.3*(2/3*10)</f>
        <v>955.33333333333337</v>
      </c>
      <c r="K1811" s="15">
        <v>1808</v>
      </c>
      <c r="L1811">
        <f t="shared" si="28"/>
        <v>0</v>
      </c>
    </row>
    <row r="1812" spans="1:12" ht="16.5" x14ac:dyDescent="0.2">
      <c r="A1812" s="4" t="s">
        <v>126</v>
      </c>
      <c r="B1812">
        <v>2009</v>
      </c>
      <c r="C1812" s="14">
        <f>137.7*(2/3*10)</f>
        <v>917.99999999999989</v>
      </c>
      <c r="D1812" s="14">
        <f>22.8*(2/3*10)</f>
        <v>152</v>
      </c>
      <c r="E1812" s="14">
        <f>595.2*(2/3*10)</f>
        <v>3968</v>
      </c>
      <c r="F1812" s="14">
        <f>47*(2/3*10)</f>
        <v>313.33333333333331</v>
      </c>
      <c r="G1812" s="14">
        <f>30.4*(2/3*10)</f>
        <v>202.66666666666663</v>
      </c>
      <c r="H1812" s="14">
        <f>10.4*(2/3*10)</f>
        <v>69.333333333333329</v>
      </c>
      <c r="I1812" s="14">
        <f>82*(2/3*10)</f>
        <v>546.66666666666663</v>
      </c>
      <c r="K1812">
        <v>1809</v>
      </c>
      <c r="L1812">
        <f t="shared" si="28"/>
        <v>1</v>
      </c>
    </row>
    <row r="1813" spans="1:12" ht="16.5" x14ac:dyDescent="0.2">
      <c r="A1813" s="4" t="s">
        <v>126</v>
      </c>
      <c r="B1813">
        <v>2010</v>
      </c>
      <c r="C1813" s="14">
        <f>137.5*(2/3*10)</f>
        <v>916.66666666666663</v>
      </c>
      <c r="D1813" s="14">
        <f>22.7*(2/3*10)</f>
        <v>151.33333333333331</v>
      </c>
      <c r="E1813" s="14">
        <f>594.6*(2/3*10)</f>
        <v>3964</v>
      </c>
      <c r="F1813" s="14">
        <f>47*(2/3*10)</f>
        <v>313.33333333333331</v>
      </c>
      <c r="G1813" s="14">
        <f>31.4*(2/3*10)</f>
        <v>209.33333333333331</v>
      </c>
      <c r="H1813" s="14">
        <f>10.6*(2/3*10)</f>
        <v>70.666666666666657</v>
      </c>
      <c r="I1813" s="14">
        <f>81.9*(2/3*10)</f>
        <v>546</v>
      </c>
      <c r="K1813" s="15">
        <v>1810</v>
      </c>
      <c r="L1813">
        <f t="shared" si="28"/>
        <v>2</v>
      </c>
    </row>
    <row r="1814" spans="1:12" ht="16.5" x14ac:dyDescent="0.2">
      <c r="A1814" s="4" t="s">
        <v>126</v>
      </c>
      <c r="B1814">
        <v>2011</v>
      </c>
      <c r="C1814" s="14">
        <f>137.5*(2/3*10)</f>
        <v>916.66666666666663</v>
      </c>
      <c r="D1814" s="14">
        <f>22.7*(2/3*10)</f>
        <v>151.33333333333331</v>
      </c>
      <c r="E1814" s="14">
        <f>593.9*(2/3*10)</f>
        <v>3959.333333333333</v>
      </c>
      <c r="F1814" s="14">
        <f>46.8*(2/3*10)</f>
        <v>311.99999999999994</v>
      </c>
      <c r="G1814" s="14">
        <f>32.7*(2/3*10)</f>
        <v>218</v>
      </c>
      <c r="H1814" s="14">
        <f>10.8*(2/3*10)</f>
        <v>72</v>
      </c>
      <c r="I1814" s="14">
        <f>82.4*(2/3*10)</f>
        <v>549.33333333333337</v>
      </c>
      <c r="K1814">
        <v>1811</v>
      </c>
      <c r="L1814">
        <f t="shared" si="28"/>
        <v>3</v>
      </c>
    </row>
    <row r="1815" spans="1:12" ht="16.5" x14ac:dyDescent="0.2">
      <c r="A1815" s="4" t="s">
        <v>126</v>
      </c>
      <c r="B1815">
        <v>2012</v>
      </c>
      <c r="C1815" s="14">
        <f>137.3*(2/3*10)</f>
        <v>915.33333333333337</v>
      </c>
      <c r="D1815" s="14">
        <f>22.6*(2/3*10)</f>
        <v>150.66666666666666</v>
      </c>
      <c r="E1815" s="14">
        <f>592.8*(2/3*10)</f>
        <v>3951.9999999999995</v>
      </c>
      <c r="F1815" s="14">
        <f>46.6*(2/3*10)</f>
        <v>310.66666666666663</v>
      </c>
      <c r="G1815" s="14">
        <f>33.5*(2/3*10)</f>
        <v>223.33333333333331</v>
      </c>
      <c r="H1815" s="14">
        <f>11.7*(2/3*10)</f>
        <v>77.999999999999986</v>
      </c>
      <c r="I1815" s="14">
        <f>82.3*(2/3*10)</f>
        <v>548.66666666666663</v>
      </c>
      <c r="K1815">
        <v>1812</v>
      </c>
      <c r="L1815">
        <f t="shared" si="28"/>
        <v>4</v>
      </c>
    </row>
    <row r="1816" spans="1:12" ht="16.5" x14ac:dyDescent="0.2">
      <c r="A1816" s="4" t="s">
        <v>126</v>
      </c>
      <c r="B1816">
        <v>2013</v>
      </c>
      <c r="C1816" s="14">
        <f>137.6*(2/3*10)</f>
        <v>917.33333333333326</v>
      </c>
      <c r="D1816" s="14">
        <f>22.4*(2/3*10)</f>
        <v>149.33333333333331</v>
      </c>
      <c r="E1816" s="14">
        <f>592*(2/3*10)</f>
        <v>3946.6666666666665</v>
      </c>
      <c r="F1816" s="14">
        <f>46.5*(2/3*10)</f>
        <v>310</v>
      </c>
      <c r="G1816" s="14">
        <f>34.4*(2/3*10)</f>
        <v>229.33333333333331</v>
      </c>
      <c r="H1816" s="14">
        <f>11.7*(2/3*10)</f>
        <v>77.999999999999986</v>
      </c>
      <c r="I1816" s="14">
        <f>82*(2/3*10)</f>
        <v>546.66666666666663</v>
      </c>
      <c r="K1816" s="15">
        <v>1813</v>
      </c>
      <c r="L1816">
        <f t="shared" si="28"/>
        <v>5</v>
      </c>
    </row>
    <row r="1817" spans="1:12" ht="16.5" x14ac:dyDescent="0.2">
      <c r="A1817" s="4" t="s">
        <v>126</v>
      </c>
      <c r="B1817">
        <v>2014</v>
      </c>
      <c r="C1817" s="14">
        <f>137.4*(2/3*10)</f>
        <v>916</v>
      </c>
      <c r="D1817" s="14">
        <f>22.4*(2/3*10)</f>
        <v>149.33333333333331</v>
      </c>
      <c r="E1817" s="14">
        <f>591.5*(2/3*10)</f>
        <v>3943.333333333333</v>
      </c>
      <c r="F1817" s="14">
        <f>46.5*(2/3*10)</f>
        <v>310</v>
      </c>
      <c r="G1817" s="14">
        <f>35.5*(2/3*10)</f>
        <v>236.66666666666666</v>
      </c>
      <c r="H1817" s="14">
        <f>11.7*(2/3*10)</f>
        <v>77.999999999999986</v>
      </c>
      <c r="I1817" s="14">
        <f>81.8*(2/3*10)</f>
        <v>545.33333333333326</v>
      </c>
      <c r="K1817">
        <v>1814</v>
      </c>
      <c r="L1817">
        <f t="shared" si="28"/>
        <v>6</v>
      </c>
    </row>
    <row r="1818" spans="1:12" ht="16.5" x14ac:dyDescent="0.2">
      <c r="A1818" s="4" t="s">
        <v>126</v>
      </c>
      <c r="B1818">
        <v>2015</v>
      </c>
      <c r="C1818" s="14">
        <f>137*(2/3*10)</f>
        <v>913.33333333333326</v>
      </c>
      <c r="D1818" s="14">
        <f>22.2*(2/3*10)</f>
        <v>147.99999999999997</v>
      </c>
      <c r="E1818" s="14">
        <f>590.4*(2/3*10)</f>
        <v>3935.9999999999995</v>
      </c>
      <c r="F1818" s="14">
        <f>46.4*(2/3*10)</f>
        <v>309.33333333333331</v>
      </c>
      <c r="G1818" s="14">
        <f>37.5*(2/3*10)</f>
        <v>249.99999999999997</v>
      </c>
      <c r="H1818" s="14">
        <f>11.9*(2/3*10)</f>
        <v>79.333333333333329</v>
      </c>
      <c r="I1818" s="14">
        <f>81.4*(2/3*10)</f>
        <v>542.66666666666663</v>
      </c>
      <c r="K1818" s="15">
        <v>1815</v>
      </c>
      <c r="L1818">
        <f t="shared" si="28"/>
        <v>7</v>
      </c>
    </row>
    <row r="1819" spans="1:12" ht="16.5" x14ac:dyDescent="0.2">
      <c r="A1819" s="4" t="s">
        <v>126</v>
      </c>
      <c r="B1819">
        <v>2016</v>
      </c>
      <c r="C1819" s="14">
        <f>136.8*(2/3*10)</f>
        <v>912</v>
      </c>
      <c r="D1819" s="14">
        <f>22*(2/3*10)</f>
        <v>146.66666666666666</v>
      </c>
      <c r="E1819" s="14">
        <f>589.9*(2/3*10)</f>
        <v>3932.6666666666661</v>
      </c>
      <c r="F1819" s="14">
        <f>46.4*(2/3*10)</f>
        <v>309.33333333333331</v>
      </c>
      <c r="G1819" s="14">
        <f>38.3*(2/3*10)</f>
        <v>255.33333333333329</v>
      </c>
      <c r="H1819" s="14">
        <f>12*(2/3*10)</f>
        <v>80</v>
      </c>
      <c r="I1819" s="14">
        <f>81.3*(2/3*10)</f>
        <v>541.99999999999989</v>
      </c>
      <c r="K1819">
        <v>1816</v>
      </c>
      <c r="L1819">
        <f t="shared" si="28"/>
        <v>0</v>
      </c>
    </row>
    <row r="1820" spans="1:12" ht="16.5" x14ac:dyDescent="0.2">
      <c r="A1820" s="4" t="s">
        <v>125</v>
      </c>
      <c r="B1820">
        <v>2009</v>
      </c>
      <c r="C1820" s="14">
        <f>319.4*(2/3*10)</f>
        <v>2129.333333333333</v>
      </c>
      <c r="D1820" s="14">
        <f>188.9*(2/3*10)</f>
        <v>1259.3333333333333</v>
      </c>
      <c r="E1820" s="14">
        <f>771.4*(2/3*10)</f>
        <v>5142.6666666666661</v>
      </c>
      <c r="F1820" s="14">
        <f>123.5*(2/3*10)</f>
        <v>823.33333333333326</v>
      </c>
      <c r="G1820" s="14">
        <f>78.1*(2/3*10)</f>
        <v>520.66666666666663</v>
      </c>
      <c r="H1820" s="14">
        <f>23.2*(2/3*10)</f>
        <v>154.66666666666666</v>
      </c>
      <c r="I1820" s="14">
        <f>101.1*(2/3*10)</f>
        <v>673.99999999999989</v>
      </c>
      <c r="K1820">
        <v>1817</v>
      </c>
      <c r="L1820">
        <f t="shared" si="28"/>
        <v>1</v>
      </c>
    </row>
    <row r="1821" spans="1:12" ht="16.5" x14ac:dyDescent="0.2">
      <c r="A1821" s="4" t="s">
        <v>125</v>
      </c>
      <c r="B1821">
        <v>2010</v>
      </c>
      <c r="C1821" s="14">
        <f>318.6*(2/3*10)</f>
        <v>2124</v>
      </c>
      <c r="D1821" s="14">
        <f>188.4*(2/3*10)</f>
        <v>1256</v>
      </c>
      <c r="E1821" s="14">
        <f>770.2*(2/3*10)</f>
        <v>5134.6666666666661</v>
      </c>
      <c r="F1821" s="14">
        <f>123.1*(2/3*10)</f>
        <v>820.66666666666652</v>
      </c>
      <c r="G1821" s="14">
        <f>79.9*(2/3*10)</f>
        <v>532.66666666666663</v>
      </c>
      <c r="H1821" s="14">
        <f>24.8*(2/3*10)</f>
        <v>165.33333333333331</v>
      </c>
      <c r="I1821" s="14">
        <f>100.7*(2/3*10)</f>
        <v>671.33333333333326</v>
      </c>
      <c r="K1821" s="15">
        <v>1818</v>
      </c>
      <c r="L1821">
        <f t="shared" si="28"/>
        <v>2</v>
      </c>
    </row>
    <row r="1822" spans="1:12" ht="16.5" x14ac:dyDescent="0.2">
      <c r="A1822" s="4" t="s">
        <v>125</v>
      </c>
      <c r="B1822">
        <v>2011</v>
      </c>
      <c r="C1822" s="14">
        <f>318.3*(2/3*10)</f>
        <v>2122</v>
      </c>
      <c r="D1822" s="14">
        <f>188.3*(2/3*10)</f>
        <v>1255.3333333333333</v>
      </c>
      <c r="E1822" s="14">
        <f>769.7*(2/3*10)</f>
        <v>5131.333333333333</v>
      </c>
      <c r="F1822" s="14">
        <f>122.8*(2/3*10)</f>
        <v>818.66666666666663</v>
      </c>
      <c r="G1822" s="14">
        <f>80.7*(2/3*10)</f>
        <v>538</v>
      </c>
      <c r="H1822" s="14">
        <f>27.2*(2/3*10)</f>
        <v>181.33333333333331</v>
      </c>
      <c r="I1822" s="14">
        <f>101.2*(2/3*10)</f>
        <v>674.66666666666663</v>
      </c>
      <c r="K1822">
        <v>1819</v>
      </c>
      <c r="L1822">
        <f t="shared" si="28"/>
        <v>3</v>
      </c>
    </row>
    <row r="1823" spans="1:12" ht="16.5" x14ac:dyDescent="0.2">
      <c r="A1823" s="4" t="s">
        <v>125</v>
      </c>
      <c r="B1823">
        <v>2012</v>
      </c>
      <c r="C1823" s="14">
        <f>318.2*(2/3*10)</f>
        <v>2121.333333333333</v>
      </c>
      <c r="D1823" s="14">
        <f>188*(2/3*10)</f>
        <v>1253.3333333333333</v>
      </c>
      <c r="E1823" s="14">
        <f>769*(2/3*10)</f>
        <v>5126.6666666666661</v>
      </c>
      <c r="F1823" s="14">
        <f>122.4*(2/3*10)</f>
        <v>816</v>
      </c>
      <c r="G1823" s="14">
        <f>82.1*(2/3*10)</f>
        <v>547.33333333333337</v>
      </c>
      <c r="H1823" s="14">
        <f>27.5*(2/3*10)</f>
        <v>183.33333333333331</v>
      </c>
      <c r="I1823" s="14">
        <f>101.1*(2/3*10)</f>
        <v>673.99999999999989</v>
      </c>
      <c r="K1823" s="15">
        <v>1820</v>
      </c>
      <c r="L1823">
        <f t="shared" si="28"/>
        <v>4</v>
      </c>
    </row>
    <row r="1824" spans="1:12" ht="16.5" x14ac:dyDescent="0.2">
      <c r="A1824" s="4" t="s">
        <v>125</v>
      </c>
      <c r="B1824">
        <v>2013</v>
      </c>
      <c r="C1824" s="14">
        <f>319.7*(2/3*10)</f>
        <v>2131.333333333333</v>
      </c>
      <c r="D1824" s="14">
        <f>187.2*(2/3*10)</f>
        <v>1247.9999999999998</v>
      </c>
      <c r="E1824" s="14">
        <f>768.1*(2/3*10)</f>
        <v>5120.6666666666661</v>
      </c>
      <c r="F1824" s="14">
        <f>121.4*(2/3*10)</f>
        <v>809.33333333333326</v>
      </c>
      <c r="G1824" s="14">
        <f>83.5*(2/3*10)</f>
        <v>556.66666666666663</v>
      </c>
      <c r="H1824" s="14">
        <f>27.6*(2/3*10)</f>
        <v>184</v>
      </c>
      <c r="I1824" s="14">
        <f>100.5*(2/3*10)</f>
        <v>669.99999999999989</v>
      </c>
      <c r="K1824">
        <v>1821</v>
      </c>
      <c r="L1824">
        <f t="shared" si="28"/>
        <v>5</v>
      </c>
    </row>
    <row r="1825" spans="1:12" ht="16.5" x14ac:dyDescent="0.2">
      <c r="A1825" s="4" t="s">
        <v>125</v>
      </c>
      <c r="B1825">
        <v>2014</v>
      </c>
      <c r="C1825" s="14">
        <f>319*(2/3*10)</f>
        <v>2126.6666666666665</v>
      </c>
      <c r="D1825" s="14">
        <f>186.9*(2/3*10)</f>
        <v>1246</v>
      </c>
      <c r="E1825" s="14">
        <f>767*(2/3*10)</f>
        <v>5113.333333333333</v>
      </c>
      <c r="F1825" s="14">
        <f>121.1*(2/3*10)</f>
        <v>807.33333333333326</v>
      </c>
      <c r="G1825" s="14">
        <f>85.1*(2/3*10)</f>
        <v>567.33333333333326</v>
      </c>
      <c r="H1825" s="14">
        <f>28.8*(2/3*10)</f>
        <v>192</v>
      </c>
      <c r="I1825" s="14">
        <f>100*(2/3*10)</f>
        <v>666.66666666666663</v>
      </c>
      <c r="K1825">
        <v>1822</v>
      </c>
      <c r="L1825">
        <f t="shared" si="28"/>
        <v>6</v>
      </c>
    </row>
    <row r="1826" spans="1:12" ht="16.5" x14ac:dyDescent="0.2">
      <c r="A1826" s="4" t="s">
        <v>125</v>
      </c>
      <c r="B1826">
        <v>2015</v>
      </c>
      <c r="C1826" s="14">
        <f>318.6*(2/3*10)</f>
        <v>2124</v>
      </c>
      <c r="D1826" s="14">
        <f>186.6*(2/3*10)</f>
        <v>1243.9999999999998</v>
      </c>
      <c r="E1826" s="14">
        <f>766.4*(2/3*10)</f>
        <v>5109.333333333333</v>
      </c>
      <c r="F1826" s="14">
        <f>120.8*(2/3*10)</f>
        <v>805.33333333333326</v>
      </c>
      <c r="G1826" s="14">
        <f>86.8*(2/3*10)</f>
        <v>578.66666666666663</v>
      </c>
      <c r="H1826" s="14">
        <f>28.9*(2/3*10)</f>
        <v>192.66666666666663</v>
      </c>
      <c r="I1826" s="14">
        <f>99.7*(2/3*10)</f>
        <v>664.66666666666663</v>
      </c>
      <c r="K1826" s="15">
        <v>1823</v>
      </c>
      <c r="L1826">
        <f t="shared" si="28"/>
        <v>7</v>
      </c>
    </row>
    <row r="1827" spans="1:12" ht="16.5" x14ac:dyDescent="0.2">
      <c r="A1827" s="4" t="s">
        <v>125</v>
      </c>
      <c r="B1827">
        <v>2016</v>
      </c>
      <c r="C1827" s="14">
        <f>318.1*(2/3*10)</f>
        <v>2120.6666666666665</v>
      </c>
      <c r="D1827" s="14">
        <f>186.5*(2/3*10)</f>
        <v>1243.3333333333333</v>
      </c>
      <c r="E1827" s="14">
        <f>765.7*(2/3*10)</f>
        <v>5104.666666666667</v>
      </c>
      <c r="F1827" s="14">
        <f>120.6*(2/3*10)</f>
        <v>803.99999999999989</v>
      </c>
      <c r="G1827" s="14">
        <f>88.3*(2/3*10)</f>
        <v>588.66666666666663</v>
      </c>
      <c r="H1827" s="14">
        <f>29.4*(2/3*10)</f>
        <v>195.99999999999997</v>
      </c>
      <c r="I1827" s="14">
        <f>99.3*(2/3*10)</f>
        <v>661.99999999999989</v>
      </c>
      <c r="K1827">
        <v>1824</v>
      </c>
      <c r="L1827">
        <f t="shared" si="28"/>
        <v>0</v>
      </c>
    </row>
    <row r="1828" spans="1:12" ht="16.5" x14ac:dyDescent="0.2">
      <c r="A1828" s="4" t="s">
        <v>124</v>
      </c>
      <c r="B1828">
        <v>2009</v>
      </c>
      <c r="C1828" s="14">
        <f>485.8*(2/3*10)</f>
        <v>3238.6666666666665</v>
      </c>
      <c r="D1828" s="14">
        <f>80.1*(2/3*10)</f>
        <v>533.99999999999989</v>
      </c>
      <c r="E1828" s="14">
        <f>702*(2/3*10)</f>
        <v>4680</v>
      </c>
      <c r="F1828" s="14">
        <f>53.7*(2/3*10)</f>
        <v>358</v>
      </c>
      <c r="G1828" s="14">
        <f>110.2*(2/3*10)</f>
        <v>734.66666666666663</v>
      </c>
      <c r="H1828" s="14">
        <f>18.4*(2/3*10)</f>
        <v>122.66666666666664</v>
      </c>
      <c r="I1828" s="14">
        <f>87.5*(2/3*10)</f>
        <v>583.33333333333326</v>
      </c>
      <c r="K1828" s="15">
        <v>1825</v>
      </c>
      <c r="L1828">
        <f t="shared" si="28"/>
        <v>1</v>
      </c>
    </row>
    <row r="1829" spans="1:12" ht="16.5" x14ac:dyDescent="0.2">
      <c r="A1829" s="4" t="s">
        <v>124</v>
      </c>
      <c r="B1829">
        <v>2010</v>
      </c>
      <c r="C1829" s="14">
        <f>485.3*(2/3*10)</f>
        <v>3235.333333333333</v>
      </c>
      <c r="D1829" s="14">
        <f>80*(2/3*10)</f>
        <v>533.33333333333326</v>
      </c>
      <c r="E1829" s="14">
        <f>701.7*(2/3*10)</f>
        <v>4678</v>
      </c>
      <c r="F1829" s="14">
        <f>53.3*(2/3*10)</f>
        <v>355.33333333333326</v>
      </c>
      <c r="G1829" s="14">
        <f>110.8*(2/3*10)</f>
        <v>738.66666666666663</v>
      </c>
      <c r="H1829" s="14">
        <f>19.3*(2/3*10)</f>
        <v>128.66666666666666</v>
      </c>
      <c r="I1829" s="14">
        <f>87.4*(2/3*10)</f>
        <v>582.66666666666663</v>
      </c>
      <c r="K1829">
        <v>1826</v>
      </c>
      <c r="L1829">
        <f t="shared" si="28"/>
        <v>2</v>
      </c>
    </row>
    <row r="1830" spans="1:12" ht="16.5" x14ac:dyDescent="0.2">
      <c r="A1830" s="4" t="s">
        <v>124</v>
      </c>
      <c r="B1830">
        <v>2011</v>
      </c>
      <c r="C1830" s="14">
        <f>484.5*(2/3*10)</f>
        <v>3229.9999999999995</v>
      </c>
      <c r="D1830" s="14">
        <f>79.9*(2/3*10)</f>
        <v>532.66666666666663</v>
      </c>
      <c r="E1830" s="14">
        <f>701*(2/3*10)</f>
        <v>4673.333333333333</v>
      </c>
      <c r="F1830" s="14">
        <f>53.1*(2/3*10)</f>
        <v>354</v>
      </c>
      <c r="G1830" s="14">
        <f>111.3*(2/3*10)</f>
        <v>741.99999999999989</v>
      </c>
      <c r="H1830" s="14">
        <f>20.6*(2/3*10)</f>
        <v>137.33333333333334</v>
      </c>
      <c r="I1830" s="14">
        <f>87.3*(2/3*10)</f>
        <v>581.99999999999989</v>
      </c>
      <c r="K1830">
        <v>1827</v>
      </c>
      <c r="L1830">
        <f t="shared" si="28"/>
        <v>3</v>
      </c>
    </row>
    <row r="1831" spans="1:12" ht="16.5" x14ac:dyDescent="0.2">
      <c r="A1831" s="4" t="s">
        <v>124</v>
      </c>
      <c r="B1831">
        <v>2012</v>
      </c>
      <c r="C1831" s="14">
        <f>483.9*(2/3*10)</f>
        <v>3225.9999999999995</v>
      </c>
      <c r="D1831" s="14">
        <f>79.8*(2/3*10)</f>
        <v>531.99999999999989</v>
      </c>
      <c r="E1831" s="14">
        <f>700.8*(2/3*10)</f>
        <v>4671.9999999999991</v>
      </c>
      <c r="F1831" s="14">
        <f>53*(2/3*10)</f>
        <v>353.33333333333331</v>
      </c>
      <c r="G1831" s="14">
        <f>112.1*(2/3*10)</f>
        <v>747.33333333333326</v>
      </c>
      <c r="H1831" s="14">
        <f>20.9*(2/3*10)</f>
        <v>139.33333333333331</v>
      </c>
      <c r="I1831" s="14">
        <f>87.2*(2/3*10)</f>
        <v>581.33333333333326</v>
      </c>
      <c r="K1831" s="15">
        <v>1828</v>
      </c>
      <c r="L1831">
        <f t="shared" si="28"/>
        <v>4</v>
      </c>
    </row>
    <row r="1832" spans="1:12" ht="16.5" x14ac:dyDescent="0.2">
      <c r="A1832" s="4" t="s">
        <v>124</v>
      </c>
      <c r="B1832">
        <v>2013</v>
      </c>
      <c r="C1832" s="14">
        <f>484.3*(2/3*10)</f>
        <v>3228.6666666666665</v>
      </c>
      <c r="D1832" s="14">
        <f>79.4*(2/3*10)</f>
        <v>529.33333333333337</v>
      </c>
      <c r="E1832" s="14">
        <f>700*(2/3*10)</f>
        <v>4666.6666666666661</v>
      </c>
      <c r="F1832" s="14">
        <f>52.7*(2/3*10)</f>
        <v>351.33333333333331</v>
      </c>
      <c r="G1832" s="14">
        <f>113.1*(2/3*10)</f>
        <v>753.99999999999989</v>
      </c>
      <c r="H1832" s="14">
        <f>21.1*(2/3*10)</f>
        <v>140.66666666666666</v>
      </c>
      <c r="I1832" s="14">
        <f>87*(2/3*10)</f>
        <v>580</v>
      </c>
      <c r="K1832">
        <v>1829</v>
      </c>
      <c r="L1832">
        <f t="shared" si="28"/>
        <v>5</v>
      </c>
    </row>
    <row r="1833" spans="1:12" ht="16.5" x14ac:dyDescent="0.2">
      <c r="A1833" s="4" t="s">
        <v>124</v>
      </c>
      <c r="B1833">
        <v>2014</v>
      </c>
      <c r="C1833" s="14">
        <f>483.1*(2/3*10)</f>
        <v>3220.6666666666665</v>
      </c>
      <c r="D1833" s="14">
        <f>79.2*(2/3*10)</f>
        <v>528</v>
      </c>
      <c r="E1833" s="14">
        <f>699.7*(2/3*10)</f>
        <v>4664.666666666667</v>
      </c>
      <c r="F1833" s="14">
        <f>52.6*(2/3*10)</f>
        <v>350.66666666666663</v>
      </c>
      <c r="G1833" s="14">
        <f>114.8*(2/3*10)</f>
        <v>765.33333333333326</v>
      </c>
      <c r="H1833" s="14">
        <f>21.4*(2/3*10)</f>
        <v>142.66666666666666</v>
      </c>
      <c r="I1833" s="14">
        <f>86.9*(2/3*10)</f>
        <v>579.33333333333337</v>
      </c>
      <c r="K1833" s="15">
        <v>1830</v>
      </c>
      <c r="L1833">
        <f t="shared" si="28"/>
        <v>6</v>
      </c>
    </row>
    <row r="1834" spans="1:12" ht="16.5" x14ac:dyDescent="0.2">
      <c r="A1834" s="4" t="s">
        <v>124</v>
      </c>
      <c r="B1834">
        <v>2015</v>
      </c>
      <c r="C1834" s="14">
        <f>481.6*(2/3*10)</f>
        <v>3210.6666666666665</v>
      </c>
      <c r="D1834" s="14">
        <f>79.1*(2/3*10)</f>
        <v>527.33333333333326</v>
      </c>
      <c r="E1834" s="14">
        <f>699.3*(2/3*10)</f>
        <v>4661.9999999999991</v>
      </c>
      <c r="F1834" s="14">
        <f>52.4*(2/3*10)</f>
        <v>349.33333333333331</v>
      </c>
      <c r="G1834" s="14">
        <f>116.1*(2/3*10)</f>
        <v>773.99999999999989</v>
      </c>
      <c r="H1834" s="14">
        <f>21.7*(2/3*10)</f>
        <v>144.66666666666666</v>
      </c>
      <c r="I1834" s="14">
        <f>87.5*(2/3*10)</f>
        <v>583.33333333333326</v>
      </c>
      <c r="K1834">
        <v>1831</v>
      </c>
      <c r="L1834">
        <f t="shared" si="28"/>
        <v>7</v>
      </c>
    </row>
    <row r="1835" spans="1:12" ht="16.5" x14ac:dyDescent="0.2">
      <c r="A1835" s="4" t="s">
        <v>124</v>
      </c>
      <c r="B1835">
        <v>2016</v>
      </c>
      <c r="C1835" s="14">
        <f>481*(2/3*10)</f>
        <v>3206.6666666666665</v>
      </c>
      <c r="D1835" s="14">
        <f>78.9*(2/3*10)</f>
        <v>526</v>
      </c>
      <c r="E1835" s="14">
        <f>699*(2/3*10)</f>
        <v>4660</v>
      </c>
      <c r="F1835" s="14">
        <f>52.4*(2/3*10)</f>
        <v>349.33333333333331</v>
      </c>
      <c r="G1835" s="14">
        <f>116.8*(2/3*10)</f>
        <v>778.66666666666652</v>
      </c>
      <c r="H1835" s="14">
        <f>22*(2/3*10)</f>
        <v>146.66666666666666</v>
      </c>
      <c r="I1835" s="14">
        <f>87.5*(2/3*10)</f>
        <v>583.33333333333326</v>
      </c>
      <c r="K1835">
        <v>1832</v>
      </c>
      <c r="L1835">
        <f t="shared" si="28"/>
        <v>0</v>
      </c>
    </row>
    <row r="1836" spans="1:12" ht="16.5" x14ac:dyDescent="0.2">
      <c r="A1836" s="4" t="s">
        <v>123</v>
      </c>
      <c r="B1836">
        <v>2009</v>
      </c>
      <c r="C1836" s="14">
        <f>364.1*(2/3*10)</f>
        <v>2427.3333333333335</v>
      </c>
      <c r="D1836" s="14">
        <f>218.1*(2/3*10)</f>
        <v>1453.9999999999998</v>
      </c>
      <c r="E1836" s="14">
        <f>1014.7*(2/3*10)</f>
        <v>6764.6666666666661</v>
      </c>
      <c r="F1836" s="14">
        <f>55.5*(2/3*10)</f>
        <v>369.99999999999994</v>
      </c>
      <c r="G1836" s="14">
        <f>136.2*(2/3*10)</f>
        <v>908</v>
      </c>
      <c r="H1836" s="14">
        <f>24.4*(2/3*10)</f>
        <v>162.66666666666663</v>
      </c>
      <c r="I1836" s="14">
        <f>68.5*(2/3*10)</f>
        <v>456.66666666666663</v>
      </c>
      <c r="K1836" s="15">
        <v>1833</v>
      </c>
      <c r="L1836">
        <f t="shared" si="28"/>
        <v>1</v>
      </c>
    </row>
    <row r="1837" spans="1:12" ht="16.5" x14ac:dyDescent="0.2">
      <c r="A1837" s="4" t="s">
        <v>123</v>
      </c>
      <c r="B1837">
        <v>2010</v>
      </c>
      <c r="C1837" s="14">
        <f>363.4*(2/3*10)</f>
        <v>2422.6666666666665</v>
      </c>
      <c r="D1837" s="14">
        <f>217.8*(2/3*10)</f>
        <v>1452</v>
      </c>
      <c r="E1837" s="14">
        <f>1014.4*(2/3*10)</f>
        <v>6762.6666666666661</v>
      </c>
      <c r="F1837" s="14">
        <f>55.5*(2/3*10)</f>
        <v>369.99999999999994</v>
      </c>
      <c r="G1837" s="14">
        <f>137.6*(2/3*10)</f>
        <v>917.33333333333326</v>
      </c>
      <c r="H1837" s="14">
        <f>24.4*(2/3*10)</f>
        <v>162.66666666666663</v>
      </c>
      <c r="I1837" s="14">
        <f>68.4*(2/3*10)</f>
        <v>456</v>
      </c>
      <c r="K1837">
        <v>1834</v>
      </c>
      <c r="L1837">
        <f t="shared" si="28"/>
        <v>2</v>
      </c>
    </row>
    <row r="1838" spans="1:12" ht="16.5" x14ac:dyDescent="0.2">
      <c r="A1838" s="4" t="s">
        <v>123</v>
      </c>
      <c r="B1838">
        <v>2011</v>
      </c>
      <c r="C1838" s="14">
        <f>363.2*(2/3*10)</f>
        <v>2421.333333333333</v>
      </c>
      <c r="D1838" s="14">
        <f>217.2*(2/3*10)</f>
        <v>1447.9999999999998</v>
      </c>
      <c r="E1838" s="14">
        <f>1014*(2/3*10)</f>
        <v>6759.9999999999991</v>
      </c>
      <c r="F1838" s="14">
        <f>55.4*(2/3*10)</f>
        <v>369.33333333333331</v>
      </c>
      <c r="G1838" s="14">
        <f>138.6*(2/3*10)</f>
        <v>923.99999999999989</v>
      </c>
      <c r="H1838" s="14">
        <f>24.7*(2/3*10)</f>
        <v>164.66666666666666</v>
      </c>
      <c r="I1838" s="14">
        <f>68.3*(2/3*10)</f>
        <v>455.33333333333326</v>
      </c>
      <c r="K1838" s="15">
        <v>1835</v>
      </c>
      <c r="L1838">
        <f t="shared" si="28"/>
        <v>3</v>
      </c>
    </row>
    <row r="1839" spans="1:12" ht="16.5" x14ac:dyDescent="0.2">
      <c r="A1839" s="4" t="s">
        <v>123</v>
      </c>
      <c r="B1839">
        <v>2012</v>
      </c>
      <c r="C1839" s="14">
        <f>362.7*(2/3*10)</f>
        <v>2417.9999999999995</v>
      </c>
      <c r="D1839" s="14">
        <f>217*(2/3*10)</f>
        <v>1446.6666666666665</v>
      </c>
      <c r="E1839" s="14">
        <f>1013.8*(2/3*10)</f>
        <v>6758.6666666666661</v>
      </c>
      <c r="F1839" s="14">
        <f>55.4*(2/3*10)</f>
        <v>369.33333333333331</v>
      </c>
      <c r="G1839" s="14">
        <f>139.4*(2/3*10)</f>
        <v>929.33333333333326</v>
      </c>
      <c r="H1839" s="14">
        <f>25.1*(2/3*10)</f>
        <v>167.33333333333331</v>
      </c>
      <c r="I1839" s="14">
        <f>68.2*(2/3*10)</f>
        <v>454.66666666666663</v>
      </c>
      <c r="K1839">
        <v>1836</v>
      </c>
      <c r="L1839">
        <f t="shared" si="28"/>
        <v>4</v>
      </c>
    </row>
    <row r="1840" spans="1:12" ht="16.5" x14ac:dyDescent="0.2">
      <c r="A1840" s="4" t="s">
        <v>123</v>
      </c>
      <c r="B1840">
        <v>2013</v>
      </c>
      <c r="C1840" s="14">
        <f>363*(2/3*10)</f>
        <v>2420</v>
      </c>
      <c r="D1840" s="14">
        <f>216.2*(2/3*10)</f>
        <v>1441.333333333333</v>
      </c>
      <c r="E1840" s="14">
        <f>1013.3*(2/3*10)</f>
        <v>6755.3333333333321</v>
      </c>
      <c r="F1840" s="14">
        <f>55*(2/3*10)</f>
        <v>366.66666666666663</v>
      </c>
      <c r="G1840" s="14">
        <f>140.7*(2/3*10)</f>
        <v>937.99999999999989</v>
      </c>
      <c r="H1840" s="14">
        <f>25.2*(2/3*10)</f>
        <v>167.99999999999997</v>
      </c>
      <c r="I1840" s="14">
        <f>68*(2/3*10)</f>
        <v>453.33333333333331</v>
      </c>
      <c r="K1840">
        <v>1837</v>
      </c>
      <c r="L1840">
        <f t="shared" si="28"/>
        <v>5</v>
      </c>
    </row>
    <row r="1841" spans="1:12" ht="16.5" x14ac:dyDescent="0.2">
      <c r="A1841" s="4" t="s">
        <v>123</v>
      </c>
      <c r="B1841">
        <v>2014</v>
      </c>
      <c r="C1841" s="14">
        <f>362.3*(2/3*10)</f>
        <v>2415.333333333333</v>
      </c>
      <c r="D1841" s="14">
        <f>215.9*(2/3*10)</f>
        <v>1439.3333333333333</v>
      </c>
      <c r="E1841" s="14">
        <f>1012.9*(2/3*10)</f>
        <v>6752.6666666666661</v>
      </c>
      <c r="F1841" s="14">
        <f>54.9*(2/3*10)</f>
        <v>365.99999999999994</v>
      </c>
      <c r="G1841" s="14">
        <f>142.2*(2/3*10)</f>
        <v>948</v>
      </c>
      <c r="H1841" s="14">
        <f>25.2*(2/3*10)</f>
        <v>167.99999999999997</v>
      </c>
      <c r="I1841" s="14">
        <f>67.9*(2/3*10)</f>
        <v>452.66666666666669</v>
      </c>
      <c r="K1841" s="15">
        <v>1838</v>
      </c>
      <c r="L1841">
        <f t="shared" si="28"/>
        <v>6</v>
      </c>
    </row>
    <row r="1842" spans="1:12" ht="16.5" x14ac:dyDescent="0.2">
      <c r="A1842" s="4" t="s">
        <v>123</v>
      </c>
      <c r="B1842">
        <v>2015</v>
      </c>
      <c r="C1842" s="14">
        <f>361.1*(2/3*10)</f>
        <v>2407.3333333333335</v>
      </c>
      <c r="D1842" s="14">
        <f>215.5*(2/3*10)</f>
        <v>1436.6666666666665</v>
      </c>
      <c r="E1842" s="14">
        <f>1012.4*(2/3*10)</f>
        <v>6749.333333333333</v>
      </c>
      <c r="F1842" s="14">
        <f>54.8*(2/3*10)</f>
        <v>365.33333333333326</v>
      </c>
      <c r="G1842" s="14">
        <f>144.6*(2/3*10)</f>
        <v>964.00000000000011</v>
      </c>
      <c r="H1842" s="14">
        <f>25.4*(2/3*10)</f>
        <v>169.33333333333331</v>
      </c>
      <c r="I1842" s="14">
        <f>67.6*(2/3*10)</f>
        <v>450.66666666666657</v>
      </c>
      <c r="K1842">
        <v>1839</v>
      </c>
      <c r="L1842">
        <f t="shared" si="28"/>
        <v>7</v>
      </c>
    </row>
    <row r="1843" spans="1:12" ht="16.5" x14ac:dyDescent="0.2">
      <c r="A1843" s="4" t="s">
        <v>123</v>
      </c>
      <c r="B1843">
        <v>2016</v>
      </c>
      <c r="C1843" s="14">
        <f>360.1*(2/3*10)</f>
        <v>2400.6666666666665</v>
      </c>
      <c r="D1843" s="14">
        <f>214.9*(2/3*10)</f>
        <v>1432.6666666666665</v>
      </c>
      <c r="E1843" s="14">
        <f>1011.7*(2/3*10)</f>
        <v>6744.6666666666661</v>
      </c>
      <c r="F1843" s="14">
        <f>54.7*(2/3*10)</f>
        <v>364.66666666666663</v>
      </c>
      <c r="G1843" s="14">
        <f>146.5*(2/3*10)</f>
        <v>976.66666666666663</v>
      </c>
      <c r="H1843" s="14">
        <f>25.9*(2/3*10)</f>
        <v>172.66666666666663</v>
      </c>
      <c r="I1843" s="14">
        <f>67.5*(2/3*10)</f>
        <v>449.99999999999994</v>
      </c>
      <c r="K1843" s="15">
        <v>1840</v>
      </c>
      <c r="L1843">
        <f t="shared" si="28"/>
        <v>0</v>
      </c>
    </row>
    <row r="1844" spans="1:12" ht="16.5" x14ac:dyDescent="0.2">
      <c r="A1844" s="4" t="s">
        <v>122</v>
      </c>
      <c r="B1844">
        <v>2009</v>
      </c>
      <c r="C1844" s="14">
        <f>676.5*(2/3*10)</f>
        <v>4510</v>
      </c>
      <c r="D1844" s="14">
        <f>321.8*(2/3*10)</f>
        <v>2145.333333333333</v>
      </c>
      <c r="E1844" s="14">
        <f>3400.5*(2/3*10)</f>
        <v>22669.999999999996</v>
      </c>
      <c r="F1844" s="14">
        <f>342.9*(2/3*10)</f>
        <v>2285.9999999999995</v>
      </c>
      <c r="G1844" s="14">
        <f>88.3*(2/3*10)</f>
        <v>588.66666666666663</v>
      </c>
      <c r="H1844" s="14">
        <f>47.6*(2/3*10)</f>
        <v>317.33333333333331</v>
      </c>
      <c r="I1844" s="14">
        <f>102.3*(2/3*10)</f>
        <v>681.99999999999989</v>
      </c>
      <c r="K1844">
        <v>1841</v>
      </c>
      <c r="L1844">
        <f t="shared" si="28"/>
        <v>1</v>
      </c>
    </row>
    <row r="1845" spans="1:12" ht="16.5" x14ac:dyDescent="0.2">
      <c r="A1845" s="4" t="s">
        <v>122</v>
      </c>
      <c r="B1845">
        <v>2010</v>
      </c>
      <c r="C1845" s="14">
        <f>675.6*(2/3*10)</f>
        <v>4504</v>
      </c>
      <c r="D1845" s="14">
        <f>321.5*(2/3*10)</f>
        <v>2143.333333333333</v>
      </c>
      <c r="E1845" s="14">
        <f>3399.8*(2/3*10)</f>
        <v>22665.333333333332</v>
      </c>
      <c r="F1845" s="14">
        <f>342.8*(2/3*10)</f>
        <v>2285.333333333333</v>
      </c>
      <c r="G1845" s="14">
        <f>90*(2/3*10)</f>
        <v>600</v>
      </c>
      <c r="H1845" s="14">
        <f>48*(2/3*10)</f>
        <v>320</v>
      </c>
      <c r="I1845" s="14">
        <f>102.3*(2/3*10)</f>
        <v>681.99999999999989</v>
      </c>
      <c r="K1845">
        <v>1842</v>
      </c>
      <c r="L1845">
        <f t="shared" si="28"/>
        <v>2</v>
      </c>
    </row>
    <row r="1846" spans="1:12" ht="16.5" x14ac:dyDescent="0.2">
      <c r="A1846" s="4" t="s">
        <v>122</v>
      </c>
      <c r="B1846">
        <v>2011</v>
      </c>
      <c r="C1846" s="14">
        <f>674.2*(2/3*10)</f>
        <v>4494.666666666667</v>
      </c>
      <c r="D1846" s="14">
        <f>321.2*(2/3*10)</f>
        <v>2141.333333333333</v>
      </c>
      <c r="E1846" s="14">
        <f>3399*(2/3*10)</f>
        <v>22659.999999999996</v>
      </c>
      <c r="F1846" s="14">
        <f>342.3*(2/3*10)</f>
        <v>2282</v>
      </c>
      <c r="G1846" s="14">
        <f>91.4*(2/3*10)</f>
        <v>609.33333333333337</v>
      </c>
      <c r="H1846" s="14">
        <f>49.2*(2/3*10)</f>
        <v>328</v>
      </c>
      <c r="I1846" s="14">
        <f>103*(2/3*10)</f>
        <v>686.66666666666663</v>
      </c>
      <c r="K1846" s="15">
        <v>1843</v>
      </c>
      <c r="L1846">
        <f t="shared" si="28"/>
        <v>3</v>
      </c>
    </row>
    <row r="1847" spans="1:12" ht="16.5" x14ac:dyDescent="0.2">
      <c r="A1847" s="4" t="s">
        <v>122</v>
      </c>
      <c r="B1847">
        <v>2012</v>
      </c>
      <c r="C1847" s="14">
        <f>673.5*(2/3*10)</f>
        <v>4490</v>
      </c>
      <c r="D1847" s="14">
        <f>320.9*(2/3*10)</f>
        <v>2139.333333333333</v>
      </c>
      <c r="E1847" s="14">
        <f>3398.2*(2/3*10)</f>
        <v>22654.666666666664</v>
      </c>
      <c r="F1847" s="14">
        <f>341.7*(2/3*10)</f>
        <v>2277.9999999999995</v>
      </c>
      <c r="G1847" s="14">
        <f>92.3*(2/3*10)</f>
        <v>615.33333333333326</v>
      </c>
      <c r="H1847" s="14">
        <f>50.7*(2/3*10)</f>
        <v>338</v>
      </c>
      <c r="I1847" s="14">
        <f>102.9*(2/3*10)</f>
        <v>686</v>
      </c>
      <c r="K1847">
        <v>1844</v>
      </c>
      <c r="L1847">
        <f t="shared" si="28"/>
        <v>4</v>
      </c>
    </row>
    <row r="1848" spans="1:12" ht="16.5" x14ac:dyDescent="0.2">
      <c r="A1848" s="4" t="s">
        <v>122</v>
      </c>
      <c r="B1848">
        <v>2013</v>
      </c>
      <c r="C1848" s="14">
        <f>675.3*(2/3*10)</f>
        <v>4501.9999999999991</v>
      </c>
      <c r="D1848" s="14">
        <f>320.1*(2/3*10)</f>
        <v>2134</v>
      </c>
      <c r="E1848" s="14">
        <f>3395.5*(2/3*10)</f>
        <v>22636.666666666664</v>
      </c>
      <c r="F1848" s="14">
        <f>341*(2/3*10)</f>
        <v>2273.333333333333</v>
      </c>
      <c r="G1848" s="14">
        <f>93.9*(2/3*10)</f>
        <v>626</v>
      </c>
      <c r="H1848" s="14">
        <f>51*(2/3*10)</f>
        <v>339.99999999999994</v>
      </c>
      <c r="I1848" s="14">
        <f>102.8*(2/3*10)</f>
        <v>685.33333333333326</v>
      </c>
      <c r="K1848" s="15">
        <v>1845</v>
      </c>
      <c r="L1848">
        <f t="shared" si="28"/>
        <v>5</v>
      </c>
    </row>
    <row r="1849" spans="1:12" ht="16.5" x14ac:dyDescent="0.2">
      <c r="A1849" s="4" t="s">
        <v>122</v>
      </c>
      <c r="B1849">
        <v>2014</v>
      </c>
      <c r="C1849" s="14">
        <f>673.8*(2/3*10)</f>
        <v>4491.9999999999991</v>
      </c>
      <c r="D1849" s="14">
        <f>319.6*(2/3*10)</f>
        <v>2130.6666666666665</v>
      </c>
      <c r="E1849" s="14">
        <f>3395.1*(2/3*10)</f>
        <v>22633.999999999996</v>
      </c>
      <c r="F1849" s="14">
        <f>340.9*(2/3*10)</f>
        <v>2272.6666666666665</v>
      </c>
      <c r="G1849" s="14">
        <f>95.8*(2/3*10)</f>
        <v>638.66666666666663</v>
      </c>
      <c r="H1849" s="14">
        <f>51.6*(2/3*10)</f>
        <v>344</v>
      </c>
      <c r="I1849" s="14">
        <f>102.7*(2/3*10)</f>
        <v>684.66666666666663</v>
      </c>
      <c r="K1849">
        <v>1846</v>
      </c>
      <c r="L1849">
        <f t="shared" si="28"/>
        <v>6</v>
      </c>
    </row>
    <row r="1850" spans="1:12" ht="16.5" x14ac:dyDescent="0.2">
      <c r="A1850" s="4" t="s">
        <v>122</v>
      </c>
      <c r="B1850">
        <v>2015</v>
      </c>
      <c r="C1850" s="14">
        <f>672.8*(2/3*10)</f>
        <v>4485.333333333333</v>
      </c>
      <c r="D1850" s="14">
        <f>319.2*(2/3*10)</f>
        <v>2127.9999999999995</v>
      </c>
      <c r="E1850" s="14">
        <f>3394.8*(2/3*10)</f>
        <v>22632</v>
      </c>
      <c r="F1850" s="14">
        <f>340.8*(2/3*10)</f>
        <v>2272</v>
      </c>
      <c r="G1850" s="14">
        <f>97.5*(2/3*10)</f>
        <v>649.99999999999989</v>
      </c>
      <c r="H1850" s="14">
        <f>51.8*(2/3*10)</f>
        <v>345.33333333333326</v>
      </c>
      <c r="I1850" s="14">
        <f>102.7*(2/3*10)</f>
        <v>684.66666666666663</v>
      </c>
      <c r="K1850">
        <v>1847</v>
      </c>
      <c r="L1850">
        <f t="shared" si="28"/>
        <v>7</v>
      </c>
    </row>
    <row r="1851" spans="1:12" ht="16.5" x14ac:dyDescent="0.2">
      <c r="A1851" s="4" t="s">
        <v>122</v>
      </c>
      <c r="B1851">
        <v>2016</v>
      </c>
      <c r="C1851" s="14">
        <f>671.6*(2/3*10)</f>
        <v>4477.333333333333</v>
      </c>
      <c r="D1851" s="14">
        <f>318.9*(2/3*10)</f>
        <v>2125.9999999999995</v>
      </c>
      <c r="E1851" s="14">
        <f>3394.4*(2/3*10)</f>
        <v>22629.333333333332</v>
      </c>
      <c r="F1851" s="14">
        <f>340.7*(2/3*10)</f>
        <v>2271.333333333333</v>
      </c>
      <c r="G1851" s="14">
        <f>98.9*(2/3*10)</f>
        <v>659.33333333333326</v>
      </c>
      <c r="H1851" s="14">
        <f>52.5*(2/3*10)</f>
        <v>349.99999999999994</v>
      </c>
      <c r="I1851" s="14">
        <f>102.6*(2/3*10)</f>
        <v>683.99999999999989</v>
      </c>
      <c r="K1851" s="15">
        <v>1848</v>
      </c>
      <c r="L1851">
        <f t="shared" si="28"/>
        <v>0</v>
      </c>
    </row>
    <row r="1852" spans="1:12" ht="16.5" x14ac:dyDescent="0.2">
      <c r="A1852" s="4" t="s">
        <v>121</v>
      </c>
      <c r="B1852">
        <v>2009</v>
      </c>
      <c r="C1852" s="14">
        <f>246.7*(2/3*10)</f>
        <v>1644.6666666666665</v>
      </c>
      <c r="D1852" s="14">
        <f>56.3*(2/3*10)</f>
        <v>375.33333333333326</v>
      </c>
      <c r="E1852" s="14">
        <f>1221.8*(2/3*10)</f>
        <v>8145.3333333333321</v>
      </c>
      <c r="F1852" s="14">
        <f>61.7*(2/3*10)</f>
        <v>411.33333333333331</v>
      </c>
      <c r="G1852" s="14">
        <f>56.1*(2/3*10)</f>
        <v>374</v>
      </c>
      <c r="H1852" s="14">
        <f>14.9*(2/3*10)</f>
        <v>99.333333333333329</v>
      </c>
      <c r="I1852" s="14">
        <f>52.1*(2/3*10)</f>
        <v>347.33333333333331</v>
      </c>
      <c r="K1852">
        <v>1849</v>
      </c>
      <c r="L1852">
        <f t="shared" si="28"/>
        <v>1</v>
      </c>
    </row>
    <row r="1853" spans="1:12" ht="16.5" x14ac:dyDescent="0.2">
      <c r="A1853" s="4" t="s">
        <v>121</v>
      </c>
      <c r="B1853">
        <v>2010</v>
      </c>
      <c r="C1853" s="14">
        <f>246.2*(2/3*10)</f>
        <v>1641.333333333333</v>
      </c>
      <c r="D1853" s="14">
        <f>56.3*(2/3*10)</f>
        <v>375.33333333333326</v>
      </c>
      <c r="E1853" s="14">
        <f>1221.6*(2/3*10)</f>
        <v>8143.9999999999991</v>
      </c>
      <c r="F1853" s="14">
        <f>61.7*(2/3*10)</f>
        <v>411.33333333333331</v>
      </c>
      <c r="G1853" s="14">
        <f>56.6*(2/3*10)</f>
        <v>377.33333333333337</v>
      </c>
      <c r="H1853" s="14">
        <f>15.1*(2/3*10)</f>
        <v>100.66666666666666</v>
      </c>
      <c r="I1853" s="14">
        <f>52.1*(2/3*10)</f>
        <v>347.33333333333331</v>
      </c>
      <c r="K1853" s="15">
        <v>1850</v>
      </c>
      <c r="L1853">
        <f t="shared" si="28"/>
        <v>2</v>
      </c>
    </row>
    <row r="1854" spans="1:12" ht="16.5" x14ac:dyDescent="0.2">
      <c r="A1854" s="4" t="s">
        <v>121</v>
      </c>
      <c r="B1854">
        <v>2011</v>
      </c>
      <c r="C1854" s="14">
        <f>246*(2/3*10)</f>
        <v>1639.9999999999998</v>
      </c>
      <c r="D1854" s="14">
        <f>56*(2/3*10)</f>
        <v>373.33333333333331</v>
      </c>
      <c r="E1854" s="14">
        <f>1221.3*(2/3*10)</f>
        <v>8141.9999999999991</v>
      </c>
      <c r="F1854" s="14">
        <f>61.5*(2/3*10)</f>
        <v>409.99999999999994</v>
      </c>
      <c r="G1854" s="14">
        <f>57.2*(2/3*10)</f>
        <v>381.33333333333331</v>
      </c>
      <c r="H1854" s="14">
        <f>15.4*(2/3*10)</f>
        <v>102.66666666666666</v>
      </c>
      <c r="I1854" s="14">
        <f>52*(2/3*10)</f>
        <v>346.66666666666663</v>
      </c>
      <c r="K1854">
        <v>1851</v>
      </c>
      <c r="L1854">
        <f t="shared" si="28"/>
        <v>3</v>
      </c>
    </row>
    <row r="1855" spans="1:12" ht="16.5" x14ac:dyDescent="0.2">
      <c r="A1855" s="4" t="s">
        <v>121</v>
      </c>
      <c r="B1855">
        <v>2012</v>
      </c>
      <c r="C1855" s="14">
        <f>245.4*(2/3*10)</f>
        <v>1636</v>
      </c>
      <c r="D1855" s="14">
        <f>55.9*(2/3*10)</f>
        <v>372.66666666666663</v>
      </c>
      <c r="E1855" s="14">
        <f>1221.1*(2/3*10)</f>
        <v>8140.6666666666652</v>
      </c>
      <c r="F1855" s="14">
        <f>61.4*(2/3*10)</f>
        <v>409.33333333333331</v>
      </c>
      <c r="G1855" s="14">
        <f>57.9*(2/3*10)</f>
        <v>386</v>
      </c>
      <c r="H1855" s="14">
        <f>15.6*(2/3*10)</f>
        <v>103.99999999999999</v>
      </c>
      <c r="I1855" s="14">
        <f>52*(2/3*10)</f>
        <v>346.66666666666663</v>
      </c>
      <c r="K1855">
        <v>1852</v>
      </c>
      <c r="L1855">
        <f t="shared" si="28"/>
        <v>4</v>
      </c>
    </row>
    <row r="1856" spans="1:12" ht="16.5" x14ac:dyDescent="0.2">
      <c r="A1856" s="4" t="s">
        <v>121</v>
      </c>
      <c r="B1856">
        <v>2013</v>
      </c>
      <c r="C1856" s="14">
        <f>245.5*(2/3*10)</f>
        <v>1636.6666666666665</v>
      </c>
      <c r="D1856" s="14">
        <f>55.5*(2/3*10)</f>
        <v>369.99999999999994</v>
      </c>
      <c r="E1856" s="14">
        <f>1220.9*(2/3*10)</f>
        <v>8139.333333333333</v>
      </c>
      <c r="F1856" s="14">
        <f>61.4*(2/3*10)</f>
        <v>409.33333333333331</v>
      </c>
      <c r="G1856" s="14">
        <f>58.4*(2/3*10)</f>
        <v>389.33333333333331</v>
      </c>
      <c r="H1856" s="14">
        <f>15.6*(2/3*10)</f>
        <v>103.99999999999999</v>
      </c>
      <c r="I1856" s="14">
        <f>52*(2/3*10)</f>
        <v>346.66666666666663</v>
      </c>
      <c r="K1856" s="15">
        <v>1853</v>
      </c>
      <c r="L1856">
        <f t="shared" ref="L1856:L1919" si="29">MOD(K1856,8)</f>
        <v>5</v>
      </c>
    </row>
    <row r="1857" spans="1:12" ht="16.5" x14ac:dyDescent="0.2">
      <c r="A1857" s="4" t="s">
        <v>121</v>
      </c>
      <c r="B1857">
        <v>2014</v>
      </c>
      <c r="C1857" s="14">
        <f>244.7*(2/3*10)</f>
        <v>1631.333333333333</v>
      </c>
      <c r="D1857" s="14">
        <f>55.4*(2/3*10)</f>
        <v>369.33333333333331</v>
      </c>
      <c r="E1857" s="14">
        <f>1220.6*(2/3*10)</f>
        <v>8137.3333333333321</v>
      </c>
      <c r="F1857" s="14">
        <f>61.3*(2/3*10)</f>
        <v>408.66666666666663</v>
      </c>
      <c r="G1857" s="14">
        <f>59.2*(2/3*10)</f>
        <v>394.66666666666663</v>
      </c>
      <c r="H1857" s="14">
        <f>16*(2/3*10)</f>
        <v>106.66666666666666</v>
      </c>
      <c r="I1857" s="14">
        <f>52*(2/3*10)</f>
        <v>346.66666666666663</v>
      </c>
      <c r="K1857">
        <v>1854</v>
      </c>
      <c r="L1857">
        <f t="shared" si="29"/>
        <v>6</v>
      </c>
    </row>
    <row r="1858" spans="1:12" ht="16.5" x14ac:dyDescent="0.2">
      <c r="A1858" s="4" t="s">
        <v>121</v>
      </c>
      <c r="B1858">
        <v>2015</v>
      </c>
      <c r="C1858" s="14">
        <f>244.3*(2/3*10)</f>
        <v>1628.6666666666665</v>
      </c>
      <c r="D1858" s="14">
        <f>55.2*(2/3*10)</f>
        <v>368</v>
      </c>
      <c r="E1858" s="14">
        <f>1220.3*(2/3*10)</f>
        <v>8135.3333333333321</v>
      </c>
      <c r="F1858" s="14">
        <f>61.3*(2/3*10)</f>
        <v>408.66666666666663</v>
      </c>
      <c r="G1858" s="14">
        <f>60.1*(2/3*10)</f>
        <v>400.66666666666663</v>
      </c>
      <c r="H1858" s="14">
        <f>16.2*(2/3*10)</f>
        <v>107.99999999999999</v>
      </c>
      <c r="I1858" s="14">
        <f>51.9*(2/3*10)</f>
        <v>345.99999999999994</v>
      </c>
      <c r="K1858" s="15">
        <v>1855</v>
      </c>
      <c r="L1858">
        <f t="shared" si="29"/>
        <v>7</v>
      </c>
    </row>
    <row r="1859" spans="1:12" ht="16.5" x14ac:dyDescent="0.2">
      <c r="A1859" s="4" t="s">
        <v>121</v>
      </c>
      <c r="B1859">
        <v>2016</v>
      </c>
      <c r="C1859" s="14">
        <f>243.6*(2/3*10)</f>
        <v>1623.9999999999998</v>
      </c>
      <c r="D1859" s="14">
        <f>55.1*(2/3*10)</f>
        <v>367.33333333333331</v>
      </c>
      <c r="E1859" s="14">
        <f>1220*(2/3*10)</f>
        <v>8133.333333333333</v>
      </c>
      <c r="F1859" s="14">
        <f>61.2*(2/3*10)</f>
        <v>408</v>
      </c>
      <c r="G1859" s="14">
        <f>61.1*(2/3*10)</f>
        <v>407.33333333333326</v>
      </c>
      <c r="H1859" s="14">
        <f>16.3*(2/3*10)</f>
        <v>108.66666666666666</v>
      </c>
      <c r="I1859" s="14">
        <f>51.9*(2/3*10)</f>
        <v>345.99999999999994</v>
      </c>
      <c r="K1859">
        <v>1856</v>
      </c>
      <c r="L1859">
        <f t="shared" si="29"/>
        <v>0</v>
      </c>
    </row>
    <row r="1860" spans="1:12" ht="16.5" x14ac:dyDescent="0.2">
      <c r="A1860" s="4" t="s">
        <v>120</v>
      </c>
      <c r="B1860">
        <v>2009</v>
      </c>
      <c r="C1860" s="14">
        <f>561.5*(2/3*10)</f>
        <v>3743.333333333333</v>
      </c>
      <c r="D1860" s="14">
        <f>66.8*(2/3*10)</f>
        <v>445.33333333333326</v>
      </c>
      <c r="E1860" s="14">
        <f>2883.2*(2/3*10)</f>
        <v>19221.333333333332</v>
      </c>
      <c r="F1860" s="14">
        <f>313.2*(2/3*10)</f>
        <v>2087.9999999999995</v>
      </c>
      <c r="G1860" s="14">
        <f>84.3*(2/3*10)</f>
        <v>562</v>
      </c>
      <c r="H1860" s="14">
        <f>40.8*(2/3*10)</f>
        <v>271.99999999999994</v>
      </c>
      <c r="I1860" s="14">
        <f>100.2*(2/3*10)</f>
        <v>668</v>
      </c>
      <c r="K1860">
        <v>1857</v>
      </c>
      <c r="L1860">
        <f t="shared" si="29"/>
        <v>1</v>
      </c>
    </row>
    <row r="1861" spans="1:12" ht="16.5" x14ac:dyDescent="0.2">
      <c r="A1861" s="4" t="s">
        <v>120</v>
      </c>
      <c r="B1861">
        <v>2010</v>
      </c>
      <c r="C1861" s="14">
        <f>561.1*(2/3*10)</f>
        <v>3740.6666666666665</v>
      </c>
      <c r="D1861" s="14">
        <f>66.7*(2/3*10)</f>
        <v>444.66666666666663</v>
      </c>
      <c r="E1861" s="14">
        <f>2882.3*(2/3*10)</f>
        <v>19215.333333333332</v>
      </c>
      <c r="F1861" s="14">
        <f>313.4*(2/3*10)</f>
        <v>2089.333333333333</v>
      </c>
      <c r="G1861" s="14">
        <f>85.2*(2/3*10)</f>
        <v>568</v>
      </c>
      <c r="H1861" s="14">
        <f>40.9*(2/3*10)</f>
        <v>272.66666666666663</v>
      </c>
      <c r="I1861" s="14">
        <f>100.2*(2/3*10)</f>
        <v>668</v>
      </c>
      <c r="K1861" s="15">
        <v>1858</v>
      </c>
      <c r="L1861">
        <f t="shared" si="29"/>
        <v>2</v>
      </c>
    </row>
    <row r="1862" spans="1:12" ht="16.5" x14ac:dyDescent="0.2">
      <c r="A1862" s="4" t="s">
        <v>120</v>
      </c>
      <c r="B1862">
        <v>2011</v>
      </c>
      <c r="C1862" s="14">
        <f>561.3*(2/3*10)</f>
        <v>3741.9999999999995</v>
      </c>
      <c r="D1862" s="14">
        <f>66.7*(2/3*10)</f>
        <v>444.66666666666663</v>
      </c>
      <c r="E1862" s="14">
        <f>2881.8*(2/3*10)</f>
        <v>19212</v>
      </c>
      <c r="F1862" s="14">
        <f>312.2*(2/3*10)</f>
        <v>2081.333333333333</v>
      </c>
      <c r="G1862" s="14">
        <f>85.9*(2/3*10)</f>
        <v>572.66666666666663</v>
      </c>
      <c r="H1862" s="14">
        <f>41.7*(2/3*10)</f>
        <v>278</v>
      </c>
      <c r="I1862" s="14">
        <f>100.2*(2/3*10)</f>
        <v>668</v>
      </c>
      <c r="K1862">
        <v>1859</v>
      </c>
      <c r="L1862">
        <f t="shared" si="29"/>
        <v>3</v>
      </c>
    </row>
    <row r="1863" spans="1:12" ht="16.5" x14ac:dyDescent="0.2">
      <c r="A1863" s="4" t="s">
        <v>120</v>
      </c>
      <c r="B1863">
        <v>2012</v>
      </c>
      <c r="C1863" s="14">
        <f>560.9*(2/3*10)</f>
        <v>3739.333333333333</v>
      </c>
      <c r="D1863" s="14">
        <f>66.7*(2/3*10)</f>
        <v>444.66666666666663</v>
      </c>
      <c r="E1863" s="14">
        <f>2881.6*(2/3*10)</f>
        <v>19210.666666666664</v>
      </c>
      <c r="F1863" s="14">
        <f>312.1*(2/3*10)</f>
        <v>2080.6666666666665</v>
      </c>
      <c r="G1863" s="14">
        <f>86.8*(2/3*10)</f>
        <v>578.66666666666652</v>
      </c>
      <c r="H1863" s="14">
        <f>41.7*(2/3*10)</f>
        <v>278</v>
      </c>
      <c r="I1863" s="14">
        <f>100.2*(2/3*10)</f>
        <v>668</v>
      </c>
      <c r="K1863" s="15">
        <v>1860</v>
      </c>
      <c r="L1863">
        <f t="shared" si="29"/>
        <v>4</v>
      </c>
    </row>
    <row r="1864" spans="1:12" ht="16.5" x14ac:dyDescent="0.2">
      <c r="A1864" s="4" t="s">
        <v>120</v>
      </c>
      <c r="B1864">
        <v>2013</v>
      </c>
      <c r="C1864" s="14">
        <f>562.4*(2/3*10)</f>
        <v>3749.333333333333</v>
      </c>
      <c r="D1864" s="14">
        <f>66.5*(2/3*10)</f>
        <v>443.33333333333331</v>
      </c>
      <c r="E1864" s="14">
        <f>2880.7*(2/3*10)</f>
        <v>19204.666666666664</v>
      </c>
      <c r="F1864" s="14">
        <f>310.8*(2/3*10)</f>
        <v>2072</v>
      </c>
      <c r="G1864" s="14">
        <f>87.6*(2/3*10)</f>
        <v>583.99999999999989</v>
      </c>
      <c r="H1864" s="14">
        <f>41.8*(2/3*10)</f>
        <v>278.66666666666663</v>
      </c>
      <c r="I1864" s="14">
        <f>100*(2/3*10)</f>
        <v>666.66666666666663</v>
      </c>
      <c r="K1864">
        <v>1861</v>
      </c>
      <c r="L1864">
        <f t="shared" si="29"/>
        <v>5</v>
      </c>
    </row>
    <row r="1865" spans="1:12" ht="16.5" x14ac:dyDescent="0.2">
      <c r="A1865" s="4" t="s">
        <v>120</v>
      </c>
      <c r="B1865">
        <v>2014</v>
      </c>
      <c r="C1865" s="14">
        <f>561.8*(2/3*10)</f>
        <v>3745.3333333333326</v>
      </c>
      <c r="D1865" s="14">
        <f>66.5*(2/3*10)</f>
        <v>443.33333333333331</v>
      </c>
      <c r="E1865" s="14">
        <f>2880.3*(2/3*10)</f>
        <v>19202</v>
      </c>
      <c r="F1865" s="14">
        <f>310.7*(2/3*10)</f>
        <v>2071.333333333333</v>
      </c>
      <c r="G1865" s="14">
        <f>88.6*(2/3*10)</f>
        <v>590.66666666666663</v>
      </c>
      <c r="H1865" s="14">
        <f>42*(2/3*10)</f>
        <v>280</v>
      </c>
      <c r="I1865" s="14">
        <f>100*(2/3*10)</f>
        <v>666.66666666666663</v>
      </c>
      <c r="K1865">
        <v>1862</v>
      </c>
      <c r="L1865">
        <f t="shared" si="29"/>
        <v>6</v>
      </c>
    </row>
    <row r="1866" spans="1:12" ht="16.5" x14ac:dyDescent="0.2">
      <c r="A1866" s="4" t="s">
        <v>120</v>
      </c>
      <c r="B1866">
        <v>2015</v>
      </c>
      <c r="C1866" s="14">
        <f>561.4*(2/3*10)</f>
        <v>3742.6666666666661</v>
      </c>
      <c r="D1866" s="14">
        <f>66.5*(2/3*10)</f>
        <v>443.33333333333331</v>
      </c>
      <c r="E1866" s="14">
        <f>2880.2*(2/3*10)</f>
        <v>19201.333333333332</v>
      </c>
      <c r="F1866" s="14">
        <f>310.6*(2/3*10)</f>
        <v>2070.6666666666665</v>
      </c>
      <c r="G1866" s="14">
        <f>89.3*(2/3*10)</f>
        <v>595.33333333333326</v>
      </c>
      <c r="H1866" s="14">
        <f>42*(2/3*10)</f>
        <v>280</v>
      </c>
      <c r="I1866" s="14">
        <f>100*(2/3*10)</f>
        <v>666.66666666666663</v>
      </c>
      <c r="K1866" s="15">
        <v>1863</v>
      </c>
      <c r="L1866">
        <f t="shared" si="29"/>
        <v>7</v>
      </c>
    </row>
    <row r="1867" spans="1:12" ht="16.5" x14ac:dyDescent="0.2">
      <c r="A1867" s="4" t="s">
        <v>120</v>
      </c>
      <c r="B1867">
        <v>2016</v>
      </c>
      <c r="C1867" s="14">
        <f>560.7*(2/3*10)</f>
        <v>3738</v>
      </c>
      <c r="D1867" s="14">
        <f>66.4*(2/3*10)</f>
        <v>442.66666666666669</v>
      </c>
      <c r="E1867" s="14">
        <f>2879.4*(2/3*10)</f>
        <v>19196</v>
      </c>
      <c r="F1867" s="14">
        <f>310.5*(2/3*10)</f>
        <v>2070</v>
      </c>
      <c r="G1867" s="14">
        <f>90.3*(2/3*10)</f>
        <v>601.99999999999989</v>
      </c>
      <c r="H1867" s="14">
        <f>42.7*(2/3*10)</f>
        <v>284.66666666666669</v>
      </c>
      <c r="I1867" s="14">
        <f>100*(2/3*10)</f>
        <v>666.66666666666663</v>
      </c>
      <c r="K1867">
        <v>1864</v>
      </c>
      <c r="L1867">
        <f t="shared" si="29"/>
        <v>0</v>
      </c>
    </row>
    <row r="1868" spans="1:12" ht="16.5" x14ac:dyDescent="0.2">
      <c r="A1868" s="4" t="s">
        <v>119</v>
      </c>
      <c r="B1868">
        <v>2009</v>
      </c>
      <c r="C1868" s="14">
        <f>614.6*(2/3*10)</f>
        <v>4097.333333333333</v>
      </c>
      <c r="D1868" s="14">
        <f>24.3*(2/3*10)</f>
        <v>162</v>
      </c>
      <c r="E1868" s="14">
        <f>856.7*(2/3*10)</f>
        <v>5711.333333333333</v>
      </c>
      <c r="F1868" s="14">
        <f>100.7*(2/3*10)</f>
        <v>671.33333333333326</v>
      </c>
      <c r="G1868" s="14">
        <f>62.7*(2/3*10)</f>
        <v>417.99999999999994</v>
      </c>
      <c r="H1868" s="14">
        <f>29.4*(2/3*10)</f>
        <v>195.99999999999997</v>
      </c>
      <c r="I1868" s="14">
        <f>68.9*(2/3*10)</f>
        <v>459.33333333333331</v>
      </c>
      <c r="K1868" s="15">
        <v>1865</v>
      </c>
      <c r="L1868">
        <f t="shared" si="29"/>
        <v>1</v>
      </c>
    </row>
    <row r="1869" spans="1:12" ht="16.5" x14ac:dyDescent="0.2">
      <c r="A1869" s="4" t="s">
        <v>119</v>
      </c>
      <c r="B1869">
        <v>2010</v>
      </c>
      <c r="C1869" s="14">
        <f>613.8*(2/3*10)</f>
        <v>4091.9999999999995</v>
      </c>
      <c r="D1869" s="14">
        <f>24.3*(2/3*10)</f>
        <v>162</v>
      </c>
      <c r="E1869" s="14">
        <f>856.2*(2/3*10)</f>
        <v>5708</v>
      </c>
      <c r="F1869" s="14">
        <f>100.3*(2/3*10)</f>
        <v>668.66666666666663</v>
      </c>
      <c r="G1869" s="14">
        <f>63.7*(2/3*10)</f>
        <v>424.66666666666663</v>
      </c>
      <c r="H1869" s="14">
        <f>30*(2/3*10)</f>
        <v>199.99999999999997</v>
      </c>
      <c r="I1869" s="14">
        <f>68.9*(2/3*10)</f>
        <v>459.33333333333331</v>
      </c>
      <c r="K1869">
        <v>1866</v>
      </c>
      <c r="L1869">
        <f t="shared" si="29"/>
        <v>2</v>
      </c>
    </row>
    <row r="1870" spans="1:12" ht="16.5" x14ac:dyDescent="0.2">
      <c r="A1870" s="4" t="s">
        <v>119</v>
      </c>
      <c r="B1870">
        <v>2011</v>
      </c>
      <c r="C1870" s="14">
        <f>613*(2/3*10)</f>
        <v>4086.6666666666665</v>
      </c>
      <c r="D1870" s="14">
        <f>24.2*(2/3*10)</f>
        <v>161.33333333333331</v>
      </c>
      <c r="E1870" s="14">
        <f>855.8*(2/3*10)</f>
        <v>5705.3333333333321</v>
      </c>
      <c r="F1870" s="14">
        <f>100.2*(2/3*10)</f>
        <v>668</v>
      </c>
      <c r="G1870" s="14">
        <f>64.7*(2/3*10)</f>
        <v>431.33333333333331</v>
      </c>
      <c r="H1870" s="14">
        <f>30.2*(2/3*10)</f>
        <v>201.33333333333331</v>
      </c>
      <c r="I1870" s="14">
        <f>68.9*(2/3*10)</f>
        <v>459.33333333333331</v>
      </c>
      <c r="K1870">
        <v>1867</v>
      </c>
      <c r="L1870">
        <f t="shared" si="29"/>
        <v>3</v>
      </c>
    </row>
    <row r="1871" spans="1:12" ht="16.5" x14ac:dyDescent="0.2">
      <c r="A1871" s="4" t="s">
        <v>119</v>
      </c>
      <c r="B1871">
        <v>2012</v>
      </c>
      <c r="C1871" s="14">
        <f>611.6*(2/3*10)</f>
        <v>4077.333333333333</v>
      </c>
      <c r="D1871" s="14">
        <f>24.2*(2/3*10)</f>
        <v>161.33333333333331</v>
      </c>
      <c r="E1871" s="14">
        <f>855.5*(2/3*10)</f>
        <v>5703.333333333333</v>
      </c>
      <c r="F1871" s="14">
        <f>100*(2/3*10)</f>
        <v>666.66666666666663</v>
      </c>
      <c r="G1871" s="14">
        <f>65.5*(2/3*10)</f>
        <v>436.66666666666663</v>
      </c>
      <c r="H1871" s="14">
        <f>31.4*(2/3*10)</f>
        <v>209.33333333333331</v>
      </c>
      <c r="I1871" s="14">
        <f>68.9*(2/3*10)</f>
        <v>459.33333333333331</v>
      </c>
      <c r="K1871" s="15">
        <v>1868</v>
      </c>
      <c r="L1871">
        <f t="shared" si="29"/>
        <v>4</v>
      </c>
    </row>
    <row r="1872" spans="1:12" ht="16.5" x14ac:dyDescent="0.2">
      <c r="A1872" s="4" t="s">
        <v>119</v>
      </c>
      <c r="B1872">
        <v>2013</v>
      </c>
      <c r="C1872" s="14">
        <f>612.5*(2/3*10)</f>
        <v>4083.333333333333</v>
      </c>
      <c r="D1872" s="14">
        <f>24*(2/3*10)</f>
        <v>160</v>
      </c>
      <c r="E1872" s="14">
        <f>854.3*(2/3*10)</f>
        <v>5695.3333333333321</v>
      </c>
      <c r="F1872" s="14">
        <f>99.1*(2/3*10)</f>
        <v>660.66666666666652</v>
      </c>
      <c r="G1872" s="14">
        <f>66.6*(2/3*10)</f>
        <v>443.99999999999994</v>
      </c>
      <c r="H1872" s="14">
        <f>31.7*(2/3*10)</f>
        <v>211.33333333333331</v>
      </c>
      <c r="I1872" s="14">
        <f>68.8*(2/3*10)</f>
        <v>458.66666666666663</v>
      </c>
      <c r="K1872">
        <v>1869</v>
      </c>
      <c r="L1872">
        <f t="shared" si="29"/>
        <v>5</v>
      </c>
    </row>
    <row r="1873" spans="1:12" ht="16.5" x14ac:dyDescent="0.2">
      <c r="A1873" s="4" t="s">
        <v>119</v>
      </c>
      <c r="B1873">
        <v>2014</v>
      </c>
      <c r="C1873" s="14">
        <f>611.7*(2/3*10)</f>
        <v>4078</v>
      </c>
      <c r="D1873" s="14">
        <f>24*(2/3*10)</f>
        <v>160</v>
      </c>
      <c r="E1873" s="14">
        <f>854.1*(2/3*10)</f>
        <v>5694</v>
      </c>
      <c r="F1873" s="14">
        <f>99*(2/3*10)</f>
        <v>659.99999999999989</v>
      </c>
      <c r="G1873" s="14">
        <f>67.4*(2/3*10)</f>
        <v>449.33333333333331</v>
      </c>
      <c r="H1873" s="14">
        <f>31.9*(2/3*10)</f>
        <v>212.66666666666663</v>
      </c>
      <c r="I1873" s="14">
        <f>68.8*(2/3*10)</f>
        <v>458.66666666666663</v>
      </c>
      <c r="K1873" s="15">
        <v>1870</v>
      </c>
      <c r="L1873">
        <f t="shared" si="29"/>
        <v>6</v>
      </c>
    </row>
    <row r="1874" spans="1:12" ht="16.5" x14ac:dyDescent="0.2">
      <c r="A1874" s="4" t="s">
        <v>119</v>
      </c>
      <c r="B1874">
        <v>2015</v>
      </c>
      <c r="C1874" s="14">
        <f>610.9*(2/3*10)</f>
        <v>4072.6666666666661</v>
      </c>
      <c r="D1874" s="14">
        <f>23.9*(2/3*10)</f>
        <v>159.33333333333331</v>
      </c>
      <c r="E1874" s="14">
        <f>854*(2/3*10)</f>
        <v>5693.333333333333</v>
      </c>
      <c r="F1874" s="14">
        <f>98.9*(2/3*10)</f>
        <v>659.33333333333326</v>
      </c>
      <c r="G1874" s="14">
        <f>68*(2/3*10)</f>
        <v>453.33333333333331</v>
      </c>
      <c r="H1874" s="14">
        <f>32*(2/3*10)</f>
        <v>213.33333333333331</v>
      </c>
      <c r="I1874" s="14">
        <f>69.2*(2/3*10)</f>
        <v>461.33333333333331</v>
      </c>
      <c r="K1874">
        <v>1871</v>
      </c>
      <c r="L1874">
        <f t="shared" si="29"/>
        <v>7</v>
      </c>
    </row>
    <row r="1875" spans="1:12" ht="16.5" x14ac:dyDescent="0.2">
      <c r="A1875" s="4" t="s">
        <v>119</v>
      </c>
      <c r="B1875">
        <v>2016</v>
      </c>
      <c r="C1875" s="14">
        <f>610.6*(2/3*10)</f>
        <v>4070.6666666666665</v>
      </c>
      <c r="D1875" s="14">
        <f>23.9*(2/3*10)</f>
        <v>159.33333333333331</v>
      </c>
      <c r="E1875" s="14">
        <f>853.9*(2/3*10)</f>
        <v>5692.6666666666661</v>
      </c>
      <c r="F1875" s="14">
        <f>98.9*(2/3*10)</f>
        <v>659.33333333333326</v>
      </c>
      <c r="G1875" s="14">
        <f>68.4*(2/3*10)</f>
        <v>455.99999999999989</v>
      </c>
      <c r="H1875" s="14">
        <f>32*(2/3*10)</f>
        <v>213.33333333333331</v>
      </c>
      <c r="I1875" s="14">
        <f>69.2*(2/3*10)</f>
        <v>461.33333333333331</v>
      </c>
      <c r="K1875">
        <v>1872</v>
      </c>
      <c r="L1875">
        <f t="shared" si="29"/>
        <v>0</v>
      </c>
    </row>
    <row r="1876" spans="1:12" ht="16.5" x14ac:dyDescent="0.2">
      <c r="A1876" s="4" t="s">
        <v>118</v>
      </c>
      <c r="B1876">
        <v>2009</v>
      </c>
      <c r="C1876" s="14">
        <f>779.8*(2/3*10)</f>
        <v>5198.6666666666661</v>
      </c>
      <c r="D1876" s="14">
        <f>69.9*(2/3*10)</f>
        <v>466</v>
      </c>
      <c r="E1876" s="14">
        <f>1129.5*(2/3*10)</f>
        <v>7529.9999999999991</v>
      </c>
      <c r="F1876" s="14">
        <f>99.3*(2/3*10)</f>
        <v>661.99999999999989</v>
      </c>
      <c r="G1876" s="14">
        <f>58.8*(2/3*10)</f>
        <v>391.99999999999994</v>
      </c>
      <c r="H1876" s="14">
        <f>37.4*(2/3*10)</f>
        <v>249.33333333333331</v>
      </c>
      <c r="I1876" s="14">
        <f>64.6*(2/3*10)</f>
        <v>430.66666666666657</v>
      </c>
      <c r="K1876" s="15">
        <v>1873</v>
      </c>
      <c r="L1876">
        <f t="shared" si="29"/>
        <v>1</v>
      </c>
    </row>
    <row r="1877" spans="1:12" ht="16.5" x14ac:dyDescent="0.2">
      <c r="A1877" s="4" t="s">
        <v>118</v>
      </c>
      <c r="B1877">
        <v>2010</v>
      </c>
      <c r="C1877" s="14">
        <f>779.5*(2/3*10)</f>
        <v>5196.6666666666661</v>
      </c>
      <c r="D1877" s="14">
        <f>69.8*(2/3*10)</f>
        <v>465.33333333333326</v>
      </c>
      <c r="E1877" s="14">
        <f>1129.2*(2/3*10)</f>
        <v>7528</v>
      </c>
      <c r="F1877" s="14">
        <f>99.1*(2/3*10)</f>
        <v>660.66666666666652</v>
      </c>
      <c r="G1877" s="14">
        <f>59.7*(2/3*10)</f>
        <v>398</v>
      </c>
      <c r="H1877" s="14">
        <f>37.4*(2/3*10)</f>
        <v>249.33333333333331</v>
      </c>
      <c r="I1877" s="14">
        <f>64.5*(2/3*10)</f>
        <v>429.99999999999994</v>
      </c>
      <c r="K1877">
        <v>1874</v>
      </c>
      <c r="L1877">
        <f t="shared" si="29"/>
        <v>2</v>
      </c>
    </row>
    <row r="1878" spans="1:12" ht="16.5" x14ac:dyDescent="0.2">
      <c r="A1878" s="4" t="s">
        <v>118</v>
      </c>
      <c r="B1878">
        <v>2011</v>
      </c>
      <c r="C1878" s="14">
        <f>780.5*(2/3*10)</f>
        <v>5203.333333333333</v>
      </c>
      <c r="D1878" s="14">
        <f>69*(2/3*10)</f>
        <v>459.99999999999994</v>
      </c>
      <c r="E1878" s="14">
        <f>1128.5*(2/3*10)</f>
        <v>7523.333333333333</v>
      </c>
      <c r="F1878" s="14">
        <f>98.5*(2/3*10)</f>
        <v>656.66666666666663</v>
      </c>
      <c r="G1878" s="14">
        <f>60.5*(2/3*10)</f>
        <v>403.33333333333337</v>
      </c>
      <c r="H1878" s="14">
        <f>37.6*(2/3*10)</f>
        <v>250.66666666666666</v>
      </c>
      <c r="I1878" s="14">
        <f>64.5*(2/3*10)</f>
        <v>429.99999999999994</v>
      </c>
      <c r="K1878" s="15">
        <v>1875</v>
      </c>
      <c r="L1878">
        <f t="shared" si="29"/>
        <v>3</v>
      </c>
    </row>
    <row r="1879" spans="1:12" ht="16.5" x14ac:dyDescent="0.2">
      <c r="A1879" s="4" t="s">
        <v>118</v>
      </c>
      <c r="B1879">
        <v>2012</v>
      </c>
      <c r="C1879" s="14">
        <f>780*(2/3*10)</f>
        <v>5199.9999999999991</v>
      </c>
      <c r="D1879" s="14">
        <f>68.9*(2/3*10)</f>
        <v>459.33333333333331</v>
      </c>
      <c r="E1879" s="14">
        <f>1128.3*(2/3*10)</f>
        <v>7521.9999999999991</v>
      </c>
      <c r="F1879" s="14">
        <f>98.5*(2/3*10)</f>
        <v>656.66666666666663</v>
      </c>
      <c r="G1879" s="14">
        <f>61.4*(2/3*10)</f>
        <v>409.33333333333331</v>
      </c>
      <c r="H1879" s="14">
        <f>37.6*(2/3*10)</f>
        <v>250.66666666666666</v>
      </c>
      <c r="I1879" s="14">
        <f>64.5*(2/3*10)</f>
        <v>429.99999999999994</v>
      </c>
      <c r="K1879">
        <v>1876</v>
      </c>
      <c r="L1879">
        <f t="shared" si="29"/>
        <v>4</v>
      </c>
    </row>
    <row r="1880" spans="1:12" ht="16.5" x14ac:dyDescent="0.2">
      <c r="A1880" s="4" t="s">
        <v>118</v>
      </c>
      <c r="B1880">
        <v>2013</v>
      </c>
      <c r="C1880" s="14">
        <f>781.4*(2/3*10)</f>
        <v>5209.333333333333</v>
      </c>
      <c r="D1880" s="14">
        <f>68.6*(2/3*10)</f>
        <v>457.33333333333326</v>
      </c>
      <c r="E1880" s="14">
        <f>1127.3*(2/3*10)</f>
        <v>7515.3333333333321</v>
      </c>
      <c r="F1880" s="14">
        <f>96.6*(2/3*10)</f>
        <v>643.99999999999989</v>
      </c>
      <c r="G1880" s="14">
        <f>62.2*(2/3*10)</f>
        <v>414.66666666666663</v>
      </c>
      <c r="H1880" s="14">
        <f>38.3*(2/3*10)</f>
        <v>255.33333333333329</v>
      </c>
      <c r="I1880" s="14">
        <f>64.4*(2/3*10)</f>
        <v>429.33333333333331</v>
      </c>
      <c r="K1880">
        <v>1877</v>
      </c>
      <c r="L1880">
        <f t="shared" si="29"/>
        <v>5</v>
      </c>
    </row>
    <row r="1881" spans="1:12" ht="16.5" x14ac:dyDescent="0.2">
      <c r="A1881" s="4" t="s">
        <v>118</v>
      </c>
      <c r="B1881">
        <v>2014</v>
      </c>
      <c r="C1881" s="14">
        <f>780.6*(2/3*10)</f>
        <v>5204</v>
      </c>
      <c r="D1881" s="14">
        <f>68.5*(2/3*10)</f>
        <v>456.66666666666663</v>
      </c>
      <c r="E1881" s="14">
        <f>1127.1*(2/3*10)</f>
        <v>7513.9999999999991</v>
      </c>
      <c r="F1881" s="14">
        <f>96.6*(2/3*10)</f>
        <v>643.99999999999989</v>
      </c>
      <c r="G1881" s="14">
        <f>63*(2/3*10)</f>
        <v>419.99999999999994</v>
      </c>
      <c r="H1881" s="14">
        <f>38.8*(2/3*10)</f>
        <v>258.66666666666663</v>
      </c>
      <c r="I1881" s="14">
        <f>64.3*(2/3*10)</f>
        <v>428.66666666666663</v>
      </c>
      <c r="K1881" s="15">
        <v>1878</v>
      </c>
      <c r="L1881">
        <f t="shared" si="29"/>
        <v>6</v>
      </c>
    </row>
    <row r="1882" spans="1:12" ht="16.5" x14ac:dyDescent="0.2">
      <c r="A1882" s="4" t="s">
        <v>118</v>
      </c>
      <c r="B1882">
        <v>2015</v>
      </c>
      <c r="C1882" s="14">
        <f>779.6*(2/3*10)</f>
        <v>5197.333333333333</v>
      </c>
      <c r="D1882" s="14">
        <f>68.3*(2/3*10)</f>
        <v>455.33333333333326</v>
      </c>
      <c r="E1882" s="14">
        <f>1126.8*(2/3*10)</f>
        <v>7511.9999999999991</v>
      </c>
      <c r="F1882" s="14">
        <f>96.5*(2/3*10)</f>
        <v>643.33333333333326</v>
      </c>
      <c r="G1882" s="14">
        <f>64.3*(2/3*10)</f>
        <v>428.66666666666663</v>
      </c>
      <c r="H1882" s="14">
        <f>39.1*(2/3*10)</f>
        <v>260.66666666666663</v>
      </c>
      <c r="I1882" s="14">
        <f>64.3*(2/3*10)</f>
        <v>428.66666666666663</v>
      </c>
      <c r="K1882">
        <v>1879</v>
      </c>
      <c r="L1882">
        <f t="shared" si="29"/>
        <v>7</v>
      </c>
    </row>
    <row r="1883" spans="1:12" ht="16.5" x14ac:dyDescent="0.2">
      <c r="A1883" s="4" t="s">
        <v>118</v>
      </c>
      <c r="B1883">
        <v>2016</v>
      </c>
      <c r="C1883" s="14">
        <f>778.9*(2/3*10)</f>
        <v>5192.6666666666661</v>
      </c>
      <c r="D1883" s="14">
        <f>68.1*(2/3*10)</f>
        <v>453.99999999999994</v>
      </c>
      <c r="E1883" s="14">
        <f>1126.5*(2/3*10)</f>
        <v>7509.9999999999991</v>
      </c>
      <c r="F1883" s="14">
        <f>96.5*(2/3*10)</f>
        <v>643.33333333333326</v>
      </c>
      <c r="G1883" s="14">
        <f>65.2*(2/3*10)</f>
        <v>434.66666666666663</v>
      </c>
      <c r="H1883" s="14">
        <f>39.2*(2/3*10)</f>
        <v>261.33333333333331</v>
      </c>
      <c r="I1883" s="14">
        <f>64.2*(2/3*10)</f>
        <v>428</v>
      </c>
      <c r="K1883" s="15">
        <v>1880</v>
      </c>
      <c r="L1883">
        <f t="shared" si="29"/>
        <v>0</v>
      </c>
    </row>
    <row r="1884" spans="1:12" ht="16.5" x14ac:dyDescent="0.2">
      <c r="A1884" s="4" t="s">
        <v>117</v>
      </c>
      <c r="B1884">
        <v>2009</v>
      </c>
      <c r="C1884" s="14">
        <f>1094.6*(2/3*10)</f>
        <v>7297.3333333333321</v>
      </c>
      <c r="D1884" s="14">
        <f>1415.1*(2/3*10)</f>
        <v>9433.9999999999982</v>
      </c>
      <c r="E1884" s="14">
        <f>1819*(2/3*10)</f>
        <v>12126.666666666666</v>
      </c>
      <c r="F1884" s="14">
        <f>55.1*(2/3*10)</f>
        <v>367.33333333333331</v>
      </c>
      <c r="G1884" s="14">
        <f>302.4*(2/3*10)</f>
        <v>2015.9999999999998</v>
      </c>
      <c r="H1884" s="14">
        <f>84.6*(2/3*10)</f>
        <v>563.99999999999989</v>
      </c>
      <c r="I1884" s="14">
        <f>425*(2/3*10)</f>
        <v>2833.333333333333</v>
      </c>
      <c r="K1884">
        <v>1881</v>
      </c>
      <c r="L1884">
        <f t="shared" si="29"/>
        <v>1</v>
      </c>
    </row>
    <row r="1885" spans="1:12" ht="16.5" x14ac:dyDescent="0.2">
      <c r="A1885" s="4" t="s">
        <v>117</v>
      </c>
      <c r="B1885">
        <v>2010</v>
      </c>
      <c r="C1885" s="14">
        <f>1094.9*(2/3*10)</f>
        <v>7299.333333333333</v>
      </c>
      <c r="D1885" s="14">
        <f>1409*(2/3*10)</f>
        <v>9393.3333333333321</v>
      </c>
      <c r="E1885" s="14">
        <f>1814*(2/3*10)</f>
        <v>12093.333333333332</v>
      </c>
      <c r="F1885" s="14">
        <f>58.1*(2/3*10)</f>
        <v>387.33333333333331</v>
      </c>
      <c r="G1885" s="14">
        <f>308.1*(2/3*10)</f>
        <v>2053.9999999999995</v>
      </c>
      <c r="H1885" s="14">
        <f>86.5*(2/3*10)</f>
        <v>576.66666666666663</v>
      </c>
      <c r="I1885" s="14">
        <f>424.7*(2/3*10)</f>
        <v>2831.333333333333</v>
      </c>
      <c r="K1885">
        <v>1882</v>
      </c>
      <c r="L1885">
        <f t="shared" si="29"/>
        <v>2</v>
      </c>
    </row>
    <row r="1886" spans="1:12" ht="16.5" x14ac:dyDescent="0.2">
      <c r="A1886" s="4" t="s">
        <v>117</v>
      </c>
      <c r="B1886">
        <v>2011</v>
      </c>
      <c r="C1886" s="14">
        <f>1089.9*(2/3*10)</f>
        <v>7266</v>
      </c>
      <c r="D1886" s="14">
        <f>1402.7*(2/3*10)</f>
        <v>9351.3333333333321</v>
      </c>
      <c r="E1886" s="14">
        <f>1809.6*(2/3*10)</f>
        <v>12063.999999999998</v>
      </c>
      <c r="F1886" s="14">
        <f>61.4*(2/3*10)</f>
        <v>409.33333333333331</v>
      </c>
      <c r="G1886" s="14">
        <f>317.5*(2/3*10)</f>
        <v>2116.6666666666665</v>
      </c>
      <c r="H1886" s="14">
        <f>87.6*(2/3*10)</f>
        <v>583.99999999999989</v>
      </c>
      <c r="I1886" s="14">
        <f>426.4*(2/3*10)</f>
        <v>2842.6666666666661</v>
      </c>
      <c r="K1886" s="15">
        <v>1883</v>
      </c>
      <c r="L1886">
        <f t="shared" si="29"/>
        <v>3</v>
      </c>
    </row>
    <row r="1887" spans="1:12" ht="16.5" x14ac:dyDescent="0.2">
      <c r="A1887" s="4" t="s">
        <v>117</v>
      </c>
      <c r="B1887">
        <v>2012</v>
      </c>
      <c r="C1887" s="14">
        <f>1090*(2/3*10)</f>
        <v>7266.6666666666661</v>
      </c>
      <c r="D1887" s="14">
        <f>1397.4*(2/3*10)</f>
        <v>9316</v>
      </c>
      <c r="E1887" s="14">
        <f>1806.6*(2/3*10)</f>
        <v>12043.999999999998</v>
      </c>
      <c r="F1887" s="14">
        <f>63.2*(2/3*10)</f>
        <v>421.33333333333331</v>
      </c>
      <c r="G1887" s="14">
        <f>322.3*(2/3*10)</f>
        <v>2148.6666666666665</v>
      </c>
      <c r="H1887" s="14">
        <f>88.9*(2/3*10)</f>
        <v>592.66666666666663</v>
      </c>
      <c r="I1887" s="14">
        <f>426.2*(2/3*10)</f>
        <v>2841.333333333333</v>
      </c>
      <c r="K1887">
        <v>1884</v>
      </c>
      <c r="L1887">
        <f t="shared" si="29"/>
        <v>4</v>
      </c>
    </row>
    <row r="1888" spans="1:12" ht="16.5" x14ac:dyDescent="0.2">
      <c r="A1888" s="4" t="s">
        <v>117</v>
      </c>
      <c r="B1888">
        <v>2013</v>
      </c>
      <c r="C1888" s="14">
        <f>1090.1*(2/3*10)</f>
        <v>7267.3333333333321</v>
      </c>
      <c r="D1888" s="14">
        <f>1392.1*(2/3*10)</f>
        <v>9280.6666666666661</v>
      </c>
      <c r="E1888" s="14">
        <f>1803.4*(2/3*10)</f>
        <v>12022.666666666666</v>
      </c>
      <c r="F1888" s="14">
        <f>65.2*(2/3*10)</f>
        <v>434.66666666666663</v>
      </c>
      <c r="G1888" s="14">
        <f>326.9*(2/3*10)</f>
        <v>2179.333333333333</v>
      </c>
      <c r="H1888" s="14">
        <f>90.4*(2/3*10)</f>
        <v>602.66666666666663</v>
      </c>
      <c r="I1888" s="14">
        <f>425.8*(2/3*10)</f>
        <v>2838.6666666666665</v>
      </c>
      <c r="K1888" s="15">
        <v>1885</v>
      </c>
      <c r="L1888">
        <f t="shared" si="29"/>
        <v>5</v>
      </c>
    </row>
    <row r="1889" spans="1:12" ht="16.5" x14ac:dyDescent="0.2">
      <c r="A1889" s="4" t="s">
        <v>117</v>
      </c>
      <c r="B1889">
        <v>2014</v>
      </c>
      <c r="C1889" s="14">
        <f>1088.6*(2/3*10)</f>
        <v>7257.3333333333321</v>
      </c>
      <c r="D1889" s="14">
        <f>1388.7*(2/3*10)</f>
        <v>9258</v>
      </c>
      <c r="E1889" s="14">
        <f>1800.3*(2/3*10)</f>
        <v>12001.999999999998</v>
      </c>
      <c r="F1889" s="14">
        <f>67.1*(2/3*10)</f>
        <v>447.33333333333326</v>
      </c>
      <c r="G1889" s="14">
        <f>330.4*(2/3*10)</f>
        <v>2202.6666666666665</v>
      </c>
      <c r="H1889" s="14">
        <f>92.3*(2/3*10)</f>
        <v>615.33333333333326</v>
      </c>
      <c r="I1889" s="14">
        <f>425.9*(2/3*10)</f>
        <v>2839.333333333333</v>
      </c>
      <c r="K1889">
        <v>1886</v>
      </c>
      <c r="L1889">
        <f t="shared" si="29"/>
        <v>6</v>
      </c>
    </row>
    <row r="1890" spans="1:12" ht="16.5" x14ac:dyDescent="0.2">
      <c r="A1890" s="4" t="s">
        <v>117</v>
      </c>
      <c r="B1890">
        <v>2015</v>
      </c>
      <c r="C1890" s="14">
        <f>1088.8*(2/3*10)</f>
        <v>7258.6666666666661</v>
      </c>
      <c r="D1890" s="14">
        <f>1382.2*(2/3*10)</f>
        <v>9214.6666666666661</v>
      </c>
      <c r="E1890" s="14">
        <f>1798.3*(2/3*10)</f>
        <v>11988.666666666666</v>
      </c>
      <c r="F1890" s="14">
        <f>70.5*(2/3*10)</f>
        <v>469.99999999999994</v>
      </c>
      <c r="G1890" s="14">
        <f>334.2*(2/3*10)</f>
        <v>2228</v>
      </c>
      <c r="H1890" s="14">
        <f>94.2*(2/3*10)</f>
        <v>628</v>
      </c>
      <c r="I1890" s="14">
        <f>425.1*(2/3*10)</f>
        <v>2834</v>
      </c>
      <c r="K1890">
        <v>1887</v>
      </c>
      <c r="L1890">
        <f t="shared" si="29"/>
        <v>7</v>
      </c>
    </row>
    <row r="1891" spans="1:12" ht="16.5" x14ac:dyDescent="0.2">
      <c r="A1891" s="4" t="s">
        <v>117</v>
      </c>
      <c r="B1891">
        <v>2016</v>
      </c>
      <c r="C1891" s="14">
        <f>1084.1*(2/3*10)</f>
        <v>7227.3333333333321</v>
      </c>
      <c r="D1891" s="14">
        <f>1377.3*(2/3*10)</f>
        <v>9181.9999999999982</v>
      </c>
      <c r="E1891" s="14">
        <f>1800.6*(2/3*10)</f>
        <v>12003.999999999998</v>
      </c>
      <c r="F1891" s="14">
        <f>73.4*(2/3*10)</f>
        <v>489.33333333333331</v>
      </c>
      <c r="G1891" s="14">
        <f>338.2*(2/3*10)</f>
        <v>2254.666666666667</v>
      </c>
      <c r="H1891" s="14">
        <f>95.2*(2/3*10)</f>
        <v>634.66666666666663</v>
      </c>
      <c r="I1891" s="14">
        <f>424.5*(2/3*10)</f>
        <v>2829.9999999999995</v>
      </c>
      <c r="K1891" s="15">
        <v>1888</v>
      </c>
      <c r="L1891">
        <f t="shared" si="29"/>
        <v>0</v>
      </c>
    </row>
    <row r="1892" spans="1:12" ht="16.5" x14ac:dyDescent="0.2">
      <c r="A1892" s="4" t="s">
        <v>116</v>
      </c>
      <c r="B1892">
        <v>2009</v>
      </c>
      <c r="C1892" s="14">
        <f>105.5*(2/3*10)</f>
        <v>703.33333333333326</v>
      </c>
      <c r="D1892" s="14">
        <f>68.5*(2/3*10)</f>
        <v>456.66666666666663</v>
      </c>
      <c r="E1892" s="14">
        <f>63.2*(2/3*10)</f>
        <v>421.33333333333331</v>
      </c>
      <c r="F1892" s="14">
        <f>8.5*(2/3*10)</f>
        <v>56.666666666666664</v>
      </c>
      <c r="G1892" s="14">
        <f>48.4*(2/3*10)</f>
        <v>322.66666666666663</v>
      </c>
      <c r="H1892" s="14">
        <f>10.2*(2/3*10)</f>
        <v>67.999999999999986</v>
      </c>
      <c r="I1892" s="14">
        <f>28.9*(2/3*10)</f>
        <v>192.66666666666663</v>
      </c>
      <c r="K1892">
        <v>1889</v>
      </c>
      <c r="L1892">
        <f t="shared" si="29"/>
        <v>1</v>
      </c>
    </row>
    <row r="1893" spans="1:12" ht="16.5" x14ac:dyDescent="0.2">
      <c r="A1893" s="4" t="s">
        <v>116</v>
      </c>
      <c r="B1893">
        <v>2010</v>
      </c>
      <c r="C1893" s="14">
        <f>105.1*(2/3*10)</f>
        <v>700.66666666666652</v>
      </c>
      <c r="D1893" s="14">
        <f>68.4*(2/3*10)</f>
        <v>456</v>
      </c>
      <c r="E1893" s="14">
        <f>62.8*(2/3*10)</f>
        <v>418.66666666666663</v>
      </c>
      <c r="F1893" s="14">
        <f>8.4*(2/3*10)</f>
        <v>56</v>
      </c>
      <c r="G1893" s="14">
        <f>49.1*(2/3*10)</f>
        <v>327.33333333333331</v>
      </c>
      <c r="H1893" s="14">
        <f>10.6*(2/3*10)</f>
        <v>70.666666666666657</v>
      </c>
      <c r="I1893" s="14">
        <f>28.8*(2/3*10)</f>
        <v>192</v>
      </c>
      <c r="K1893" s="15">
        <v>1890</v>
      </c>
      <c r="L1893">
        <f t="shared" si="29"/>
        <v>2</v>
      </c>
    </row>
    <row r="1894" spans="1:12" ht="16.5" x14ac:dyDescent="0.2">
      <c r="A1894" s="4" t="s">
        <v>116</v>
      </c>
      <c r="B1894">
        <v>2011</v>
      </c>
      <c r="C1894" s="14">
        <f>104.6*(2/3*10)</f>
        <v>697.33333333333326</v>
      </c>
      <c r="D1894" s="14">
        <f>68.1*(2/3*10)</f>
        <v>453.99999999999994</v>
      </c>
      <c r="E1894" s="14">
        <f>62.4*(2/3*10)</f>
        <v>415.99999999999994</v>
      </c>
      <c r="F1894" s="14">
        <f>8.3*(2/3*10)</f>
        <v>55.333333333333336</v>
      </c>
      <c r="G1894" s="14">
        <f>50.7*(2/3*10)</f>
        <v>337.99999999999994</v>
      </c>
      <c r="H1894" s="14">
        <f>10.9*(2/3*10)</f>
        <v>72.666666666666657</v>
      </c>
      <c r="I1894" s="14">
        <f>28.6*(2/3*10)</f>
        <v>190.66666666666666</v>
      </c>
      <c r="K1894">
        <v>1891</v>
      </c>
      <c r="L1894">
        <f t="shared" si="29"/>
        <v>3</v>
      </c>
    </row>
    <row r="1895" spans="1:12" ht="16.5" x14ac:dyDescent="0.2">
      <c r="A1895" s="4" t="s">
        <v>116</v>
      </c>
      <c r="B1895">
        <v>2012</v>
      </c>
      <c r="C1895" s="14">
        <f>104.3*(2/3*10)</f>
        <v>695.33333333333326</v>
      </c>
      <c r="D1895" s="14">
        <f>68*(2/3*10)</f>
        <v>453.33333333333331</v>
      </c>
      <c r="E1895" s="14">
        <f>62.2*(2/3*10)</f>
        <v>414.66666666666663</v>
      </c>
      <c r="F1895" s="14">
        <f>8.2*(2/3*10)</f>
        <v>54.666666666666657</v>
      </c>
      <c r="G1895" s="14">
        <f>51.2*(2/3*10)</f>
        <v>341.33333333333326</v>
      </c>
      <c r="H1895" s="14">
        <f>11*(2/3*10)</f>
        <v>73.333333333333329</v>
      </c>
      <c r="I1895" s="14">
        <f>28.6*(2/3*10)</f>
        <v>190.66666666666666</v>
      </c>
      <c r="K1895">
        <v>1892</v>
      </c>
      <c r="L1895">
        <f t="shared" si="29"/>
        <v>4</v>
      </c>
    </row>
    <row r="1896" spans="1:12" ht="16.5" x14ac:dyDescent="0.2">
      <c r="A1896" s="4" t="s">
        <v>116</v>
      </c>
      <c r="B1896">
        <v>2013</v>
      </c>
      <c r="C1896" s="14">
        <f>103.9*(2/3*10)</f>
        <v>692.66666666666663</v>
      </c>
      <c r="D1896" s="14">
        <f>67.9*(2/3*10)</f>
        <v>452.66666666666669</v>
      </c>
      <c r="E1896" s="14">
        <f>62*(2/3*10)</f>
        <v>413.33333333333331</v>
      </c>
      <c r="F1896" s="14">
        <f>8.3*(2/3*10)</f>
        <v>55.333333333333336</v>
      </c>
      <c r="G1896" s="14">
        <f>51.8*(2/3*10)</f>
        <v>345.33333333333326</v>
      </c>
      <c r="H1896" s="14">
        <f>11.1*(2/3*10)</f>
        <v>73.999999999999986</v>
      </c>
      <c r="I1896" s="14">
        <f>28.5*(2/3*10)</f>
        <v>189.99999999999997</v>
      </c>
      <c r="K1896" s="15">
        <v>1893</v>
      </c>
      <c r="L1896">
        <f t="shared" si="29"/>
        <v>5</v>
      </c>
    </row>
    <row r="1897" spans="1:12" ht="16.5" x14ac:dyDescent="0.2">
      <c r="A1897" s="4" t="s">
        <v>116</v>
      </c>
      <c r="B1897">
        <v>2014</v>
      </c>
      <c r="C1897" s="14">
        <f>103.6*(2/3*10)</f>
        <v>690.66666666666652</v>
      </c>
      <c r="D1897" s="14">
        <f>67.4*(2/3*10)</f>
        <v>449.33333333333331</v>
      </c>
      <c r="E1897" s="14">
        <f>61.8*(2/3*10)</f>
        <v>411.99999999999994</v>
      </c>
      <c r="F1897" s="14">
        <f>8.7*(2/3*10)</f>
        <v>57.999999999999993</v>
      </c>
      <c r="G1897" s="14">
        <f>52.3*(2/3*10)</f>
        <v>348.66666666666663</v>
      </c>
      <c r="H1897" s="14">
        <f>11.4*(2/3*10)</f>
        <v>76</v>
      </c>
      <c r="I1897" s="14">
        <f>28.5*(2/3*10)</f>
        <v>189.99999999999997</v>
      </c>
      <c r="K1897">
        <v>1894</v>
      </c>
      <c r="L1897">
        <f t="shared" si="29"/>
        <v>6</v>
      </c>
    </row>
    <row r="1898" spans="1:12" ht="16.5" x14ac:dyDescent="0.2">
      <c r="A1898" s="4" t="s">
        <v>116</v>
      </c>
      <c r="B1898">
        <v>2015</v>
      </c>
      <c r="C1898" s="14">
        <f>103.3*(2/3*10)</f>
        <v>688.66666666666663</v>
      </c>
      <c r="D1898" s="14">
        <f>67.3*(2/3*10)</f>
        <v>448.66666666666663</v>
      </c>
      <c r="E1898" s="14">
        <f>61.6*(2/3*10)</f>
        <v>410.66666666666663</v>
      </c>
      <c r="F1898" s="14">
        <f>8.5*(2/3*10)</f>
        <v>56.666666666666664</v>
      </c>
      <c r="G1898" s="14">
        <f>53*(2/3*10)</f>
        <v>353.33333333333331</v>
      </c>
      <c r="H1898" s="14">
        <f>11.5*(2/3*10)</f>
        <v>76.666666666666657</v>
      </c>
      <c r="I1898" s="14">
        <f>28.4*(2/3*10)</f>
        <v>189.33333333333331</v>
      </c>
      <c r="K1898" s="15">
        <v>1895</v>
      </c>
      <c r="L1898">
        <f t="shared" si="29"/>
        <v>7</v>
      </c>
    </row>
    <row r="1899" spans="1:12" ht="16.5" x14ac:dyDescent="0.2">
      <c r="A1899" s="4" t="s">
        <v>116</v>
      </c>
      <c r="B1899">
        <v>2016</v>
      </c>
      <c r="C1899" s="14">
        <f>102.8*(2/3*10)</f>
        <v>685.33333333333326</v>
      </c>
      <c r="D1899" s="14">
        <f>66.6*(2/3*10)</f>
        <v>443.99999999999994</v>
      </c>
      <c r="E1899" s="14">
        <f>61.3*(2/3*10)</f>
        <v>408.66666666666663</v>
      </c>
      <c r="F1899" s="14">
        <f>8.9*(2/3*10)</f>
        <v>59.333333333333329</v>
      </c>
      <c r="G1899" s="14">
        <f>53.9*(2/3*10)</f>
        <v>359.33333333333331</v>
      </c>
      <c r="H1899" s="14">
        <f>11.7*(2/3*10)</f>
        <v>77.999999999999986</v>
      </c>
      <c r="I1899" s="14">
        <f>28.4*(2/3*10)</f>
        <v>189.33333333333331</v>
      </c>
      <c r="K1899">
        <v>1896</v>
      </c>
      <c r="L1899">
        <f t="shared" si="29"/>
        <v>0</v>
      </c>
    </row>
    <row r="1900" spans="1:12" ht="16.5" x14ac:dyDescent="0.2">
      <c r="A1900" s="4" t="s">
        <v>115</v>
      </c>
      <c r="B1900">
        <v>2009</v>
      </c>
      <c r="C1900" s="14">
        <f>35.7*(2/3*10)</f>
        <v>238</v>
      </c>
      <c r="D1900" s="14">
        <f>90*(2/3*10)</f>
        <v>600</v>
      </c>
      <c r="E1900" s="14">
        <f>111.9*(2/3*10)</f>
        <v>746</v>
      </c>
      <c r="F1900" s="14">
        <f>1.5*(2/3*10)</f>
        <v>10</v>
      </c>
      <c r="G1900" s="14">
        <f>17.2*(2/3*10)</f>
        <v>114.66666666666667</v>
      </c>
      <c r="H1900" s="14">
        <f>5.4*(2/3*10)</f>
        <v>36</v>
      </c>
      <c r="I1900" s="14">
        <f>13.9*(2/3*10)</f>
        <v>92.666666666666657</v>
      </c>
      <c r="K1900">
        <v>1897</v>
      </c>
      <c r="L1900">
        <f t="shared" si="29"/>
        <v>1</v>
      </c>
    </row>
    <row r="1901" spans="1:12" ht="16.5" x14ac:dyDescent="0.2">
      <c r="A1901" s="4" t="s">
        <v>115</v>
      </c>
      <c r="B1901">
        <v>2010</v>
      </c>
      <c r="C1901" s="14">
        <f>35.5*(2/3*10)</f>
        <v>236.66666666666666</v>
      </c>
      <c r="D1901" s="14">
        <f>89.6*(2/3*10)</f>
        <v>597.33333333333326</v>
      </c>
      <c r="E1901" s="14">
        <f>111.7*(2/3*10)</f>
        <v>744.66666666666663</v>
      </c>
      <c r="F1901" s="14">
        <f>1.6*(2/3*10)</f>
        <v>10.666666666666666</v>
      </c>
      <c r="G1901" s="14">
        <f>17.6*(2/3*10)</f>
        <v>117.33333333333333</v>
      </c>
      <c r="H1901" s="14">
        <f>5.6*(2/3*10)</f>
        <v>37.333333333333329</v>
      </c>
      <c r="I1901" s="14">
        <f>13.9*(2/3*10)</f>
        <v>92.666666666666657</v>
      </c>
      <c r="K1901" s="15">
        <v>1898</v>
      </c>
      <c r="L1901">
        <f t="shared" si="29"/>
        <v>2</v>
      </c>
    </row>
    <row r="1902" spans="1:12" ht="16.5" x14ac:dyDescent="0.2">
      <c r="A1902" s="4" t="s">
        <v>115</v>
      </c>
      <c r="B1902">
        <v>2011</v>
      </c>
      <c r="C1902" s="14">
        <f>35.1*(2/3*10)</f>
        <v>234</v>
      </c>
      <c r="D1902" s="14">
        <f>89.5*(2/3*10)</f>
        <v>596.66666666666663</v>
      </c>
      <c r="E1902" s="14">
        <f>111.7*(2/3*10)</f>
        <v>744.66666666666663</v>
      </c>
      <c r="F1902" s="14">
        <f>1.8*(2/3*10)</f>
        <v>12</v>
      </c>
      <c r="G1902" s="14">
        <f>17.5*(2/3*10)</f>
        <v>116.66666666666666</v>
      </c>
      <c r="H1902" s="14">
        <f>5.8*(2/3*10)</f>
        <v>38.666666666666664</v>
      </c>
      <c r="I1902" s="14">
        <f>14.1*(2/3*10)</f>
        <v>93.999999999999986</v>
      </c>
      <c r="K1902">
        <v>1899</v>
      </c>
      <c r="L1902">
        <f t="shared" si="29"/>
        <v>3</v>
      </c>
    </row>
    <row r="1903" spans="1:12" ht="16.5" x14ac:dyDescent="0.2">
      <c r="A1903" s="4" t="s">
        <v>115</v>
      </c>
      <c r="B1903">
        <v>2012</v>
      </c>
      <c r="C1903" s="14">
        <f>34.7*(2/3*10)</f>
        <v>231.33333333333334</v>
      </c>
      <c r="D1903" s="14">
        <f>89.1*(2/3*10)</f>
        <v>593.99999999999989</v>
      </c>
      <c r="E1903" s="14">
        <f>111.5*(2/3*10)</f>
        <v>743.33333333333326</v>
      </c>
      <c r="F1903" s="14">
        <f>1.8*(2/3*10)</f>
        <v>12</v>
      </c>
      <c r="G1903" s="14">
        <f>18.1*(2/3*10)</f>
        <v>120.66666666666667</v>
      </c>
      <c r="H1903" s="14">
        <f>6*(2/3*10)</f>
        <v>40</v>
      </c>
      <c r="I1903" s="14">
        <f>14*(2/3*10)</f>
        <v>93.333333333333329</v>
      </c>
      <c r="K1903" s="15">
        <v>1900</v>
      </c>
      <c r="L1903">
        <f t="shared" si="29"/>
        <v>4</v>
      </c>
    </row>
    <row r="1904" spans="1:12" ht="16.5" x14ac:dyDescent="0.2">
      <c r="A1904" s="4" t="s">
        <v>115</v>
      </c>
      <c r="B1904">
        <v>2013</v>
      </c>
      <c r="C1904" s="14">
        <f>34.5*(2/3*10)</f>
        <v>229.99999999999997</v>
      </c>
      <c r="D1904" s="14">
        <f>87.9*(2/3*10)</f>
        <v>586</v>
      </c>
      <c r="E1904" s="14">
        <f>111.5*(2/3*10)</f>
        <v>743.33333333333326</v>
      </c>
      <c r="F1904" s="14">
        <f>2.5*(2/3*10)</f>
        <v>16.666666666666664</v>
      </c>
      <c r="G1904" s="14">
        <f>18.7*(2/3*10)</f>
        <v>124.66666666666667</v>
      </c>
      <c r="H1904" s="14">
        <f>6.1*(2/3*10)</f>
        <v>40.666666666666657</v>
      </c>
      <c r="I1904" s="14">
        <f>14*(2/3*10)</f>
        <v>93.333333333333329</v>
      </c>
      <c r="K1904">
        <v>1901</v>
      </c>
      <c r="L1904">
        <f t="shared" si="29"/>
        <v>5</v>
      </c>
    </row>
    <row r="1905" spans="1:12" ht="16.5" x14ac:dyDescent="0.2">
      <c r="A1905" s="4" t="s">
        <v>115</v>
      </c>
      <c r="B1905">
        <v>2014</v>
      </c>
      <c r="C1905" s="14">
        <f>34.2*(2/3*10)</f>
        <v>228</v>
      </c>
      <c r="D1905" s="14">
        <f>87.5*(2/3*10)</f>
        <v>583.33333333333326</v>
      </c>
      <c r="E1905" s="14">
        <f>111.3*(2/3*10)</f>
        <v>741.99999999999989</v>
      </c>
      <c r="F1905" s="14">
        <f>2.5*(2/3*10)</f>
        <v>16.666666666666664</v>
      </c>
      <c r="G1905" s="14">
        <f>19.2*(2/3*10)</f>
        <v>128</v>
      </c>
      <c r="H1905" s="14">
        <f>6.3*(2/3*10)</f>
        <v>41.999999999999993</v>
      </c>
      <c r="I1905" s="14">
        <f>14*(2/3*10)</f>
        <v>93.333333333333329</v>
      </c>
      <c r="K1905">
        <v>1902</v>
      </c>
      <c r="L1905">
        <f t="shared" si="29"/>
        <v>6</v>
      </c>
    </row>
    <row r="1906" spans="1:12" ht="16.5" x14ac:dyDescent="0.2">
      <c r="A1906" s="4" t="s">
        <v>115</v>
      </c>
      <c r="B1906">
        <v>2015</v>
      </c>
      <c r="C1906" s="14">
        <f>34.1*(2/3*10)</f>
        <v>227.33333333333331</v>
      </c>
      <c r="D1906" s="14">
        <f>85.3*(2/3*10)</f>
        <v>568.66666666666663</v>
      </c>
      <c r="E1906" s="14">
        <f>111.2*(2/3*10)</f>
        <v>741.33333333333326</v>
      </c>
      <c r="F1906" s="14">
        <f>4.6*(2/3*10)</f>
        <v>30.666666666666661</v>
      </c>
      <c r="G1906" s="14">
        <f>19.3*(2/3*10)</f>
        <v>128.66666666666669</v>
      </c>
      <c r="H1906" s="14">
        <f>6.5*(2/3*10)</f>
        <v>43.333333333333329</v>
      </c>
      <c r="I1906" s="14">
        <f>13.9*(2/3*10)</f>
        <v>92.666666666666657</v>
      </c>
      <c r="K1906" s="15">
        <v>1903</v>
      </c>
      <c r="L1906">
        <f t="shared" si="29"/>
        <v>7</v>
      </c>
    </row>
    <row r="1907" spans="1:12" ht="16.5" x14ac:dyDescent="0.2">
      <c r="A1907" s="4" t="s">
        <v>115</v>
      </c>
      <c r="B1907">
        <v>2016</v>
      </c>
      <c r="C1907" s="14">
        <f>35*(2/3*10)</f>
        <v>233.33333333333331</v>
      </c>
      <c r="D1907" s="14">
        <f>84.2*(2/3*10)</f>
        <v>561.33333333333326</v>
      </c>
      <c r="E1907" s="14">
        <f>111*(2/3*10)</f>
        <v>739.99999999999989</v>
      </c>
      <c r="F1907" s="14">
        <f>4.6*(2/3*10)</f>
        <v>30.666666666666661</v>
      </c>
      <c r="G1907" s="14">
        <f>19.8*(2/3*10)</f>
        <v>132</v>
      </c>
      <c r="H1907" s="14">
        <f>6.5*(2/3*10)</f>
        <v>43.333333333333329</v>
      </c>
      <c r="I1907" s="14">
        <f>13.9*(2/3*10)</f>
        <v>92.666666666666657</v>
      </c>
      <c r="K1907">
        <v>1904</v>
      </c>
      <c r="L1907">
        <f t="shared" si="29"/>
        <v>0</v>
      </c>
    </row>
    <row r="1908" spans="1:12" ht="16.5" x14ac:dyDescent="0.2">
      <c r="A1908" s="4" t="s">
        <v>114</v>
      </c>
      <c r="B1908">
        <v>2009</v>
      </c>
      <c r="C1908" s="14">
        <f>0*(2/3*10)</f>
        <v>0</v>
      </c>
      <c r="D1908" s="14">
        <f>0*(2/3*10)</f>
        <v>0</v>
      </c>
      <c r="E1908" s="14">
        <f>1.5*(2/3*10)</f>
        <v>10</v>
      </c>
      <c r="F1908" s="14">
        <f>0*(2/3*10)</f>
        <v>0</v>
      </c>
      <c r="G1908" s="14">
        <f>0*(2/3*10)</f>
        <v>0</v>
      </c>
      <c r="H1908" s="14">
        <f>0*(2/3*10)</f>
        <v>0</v>
      </c>
      <c r="I1908" s="14">
        <f>116.7*(2/3*10)</f>
        <v>778</v>
      </c>
      <c r="K1908" s="15">
        <v>1905</v>
      </c>
      <c r="L1908">
        <f t="shared" si="29"/>
        <v>1</v>
      </c>
    </row>
    <row r="1909" spans="1:12" ht="16.5" x14ac:dyDescent="0.2">
      <c r="A1909" s="4" t="s">
        <v>114</v>
      </c>
      <c r="B1909">
        <v>2010</v>
      </c>
      <c r="C1909" s="14">
        <f>0*(2/3*10)</f>
        <v>0</v>
      </c>
      <c r="D1909" s="14">
        <f>0*(2/3*10)</f>
        <v>0</v>
      </c>
      <c r="E1909" s="14">
        <f>1.5*(2/3*10)</f>
        <v>10</v>
      </c>
      <c r="F1909" s="14">
        <f>0*(2/3*10)</f>
        <v>0</v>
      </c>
      <c r="G1909" s="14">
        <f>0*(2/3*10)</f>
        <v>0</v>
      </c>
      <c r="H1909" s="14">
        <f>0*(2/3*10)</f>
        <v>0</v>
      </c>
      <c r="I1909" s="14">
        <f>116.7*(2/3*10)</f>
        <v>778</v>
      </c>
      <c r="K1909">
        <v>1906</v>
      </c>
      <c r="L1909">
        <f t="shared" si="29"/>
        <v>2</v>
      </c>
    </row>
    <row r="1910" spans="1:12" ht="16.5" x14ac:dyDescent="0.2">
      <c r="A1910" s="4" t="s">
        <v>114</v>
      </c>
      <c r="B1910">
        <v>2011</v>
      </c>
      <c r="C1910" s="14">
        <f>0*(2/3*10)</f>
        <v>0</v>
      </c>
      <c r="D1910" s="14">
        <f>0*(2/3*10)</f>
        <v>0</v>
      </c>
      <c r="E1910" s="14">
        <f>1.5*(2/3*10)</f>
        <v>10</v>
      </c>
      <c r="F1910" s="14">
        <f>0*(2/3*10)</f>
        <v>0</v>
      </c>
      <c r="G1910" s="14">
        <f>0*(2/3*10)</f>
        <v>0</v>
      </c>
      <c r="H1910" s="14">
        <f>0*(2/3*10)</f>
        <v>0</v>
      </c>
      <c r="I1910" s="14">
        <f>116.7*(2/3*10)</f>
        <v>778</v>
      </c>
      <c r="K1910">
        <v>1907</v>
      </c>
      <c r="L1910">
        <f t="shared" si="29"/>
        <v>3</v>
      </c>
    </row>
    <row r="1911" spans="1:12" ht="16.5" x14ac:dyDescent="0.2">
      <c r="A1911" s="4" t="s">
        <v>114</v>
      </c>
      <c r="B1911">
        <v>2012</v>
      </c>
      <c r="C1911" s="14">
        <f>0*(2/3*10)</f>
        <v>0</v>
      </c>
      <c r="D1911" s="14">
        <f>0*(2/3*10)</f>
        <v>0</v>
      </c>
      <c r="E1911" s="14">
        <f>1.5*(2/3*10)</f>
        <v>10</v>
      </c>
      <c r="F1911" s="14">
        <f>0*(2/3*10)</f>
        <v>0</v>
      </c>
      <c r="G1911" s="14">
        <f>0*(2/3*10)</f>
        <v>0</v>
      </c>
      <c r="H1911" s="14">
        <f>0*(2/3*10)</f>
        <v>0</v>
      </c>
      <c r="I1911" s="14">
        <f>116.7*(2/3*10)</f>
        <v>778</v>
      </c>
      <c r="K1911" s="15">
        <v>1908</v>
      </c>
      <c r="L1911">
        <f t="shared" si="29"/>
        <v>4</v>
      </c>
    </row>
    <row r="1912" spans="1:12" ht="16.5" x14ac:dyDescent="0.2">
      <c r="A1912" s="4" t="s">
        <v>114</v>
      </c>
      <c r="B1912">
        <v>2013</v>
      </c>
      <c r="C1912" s="14">
        <f>0*(2/3*10)</f>
        <v>0</v>
      </c>
      <c r="D1912" s="14">
        <f>0*(2/3*10)</f>
        <v>0</v>
      </c>
      <c r="E1912" s="14">
        <f>1.5*(2/3*10)</f>
        <v>10</v>
      </c>
      <c r="F1912" s="14">
        <f>0*(2/3*10)</f>
        <v>0</v>
      </c>
      <c r="G1912" s="14">
        <f>0*(2/3*10)</f>
        <v>0</v>
      </c>
      <c r="H1912" s="14">
        <f>0*(2/3*10)</f>
        <v>0</v>
      </c>
      <c r="I1912" s="14">
        <f>116.7*(2/3*10)</f>
        <v>778</v>
      </c>
      <c r="K1912">
        <v>1909</v>
      </c>
      <c r="L1912">
        <f t="shared" si="29"/>
        <v>5</v>
      </c>
    </row>
    <row r="1913" spans="1:12" ht="16.5" x14ac:dyDescent="0.2">
      <c r="A1913" s="4" t="s">
        <v>114</v>
      </c>
      <c r="B1913">
        <v>2014</v>
      </c>
      <c r="C1913" s="14">
        <f>0*(2/3*10)</f>
        <v>0</v>
      </c>
      <c r="D1913" s="14">
        <f>0*(2/3*10)</f>
        <v>0</v>
      </c>
      <c r="E1913" s="14">
        <f>1.5*(2/3*10)</f>
        <v>10</v>
      </c>
      <c r="F1913" s="14">
        <f>0*(2/3*10)</f>
        <v>0</v>
      </c>
      <c r="G1913" s="14">
        <f>0*(2/3*10)</f>
        <v>0</v>
      </c>
      <c r="H1913" s="14">
        <f>0*(2/3*10)</f>
        <v>0</v>
      </c>
      <c r="I1913" s="14">
        <f>116.7*(2/3*10)</f>
        <v>778</v>
      </c>
      <c r="K1913" s="15">
        <v>1910</v>
      </c>
      <c r="L1913">
        <f t="shared" si="29"/>
        <v>6</v>
      </c>
    </row>
    <row r="1914" spans="1:12" ht="16.5" x14ac:dyDescent="0.2">
      <c r="A1914" s="4" t="s">
        <v>114</v>
      </c>
      <c r="B1914">
        <v>2015</v>
      </c>
      <c r="C1914" s="14">
        <f>0*(2/3*10)</f>
        <v>0</v>
      </c>
      <c r="D1914" s="14">
        <f>0*(2/3*10)</f>
        <v>0</v>
      </c>
      <c r="E1914" s="14">
        <f>1.5*(2/3*10)</f>
        <v>10</v>
      </c>
      <c r="F1914" s="14">
        <f>0*(2/3*10)</f>
        <v>0</v>
      </c>
      <c r="G1914" s="14">
        <f>0*(2/3*10)</f>
        <v>0</v>
      </c>
      <c r="H1914" s="14">
        <f>0*(2/3*10)</f>
        <v>0</v>
      </c>
      <c r="I1914" s="14">
        <f>116.7*(2/3*10)</f>
        <v>778</v>
      </c>
      <c r="K1914">
        <v>1911</v>
      </c>
      <c r="L1914">
        <f t="shared" si="29"/>
        <v>7</v>
      </c>
    </row>
    <row r="1915" spans="1:12" ht="16.5" x14ac:dyDescent="0.2">
      <c r="A1915" s="4" t="s">
        <v>114</v>
      </c>
      <c r="B1915">
        <v>2016</v>
      </c>
      <c r="C1915" s="14">
        <f>0*(2/3*10)</f>
        <v>0</v>
      </c>
      <c r="D1915" s="14">
        <f>0*(2/3*10)</f>
        <v>0</v>
      </c>
      <c r="E1915" s="14">
        <f>1.5*(2/3*10)</f>
        <v>10</v>
      </c>
      <c r="F1915" s="14">
        <f>0*(2/3*10)</f>
        <v>0</v>
      </c>
      <c r="G1915" s="14">
        <f>0*(2/3*10)</f>
        <v>0</v>
      </c>
      <c r="H1915" s="14">
        <f>0*(2/3*10)</f>
        <v>0</v>
      </c>
      <c r="I1915" s="14">
        <f>116.7*(2/3*10)</f>
        <v>778</v>
      </c>
      <c r="K1915">
        <v>1912</v>
      </c>
      <c r="L1915">
        <f t="shared" si="29"/>
        <v>0</v>
      </c>
    </row>
    <row r="1916" spans="1:12" ht="16.5" x14ac:dyDescent="0.2">
      <c r="A1916" s="4" t="s">
        <v>113</v>
      </c>
      <c r="B1916">
        <v>2009</v>
      </c>
      <c r="C1916" s="14">
        <f>3657.6*(2/3*10)</f>
        <v>24383.999999999996</v>
      </c>
      <c r="D1916" s="14">
        <f>416.3*(2/3*10)</f>
        <v>2775.333333333333</v>
      </c>
      <c r="E1916" s="14">
        <f>5687.5*(2/3*10)</f>
        <v>37916.666666666664</v>
      </c>
      <c r="F1916" s="14">
        <f>501.6*(2/3*10)</f>
        <v>3344</v>
      </c>
      <c r="G1916" s="14">
        <f>754.1*(2/3*10)</f>
        <v>5027.333333333333</v>
      </c>
      <c r="H1916" s="14">
        <f>156.6*(2/3*10)</f>
        <v>1043.9999999999998</v>
      </c>
      <c r="I1916" s="14">
        <f>402.3*(2/3*10)</f>
        <v>2682</v>
      </c>
      <c r="K1916" s="15">
        <v>1913</v>
      </c>
      <c r="L1916">
        <f t="shared" si="29"/>
        <v>1</v>
      </c>
    </row>
    <row r="1917" spans="1:12" ht="16.5" x14ac:dyDescent="0.2">
      <c r="A1917" s="4" t="s">
        <v>113</v>
      </c>
      <c r="B1917">
        <v>2010</v>
      </c>
      <c r="C1917" s="14">
        <f>3664.3*(2/3*10)</f>
        <v>24428.666666666664</v>
      </c>
      <c r="D1917" s="14">
        <f>413.4*(2/3*10)</f>
        <v>2755.9999999999995</v>
      </c>
      <c r="E1917" s="14">
        <f>5682.7*(2/3*10)</f>
        <v>37884.666666666664</v>
      </c>
      <c r="F1917" s="14">
        <f>497.4*(2/3*10)</f>
        <v>3315.9999999999995</v>
      </c>
      <c r="G1917" s="14">
        <f>773*(2/3*10)</f>
        <v>5153.333333333333</v>
      </c>
      <c r="H1917" s="14">
        <f>162.6*(2/3*10)</f>
        <v>1083.9999999999998</v>
      </c>
      <c r="I1917" s="14">
        <f>401.5*(2/3*10)</f>
        <v>2676.6666666666665</v>
      </c>
      <c r="K1917">
        <v>1914</v>
      </c>
      <c r="L1917">
        <f t="shared" si="29"/>
        <v>2</v>
      </c>
    </row>
    <row r="1918" spans="1:12" ht="16.5" x14ac:dyDescent="0.2">
      <c r="A1918" s="4" t="s">
        <v>113</v>
      </c>
      <c r="B1918">
        <v>2011</v>
      </c>
      <c r="C1918" s="14">
        <f>3674.6*(2/3*10)</f>
        <v>24497.333333333332</v>
      </c>
      <c r="D1918" s="14">
        <f>411.6*(2/3*10)</f>
        <v>2744</v>
      </c>
      <c r="E1918" s="14">
        <f>5678.7*(2/3*10)</f>
        <v>37857.999999999993</v>
      </c>
      <c r="F1918" s="14">
        <f>493.3*(2/3*10)</f>
        <v>3288.6666666666665</v>
      </c>
      <c r="G1918" s="14">
        <f>784.9*(2/3*10)</f>
        <v>5232.666666666667</v>
      </c>
      <c r="H1918" s="14">
        <f>167.2*(2/3*10)</f>
        <v>1114.6666666666665</v>
      </c>
      <c r="I1918" s="14">
        <f>402.1*(2/3*10)</f>
        <v>2680.6666666666665</v>
      </c>
      <c r="K1918" s="15">
        <v>1915</v>
      </c>
      <c r="L1918">
        <f t="shared" si="29"/>
        <v>3</v>
      </c>
    </row>
    <row r="1919" spans="1:12" ht="16.5" x14ac:dyDescent="0.2">
      <c r="A1919" s="4" t="s">
        <v>113</v>
      </c>
      <c r="B1919">
        <v>2012</v>
      </c>
      <c r="C1919" s="14">
        <f>3676.9*(2/3*10)</f>
        <v>24512.666666666664</v>
      </c>
      <c r="D1919" s="14">
        <f>409.2*(2/3*10)</f>
        <v>2727.9999999999995</v>
      </c>
      <c r="E1919" s="14">
        <f>5675.9*(2/3*10)</f>
        <v>37839.333333333328</v>
      </c>
      <c r="F1919" s="14">
        <f>491.5*(2/3*10)</f>
        <v>3276.6666666666665</v>
      </c>
      <c r="G1919" s="14">
        <f>799.5*(2/3*10)</f>
        <v>5330</v>
      </c>
      <c r="H1919" s="14">
        <f>171.4*(2/3*10)</f>
        <v>1142.6666666666665</v>
      </c>
      <c r="I1919" s="14">
        <f>401.4*(2/3*10)</f>
        <v>2675.9999999999995</v>
      </c>
      <c r="K1919">
        <v>1916</v>
      </c>
      <c r="L1919">
        <f t="shared" si="29"/>
        <v>4</v>
      </c>
    </row>
    <row r="1920" spans="1:12" ht="16.5" x14ac:dyDescent="0.2">
      <c r="A1920" s="4" t="s">
        <v>113</v>
      </c>
      <c r="B1920">
        <v>2013</v>
      </c>
      <c r="C1920" s="14">
        <f>3684.5*(2/3*10)</f>
        <v>24563.333333333332</v>
      </c>
      <c r="D1920" s="14">
        <f>407.6*(2/3*10)</f>
        <v>2717.333333333333</v>
      </c>
      <c r="E1920" s="14">
        <f>5674.2*(2/3*10)</f>
        <v>37827.999999999993</v>
      </c>
      <c r="F1920" s="14">
        <f>490.6*(2/3*10)</f>
        <v>3270.6666666666665</v>
      </c>
      <c r="G1920" s="14">
        <f>807*(2/3*10)</f>
        <v>5379.9999999999991</v>
      </c>
      <c r="H1920" s="14">
        <f>175.5*(2/3*10)</f>
        <v>1170</v>
      </c>
      <c r="I1920" s="14">
        <f>401*(2/3*10)</f>
        <v>2673.333333333333</v>
      </c>
      <c r="K1920">
        <v>1917</v>
      </c>
      <c r="L1920">
        <f t="shared" ref="L1920:L1983" si="30">MOD(K1920,8)</f>
        <v>5</v>
      </c>
    </row>
    <row r="1921" spans="1:12" ht="16.5" x14ac:dyDescent="0.2">
      <c r="A1921" s="4" t="s">
        <v>113</v>
      </c>
      <c r="B1921">
        <v>2014</v>
      </c>
      <c r="C1921" s="14">
        <f>3682*(2/3*10)</f>
        <v>24546.666666666664</v>
      </c>
      <c r="D1921" s="14">
        <f>404.8*(2/3*10)</f>
        <v>2698.6666666666665</v>
      </c>
      <c r="E1921" s="14">
        <f>5671*(2/3*10)</f>
        <v>37806.666666666664</v>
      </c>
      <c r="F1921" s="14">
        <f>489.8*(2/3*10)</f>
        <v>3265.333333333333</v>
      </c>
      <c r="G1921" s="14">
        <f>820.6*(2/3*10)</f>
        <v>5470.6666666666652</v>
      </c>
      <c r="H1921" s="14">
        <f>179.6*(2/3*10)</f>
        <v>1197.3333333333333</v>
      </c>
      <c r="I1921" s="14">
        <f>400.6*(2/3*10)</f>
        <v>2670.6666666666665</v>
      </c>
      <c r="K1921" s="15">
        <v>1918</v>
      </c>
      <c r="L1921">
        <f t="shared" si="30"/>
        <v>6</v>
      </c>
    </row>
    <row r="1922" spans="1:12" ht="16.5" x14ac:dyDescent="0.2">
      <c r="A1922" s="4" t="s">
        <v>113</v>
      </c>
      <c r="B1922">
        <v>2015</v>
      </c>
      <c r="C1922" s="14">
        <f>3645.7*(2/3*10)</f>
        <v>24304.666666666664</v>
      </c>
      <c r="D1922" s="14">
        <f>406.4*(2/3*10)</f>
        <v>2709.333333333333</v>
      </c>
      <c r="E1922" s="14">
        <f>5710.7*(2/3*10)</f>
        <v>38071.333333333328</v>
      </c>
      <c r="F1922" s="14">
        <f>489.8*(2/3*10)</f>
        <v>3265.333333333333</v>
      </c>
      <c r="G1922" s="14">
        <f>832.1*(2/3*10)</f>
        <v>5547.3333333333321</v>
      </c>
      <c r="H1922" s="14">
        <f>182.5*(2/3*10)</f>
        <v>1216.6666666666665</v>
      </c>
      <c r="I1922" s="14">
        <f>400.8*(2/3*10)</f>
        <v>2672</v>
      </c>
      <c r="K1922">
        <v>1919</v>
      </c>
      <c r="L1922">
        <f t="shared" si="30"/>
        <v>7</v>
      </c>
    </row>
    <row r="1923" spans="1:12" ht="16.5" x14ac:dyDescent="0.2">
      <c r="A1923" s="4" t="s">
        <v>113</v>
      </c>
      <c r="B1923">
        <v>2016</v>
      </c>
      <c r="C1923" s="14">
        <f>3573.7*(2/3*10)</f>
        <v>23824.666666666664</v>
      </c>
      <c r="D1923" s="14">
        <f>406.7*(2/3*10)</f>
        <v>2711.333333333333</v>
      </c>
      <c r="E1923" s="14">
        <f>5781.9*(2/3*10)</f>
        <v>38545.999999999993</v>
      </c>
      <c r="F1923" s="14">
        <f>489*(2/3*10)</f>
        <v>3259.9999999999995</v>
      </c>
      <c r="G1923" s="14">
        <f>852.1*(2/3*10)</f>
        <v>5680.6666666666661</v>
      </c>
      <c r="H1923" s="14">
        <f>186.1*(2/3*10)</f>
        <v>1240.6666666666665</v>
      </c>
      <c r="I1923" s="14">
        <f>402.1*(2/3*10)</f>
        <v>2680.6666666666665</v>
      </c>
      <c r="K1923" s="15">
        <v>1920</v>
      </c>
      <c r="L1923">
        <f t="shared" si="30"/>
        <v>0</v>
      </c>
    </row>
    <row r="1924" spans="1:12" ht="16.5" x14ac:dyDescent="0.2">
      <c r="A1924" s="4" t="s">
        <v>112</v>
      </c>
      <c r="B1924">
        <v>2009</v>
      </c>
      <c r="C1924" s="14">
        <f>645*(2/3*10)</f>
        <v>4300</v>
      </c>
      <c r="D1924" s="14">
        <f>117.6*(2/3*10)</f>
        <v>783.99999999999989</v>
      </c>
      <c r="E1924" s="14">
        <f>502*(2/3*10)</f>
        <v>3346.6666666666665</v>
      </c>
      <c r="F1924" s="14">
        <f>8.5*(2/3*10)</f>
        <v>56.666666666666664</v>
      </c>
      <c r="G1924" s="14">
        <f>327*(2/3*10)</f>
        <v>2179.9999999999995</v>
      </c>
      <c r="H1924" s="14">
        <f>47.5*(2/3*10)</f>
        <v>316.66666666666663</v>
      </c>
      <c r="I1924" s="14">
        <f>90.4*(2/3*10)</f>
        <v>602.66666666666663</v>
      </c>
      <c r="K1924">
        <v>1921</v>
      </c>
      <c r="L1924">
        <f t="shared" si="30"/>
        <v>1</v>
      </c>
    </row>
    <row r="1925" spans="1:12" ht="16.5" x14ac:dyDescent="0.2">
      <c r="A1925" s="4" t="s">
        <v>112</v>
      </c>
      <c r="B1925">
        <v>2010</v>
      </c>
      <c r="C1925" s="14">
        <f>638.5*(2/3*10)</f>
        <v>4256.6666666666661</v>
      </c>
      <c r="D1925" s="14">
        <f>119.2*(2/3*10)</f>
        <v>794.66666666666663</v>
      </c>
      <c r="E1925" s="14">
        <f>495.8*(2/3*10)</f>
        <v>3305.333333333333</v>
      </c>
      <c r="F1925" s="14">
        <f>8.4*(2/3*10)</f>
        <v>56</v>
      </c>
      <c r="G1925" s="14">
        <f>338.1*(2/3*10)</f>
        <v>2254</v>
      </c>
      <c r="H1925" s="14">
        <f>50.9*(2/3*10)</f>
        <v>339.33333333333331</v>
      </c>
      <c r="I1925" s="14">
        <f>89*(2/3*10)</f>
        <v>593.33333333333326</v>
      </c>
      <c r="K1925">
        <v>1922</v>
      </c>
      <c r="L1925">
        <f t="shared" si="30"/>
        <v>2</v>
      </c>
    </row>
    <row r="1926" spans="1:12" ht="16.5" x14ac:dyDescent="0.2">
      <c r="A1926" s="4" t="s">
        <v>112</v>
      </c>
      <c r="B1926">
        <v>2011</v>
      </c>
      <c r="C1926" s="14">
        <f>637.3*(2/3*10)</f>
        <v>4248.6666666666661</v>
      </c>
      <c r="D1926" s="14">
        <f>118.7*(2/3*10)</f>
        <v>791.33333333333326</v>
      </c>
      <c r="E1926" s="14">
        <f>493.9*(2/3*10)</f>
        <v>3292.6666666666661</v>
      </c>
      <c r="F1926" s="14">
        <f>8.3*(2/3*10)</f>
        <v>55.333333333333336</v>
      </c>
      <c r="G1926" s="14">
        <f>342.6*(2/3*10)</f>
        <v>2283.9999999999995</v>
      </c>
      <c r="H1926" s="14">
        <f>52.8*(2/3*10)</f>
        <v>351.99999999999994</v>
      </c>
      <c r="I1926" s="14">
        <f>88.3*(2/3*10)</f>
        <v>588.66666666666663</v>
      </c>
      <c r="K1926" s="15">
        <v>1923</v>
      </c>
      <c r="L1926">
        <f t="shared" si="30"/>
        <v>3</v>
      </c>
    </row>
    <row r="1927" spans="1:12" ht="16.5" x14ac:dyDescent="0.2">
      <c r="A1927" s="4" t="s">
        <v>112</v>
      </c>
      <c r="B1927">
        <v>2012</v>
      </c>
      <c r="C1927" s="14">
        <f>634.7*(2/3*10)</f>
        <v>4231.333333333333</v>
      </c>
      <c r="D1927" s="14">
        <f>117.6*(2/3*10)</f>
        <v>783.99999999999989</v>
      </c>
      <c r="E1927" s="14">
        <f>491.1*(2/3*10)</f>
        <v>3274</v>
      </c>
      <c r="F1927" s="14">
        <f>8.3*(2/3*10)</f>
        <v>55.333333333333336</v>
      </c>
      <c r="G1927" s="14">
        <f>348*(2/3*10)</f>
        <v>2320</v>
      </c>
      <c r="H1927" s="14">
        <f>54.4*(2/3*10)</f>
        <v>362.66666666666663</v>
      </c>
      <c r="I1927" s="14">
        <f>87.9*(2/3*10)</f>
        <v>586</v>
      </c>
      <c r="K1927">
        <v>1924</v>
      </c>
      <c r="L1927">
        <f t="shared" si="30"/>
        <v>4</v>
      </c>
    </row>
    <row r="1928" spans="1:12" ht="16.5" x14ac:dyDescent="0.2">
      <c r="A1928" s="4" t="s">
        <v>112</v>
      </c>
      <c r="B1928">
        <v>2013</v>
      </c>
      <c r="C1928" s="14">
        <f>635*(2/3*10)</f>
        <v>4233.333333333333</v>
      </c>
      <c r="D1928" s="14">
        <f>115.5*(2/3*10)</f>
        <v>769.99999999999989</v>
      </c>
      <c r="E1928" s="14">
        <f>490.1*(2/3*10)</f>
        <v>3267.333333333333</v>
      </c>
      <c r="F1928" s="14">
        <f>8.3*(2/3*10)</f>
        <v>55.333333333333336</v>
      </c>
      <c r="G1928" s="14">
        <f>351.5*(2/3*10)</f>
        <v>2343.333333333333</v>
      </c>
      <c r="H1928" s="14">
        <f>55.5*(2/3*10)</f>
        <v>369.99999999999994</v>
      </c>
      <c r="I1928" s="14">
        <f>87.2*(2/3*10)</f>
        <v>581.33333333333326</v>
      </c>
      <c r="K1928" s="15">
        <v>1925</v>
      </c>
      <c r="L1928">
        <f t="shared" si="30"/>
        <v>5</v>
      </c>
    </row>
    <row r="1929" spans="1:12" ht="16.5" x14ac:dyDescent="0.2">
      <c r="A1929" s="4" t="s">
        <v>112</v>
      </c>
      <c r="B1929">
        <v>2014</v>
      </c>
      <c r="C1929" s="14">
        <f>632.6*(2/3*10)</f>
        <v>4217.333333333333</v>
      </c>
      <c r="D1929" s="14">
        <f>112.2*(2/3*10)</f>
        <v>748</v>
      </c>
      <c r="E1929" s="14">
        <f>489.8*(2/3*10)</f>
        <v>3265.333333333333</v>
      </c>
      <c r="F1929" s="14">
        <f>8.3*(2/3*10)</f>
        <v>55.333333333333336</v>
      </c>
      <c r="G1929" s="14">
        <f>356.9*(2/3*10)</f>
        <v>2379.333333333333</v>
      </c>
      <c r="H1929" s="14">
        <f>57.4*(2/3*10)</f>
        <v>382.66666666666663</v>
      </c>
      <c r="I1929" s="14">
        <f>87.1*(2/3*10)</f>
        <v>580.66666666666663</v>
      </c>
      <c r="K1929">
        <v>1926</v>
      </c>
      <c r="L1929">
        <f t="shared" si="30"/>
        <v>6</v>
      </c>
    </row>
    <row r="1930" spans="1:12" ht="16.5" x14ac:dyDescent="0.2">
      <c r="A1930" s="4" t="s">
        <v>112</v>
      </c>
      <c r="B1930">
        <v>2015</v>
      </c>
      <c r="C1930" s="14">
        <f>631*(2/3*10)</f>
        <v>4206.6666666666661</v>
      </c>
      <c r="D1930" s="14">
        <f>110.1*(2/3*10)</f>
        <v>733.99999999999989</v>
      </c>
      <c r="E1930" s="14">
        <f>489.4*(2/3*10)</f>
        <v>3262.6666666666661</v>
      </c>
      <c r="F1930" s="14">
        <f>8.3*(2/3*10)</f>
        <v>55.333333333333336</v>
      </c>
      <c r="G1930" s="14">
        <f>360.9*(2/3*10)</f>
        <v>2406</v>
      </c>
      <c r="H1930" s="14">
        <f>58.1*(2/3*10)</f>
        <v>387.33333333333331</v>
      </c>
      <c r="I1930" s="14">
        <f>86.7*(2/3*10)</f>
        <v>578</v>
      </c>
      <c r="K1930">
        <v>1927</v>
      </c>
      <c r="L1930">
        <f t="shared" si="30"/>
        <v>7</v>
      </c>
    </row>
    <row r="1931" spans="1:12" ht="16.5" x14ac:dyDescent="0.2">
      <c r="A1931" s="4" t="s">
        <v>112</v>
      </c>
      <c r="B1931">
        <v>2016</v>
      </c>
      <c r="C1931" s="14">
        <f>629.8*(2/3*10)</f>
        <v>4198.6666666666661</v>
      </c>
      <c r="D1931" s="14">
        <f>109.4*(2/3*10)</f>
        <v>729.33333333333326</v>
      </c>
      <c r="E1931" s="14">
        <f>489.1*(2/3*10)</f>
        <v>3260.6666666666665</v>
      </c>
      <c r="F1931" s="14">
        <f>8.3*(2/3*10)</f>
        <v>55.333333333333336</v>
      </c>
      <c r="G1931" s="14">
        <f>363.9*(2/3*10)</f>
        <v>2426</v>
      </c>
      <c r="H1931" s="14">
        <f>58.8*(2/3*10)</f>
        <v>391.99999999999994</v>
      </c>
      <c r="I1931" s="14">
        <f>86.5*(2/3*10)</f>
        <v>576.66666666666663</v>
      </c>
      <c r="K1931" s="15">
        <v>1928</v>
      </c>
      <c r="L1931">
        <f t="shared" si="30"/>
        <v>0</v>
      </c>
    </row>
    <row r="1932" spans="1:12" ht="16.5" x14ac:dyDescent="0.2">
      <c r="A1932" s="4" t="s">
        <v>111</v>
      </c>
      <c r="B1932">
        <v>2009</v>
      </c>
      <c r="C1932" s="14">
        <f>322.7*(2/3*10)</f>
        <v>2151.333333333333</v>
      </c>
      <c r="D1932" s="14">
        <f>38.2*(2/3*10)</f>
        <v>254.66666666666666</v>
      </c>
      <c r="E1932" s="14">
        <f>118.7*(2/3*10)</f>
        <v>791.33333333333326</v>
      </c>
      <c r="F1932" s="14">
        <f>2.9*(2/3*10)</f>
        <v>19.333333333333332</v>
      </c>
      <c r="G1932" s="14">
        <f>72*(2/3*10)</f>
        <v>479.99999999999994</v>
      </c>
      <c r="H1932" s="14">
        <f>10.3*(2/3*10)</f>
        <v>68.666666666666671</v>
      </c>
      <c r="I1932" s="14">
        <f>31.6*(2/3*10)</f>
        <v>210.66666666666666</v>
      </c>
      <c r="K1932">
        <v>1929</v>
      </c>
      <c r="L1932">
        <f t="shared" si="30"/>
        <v>1</v>
      </c>
    </row>
    <row r="1933" spans="1:12" ht="16.5" x14ac:dyDescent="0.2">
      <c r="A1933" s="4" t="s">
        <v>111</v>
      </c>
      <c r="B1933">
        <v>2010</v>
      </c>
      <c r="C1933" s="14">
        <f>323.7*(2/3*10)</f>
        <v>2157.9999999999995</v>
      </c>
      <c r="D1933" s="14">
        <f>38.2*(2/3*10)</f>
        <v>254.66666666666666</v>
      </c>
      <c r="E1933" s="14">
        <f>118.6*(2/3*10)</f>
        <v>790.66666666666652</v>
      </c>
      <c r="F1933" s="14">
        <f>2.9*(2/3*10)</f>
        <v>19.333333333333332</v>
      </c>
      <c r="G1933" s="14">
        <f>72.4*(2/3*10)</f>
        <v>482.66666666666669</v>
      </c>
      <c r="H1933" s="14">
        <f>10.9*(2/3*10)</f>
        <v>72.666666666666657</v>
      </c>
      <c r="I1933" s="14">
        <f>31.5*(2/3*10)</f>
        <v>209.99999999999997</v>
      </c>
      <c r="K1933" s="15">
        <v>1930</v>
      </c>
      <c r="L1933">
        <f t="shared" si="30"/>
        <v>2</v>
      </c>
    </row>
    <row r="1934" spans="1:12" ht="16.5" x14ac:dyDescent="0.2">
      <c r="A1934" s="4" t="s">
        <v>111</v>
      </c>
      <c r="B1934">
        <v>2011</v>
      </c>
      <c r="C1934" s="14">
        <f>323.9*(2/3*10)</f>
        <v>2159.333333333333</v>
      </c>
      <c r="D1934" s="14">
        <f>38.1*(2/3*10)</f>
        <v>254</v>
      </c>
      <c r="E1934" s="14">
        <f>118.5*(2/3*10)</f>
        <v>789.99999999999989</v>
      </c>
      <c r="F1934" s="14">
        <f>2.9*(2/3*10)</f>
        <v>19.333333333333332</v>
      </c>
      <c r="G1934" s="14">
        <f>73.1*(2/3*10)</f>
        <v>487.33333333333337</v>
      </c>
      <c r="H1934" s="14">
        <f>11.5*(2/3*10)</f>
        <v>76.666666666666657</v>
      </c>
      <c r="I1934" s="14">
        <f>31.5*(2/3*10)</f>
        <v>209.99999999999997</v>
      </c>
      <c r="K1934">
        <v>1931</v>
      </c>
      <c r="L1934">
        <f t="shared" si="30"/>
        <v>3</v>
      </c>
    </row>
    <row r="1935" spans="1:12" ht="16.5" x14ac:dyDescent="0.2">
      <c r="A1935" s="4" t="s">
        <v>111</v>
      </c>
      <c r="B1935">
        <v>2012</v>
      </c>
      <c r="C1935" s="14">
        <f>323.4*(2/3*10)</f>
        <v>2155.9999999999995</v>
      </c>
      <c r="D1935" s="14">
        <f>37.9*(2/3*10)</f>
        <v>252.66666666666663</v>
      </c>
      <c r="E1935" s="14">
        <f>118.3*(2/3*10)</f>
        <v>788.66666666666663</v>
      </c>
      <c r="F1935" s="14">
        <f>2.9*(2/3*10)</f>
        <v>19.333333333333332</v>
      </c>
      <c r="G1935" s="14">
        <f>74.1*(2/3*10)</f>
        <v>494</v>
      </c>
      <c r="H1935" s="14">
        <f>11.6*(2/3*10)</f>
        <v>77.333333333333329</v>
      </c>
      <c r="I1935" s="14">
        <f>31.5*(2/3*10)</f>
        <v>209.99999999999997</v>
      </c>
      <c r="K1935">
        <v>1932</v>
      </c>
      <c r="L1935">
        <f t="shared" si="30"/>
        <v>4</v>
      </c>
    </row>
    <row r="1936" spans="1:12" ht="16.5" x14ac:dyDescent="0.2">
      <c r="A1936" s="4" t="s">
        <v>111</v>
      </c>
      <c r="B1936">
        <v>2013</v>
      </c>
      <c r="C1936" s="14">
        <f>324.3*(2/3*10)</f>
        <v>2162</v>
      </c>
      <c r="D1936" s="14">
        <f>37.8*(2/3*10)</f>
        <v>251.99999999999997</v>
      </c>
      <c r="E1936" s="14">
        <f>118.2*(2/3*10)</f>
        <v>788</v>
      </c>
      <c r="F1936" s="14">
        <f>2.8*(2/3*10)</f>
        <v>18.666666666666664</v>
      </c>
      <c r="G1936" s="14">
        <f>75.3*(2/3*10)</f>
        <v>501.99999999999994</v>
      </c>
      <c r="H1936" s="14">
        <f>12*(2/3*10)</f>
        <v>80</v>
      </c>
      <c r="I1936" s="14">
        <f>31.5*(2/3*10)</f>
        <v>209.99999999999997</v>
      </c>
      <c r="K1936" s="15">
        <v>1933</v>
      </c>
      <c r="L1936">
        <f t="shared" si="30"/>
        <v>5</v>
      </c>
    </row>
    <row r="1937" spans="1:12" ht="16.5" x14ac:dyDescent="0.2">
      <c r="A1937" s="4" t="s">
        <v>111</v>
      </c>
      <c r="B1937">
        <v>2014</v>
      </c>
      <c r="C1937" s="14">
        <f>325*(2/3*10)</f>
        <v>2166.6666666666665</v>
      </c>
      <c r="D1937" s="14">
        <f>37.7*(2/3*10)</f>
        <v>251.33333333333334</v>
      </c>
      <c r="E1937" s="14">
        <f>118*(2/3*10)</f>
        <v>786.66666666666663</v>
      </c>
      <c r="F1937" s="14">
        <f>2.8*(2/3*10)</f>
        <v>18.666666666666664</v>
      </c>
      <c r="G1937" s="14">
        <f>76.2*(2/3*10)</f>
        <v>508</v>
      </c>
      <c r="H1937" s="14">
        <f>12.1*(2/3*10)</f>
        <v>80.666666666666657</v>
      </c>
      <c r="I1937" s="14">
        <f>31.4*(2/3*10)</f>
        <v>209.33333333333331</v>
      </c>
      <c r="K1937">
        <v>1934</v>
      </c>
      <c r="L1937">
        <f t="shared" si="30"/>
        <v>6</v>
      </c>
    </row>
    <row r="1938" spans="1:12" ht="16.5" x14ac:dyDescent="0.2">
      <c r="A1938" s="4" t="s">
        <v>111</v>
      </c>
      <c r="B1938">
        <v>2015</v>
      </c>
      <c r="C1938" s="14">
        <f>324.5*(2/3*10)</f>
        <v>2163.333333333333</v>
      </c>
      <c r="D1938" s="14">
        <f>37.6*(2/3*10)</f>
        <v>250.66666666666666</v>
      </c>
      <c r="E1938" s="14">
        <f>117.9*(2/3*10)</f>
        <v>786</v>
      </c>
      <c r="F1938" s="14">
        <f>2.8*(2/3*10)</f>
        <v>18.666666666666664</v>
      </c>
      <c r="G1938" s="14">
        <f>76.9*(2/3*10)</f>
        <v>512.66666666666652</v>
      </c>
      <c r="H1938" s="14">
        <f>12.2*(2/3*10)</f>
        <v>81.333333333333314</v>
      </c>
      <c r="I1938" s="14">
        <f>31.4*(2/3*10)</f>
        <v>209.33333333333331</v>
      </c>
      <c r="K1938" s="15">
        <v>1935</v>
      </c>
      <c r="L1938">
        <f t="shared" si="30"/>
        <v>7</v>
      </c>
    </row>
    <row r="1939" spans="1:12" ht="16.5" x14ac:dyDescent="0.2">
      <c r="A1939" s="4" t="s">
        <v>111</v>
      </c>
      <c r="B1939">
        <v>2016</v>
      </c>
      <c r="C1939" s="14">
        <f>324.9*(2/3*10)</f>
        <v>2165.9999999999995</v>
      </c>
      <c r="D1939" s="14">
        <f>37.6*(2/3*10)</f>
        <v>250.66666666666666</v>
      </c>
      <c r="E1939" s="14">
        <f>117.8*(2/3*10)</f>
        <v>785.33333333333326</v>
      </c>
      <c r="F1939" s="14">
        <f>2.8*(2/3*10)</f>
        <v>18.666666666666664</v>
      </c>
      <c r="G1939" s="14">
        <f>77*(2/3*10)</f>
        <v>513.33333333333314</v>
      </c>
      <c r="H1939" s="14">
        <f>12.3*(2/3*10)</f>
        <v>82</v>
      </c>
      <c r="I1939" s="14">
        <f>31.5*(2/3*10)</f>
        <v>209.99999999999997</v>
      </c>
      <c r="K1939">
        <v>1936</v>
      </c>
      <c r="L1939">
        <f t="shared" si="30"/>
        <v>0</v>
      </c>
    </row>
    <row r="1940" spans="1:12" ht="16.5" x14ac:dyDescent="0.2">
      <c r="A1940" s="4" t="s">
        <v>110</v>
      </c>
      <c r="B1940">
        <v>2009</v>
      </c>
      <c r="C1940" s="14">
        <f>113.4*(2/3*10)</f>
        <v>756</v>
      </c>
      <c r="D1940" s="14">
        <f>61.5*(2/3*10)</f>
        <v>409.99999999999994</v>
      </c>
      <c r="E1940" s="14">
        <f>759.8*(2/3*10)</f>
        <v>5065.333333333333</v>
      </c>
      <c r="F1940" s="14">
        <f>73.5*(2/3*10)</f>
        <v>489.99999999999994</v>
      </c>
      <c r="G1940" s="14">
        <f>34.8*(2/3*10)</f>
        <v>231.99999999999997</v>
      </c>
      <c r="H1940" s="14">
        <f>10.6*(2/3*10)</f>
        <v>70.666666666666657</v>
      </c>
      <c r="I1940" s="14">
        <f>30.2*(2/3*10)</f>
        <v>201.33333333333331</v>
      </c>
      <c r="K1940">
        <v>1937</v>
      </c>
      <c r="L1940">
        <f t="shared" si="30"/>
        <v>1</v>
      </c>
    </row>
    <row r="1941" spans="1:12" ht="16.5" x14ac:dyDescent="0.2">
      <c r="A1941" s="4" t="s">
        <v>110</v>
      </c>
      <c r="B1941">
        <v>2010</v>
      </c>
      <c r="C1941" s="14">
        <f>113.1*(2/3*10)</f>
        <v>753.99999999999989</v>
      </c>
      <c r="D1941" s="14">
        <f>61.2*(2/3*10)</f>
        <v>408</v>
      </c>
      <c r="E1941" s="14">
        <f>759.3*(2/3*10)</f>
        <v>5061.9999999999991</v>
      </c>
      <c r="F1941" s="14">
        <f>73.2*(2/3*10)</f>
        <v>488</v>
      </c>
      <c r="G1941" s="14">
        <f>35.9*(2/3*10)</f>
        <v>239.33333333333331</v>
      </c>
      <c r="H1941" s="14">
        <f>10.8*(2/3*10)</f>
        <v>72</v>
      </c>
      <c r="I1941" s="14">
        <f>30.3*(2/3*10)</f>
        <v>202</v>
      </c>
      <c r="K1941" s="15">
        <v>1938</v>
      </c>
      <c r="L1941">
        <f t="shared" si="30"/>
        <v>2</v>
      </c>
    </row>
    <row r="1942" spans="1:12" ht="16.5" x14ac:dyDescent="0.2">
      <c r="A1942" s="4" t="s">
        <v>110</v>
      </c>
      <c r="B1942">
        <v>2011</v>
      </c>
      <c r="C1942" s="14">
        <f>112.7*(2/3*10)</f>
        <v>751.33333333333326</v>
      </c>
      <c r="D1942" s="14">
        <f>60.7*(2/3*10)</f>
        <v>404.66666666666663</v>
      </c>
      <c r="E1942" s="14">
        <f>758.8*(2/3*10)</f>
        <v>5058.6666666666661</v>
      </c>
      <c r="F1942" s="14">
        <f>73.1*(2/3*10)</f>
        <v>487.33333333333326</v>
      </c>
      <c r="G1942" s="14">
        <f>37.3*(2/3*10)</f>
        <v>248.66666666666669</v>
      </c>
      <c r="H1942" s="14">
        <f>10.9*(2/3*10)</f>
        <v>72.666666666666657</v>
      </c>
      <c r="I1942" s="14">
        <f>30.3*(2/3*10)</f>
        <v>202</v>
      </c>
      <c r="K1942">
        <v>1939</v>
      </c>
      <c r="L1942">
        <f t="shared" si="30"/>
        <v>3</v>
      </c>
    </row>
    <row r="1943" spans="1:12" ht="16.5" x14ac:dyDescent="0.2">
      <c r="A1943" s="4" t="s">
        <v>110</v>
      </c>
      <c r="B1943">
        <v>2012</v>
      </c>
      <c r="C1943" s="14">
        <f>112.5*(2/3*10)</f>
        <v>749.99999999999989</v>
      </c>
      <c r="D1943" s="14">
        <f>60.5*(2/3*10)</f>
        <v>403.33333333333331</v>
      </c>
      <c r="E1943" s="14">
        <f>758.4*(2/3*10)</f>
        <v>5055.9999999999991</v>
      </c>
      <c r="F1943" s="14">
        <f>72.9*(2/3*10)</f>
        <v>486</v>
      </c>
      <c r="G1943" s="14">
        <f>38.2*(2/3*10)</f>
        <v>254.66666666666666</v>
      </c>
      <c r="H1943" s="14">
        <f>11.1*(2/3*10)</f>
        <v>73.999999999999986</v>
      </c>
      <c r="I1943" s="14">
        <f>30.3*(2/3*10)</f>
        <v>202</v>
      </c>
      <c r="K1943" s="15">
        <v>1940</v>
      </c>
      <c r="L1943">
        <f t="shared" si="30"/>
        <v>4</v>
      </c>
    </row>
    <row r="1944" spans="1:12" ht="16.5" x14ac:dyDescent="0.2">
      <c r="A1944" s="4" t="s">
        <v>110</v>
      </c>
      <c r="B1944">
        <v>2013</v>
      </c>
      <c r="C1944" s="14">
        <f>112.5*(2/3*10)</f>
        <v>749.99999999999989</v>
      </c>
      <c r="D1944" s="14">
        <f>60.2*(2/3*10)</f>
        <v>401.33333333333331</v>
      </c>
      <c r="E1944" s="14">
        <f>758.1*(2/3*10)</f>
        <v>5054</v>
      </c>
      <c r="F1944" s="14">
        <f>72.8*(2/3*10)</f>
        <v>485.33333333333326</v>
      </c>
      <c r="G1944" s="14">
        <f>38.9*(2/3*10)</f>
        <v>259.33333333333331</v>
      </c>
      <c r="H1944" s="14">
        <f>11.1*(2/3*10)</f>
        <v>73.999999999999986</v>
      </c>
      <c r="I1944" s="14">
        <f>30.2*(2/3*10)</f>
        <v>201.33333333333331</v>
      </c>
      <c r="K1944">
        <v>1941</v>
      </c>
      <c r="L1944">
        <f t="shared" si="30"/>
        <v>5</v>
      </c>
    </row>
    <row r="1945" spans="1:12" ht="16.5" x14ac:dyDescent="0.2">
      <c r="A1945" s="4" t="s">
        <v>110</v>
      </c>
      <c r="B1945">
        <v>2014</v>
      </c>
      <c r="C1945" s="14">
        <f>112.5*(2/3*10)</f>
        <v>749.99999999999989</v>
      </c>
      <c r="D1945" s="14">
        <f>60*(2/3*10)</f>
        <v>399.99999999999994</v>
      </c>
      <c r="E1945" s="14">
        <f>757.9*(2/3*10)</f>
        <v>5052.6666666666661</v>
      </c>
      <c r="F1945" s="14">
        <f>72.7*(2/3*10)</f>
        <v>484.66666666666663</v>
      </c>
      <c r="G1945" s="14">
        <f>39.5*(2/3*10)</f>
        <v>263.33333333333331</v>
      </c>
      <c r="H1945" s="14">
        <f>11.2*(2/3*10)</f>
        <v>74.666666666666657</v>
      </c>
      <c r="I1945" s="14">
        <f>30.2*(2/3*10)</f>
        <v>201.33333333333331</v>
      </c>
      <c r="K1945">
        <v>1942</v>
      </c>
      <c r="L1945">
        <f t="shared" si="30"/>
        <v>6</v>
      </c>
    </row>
    <row r="1946" spans="1:12" ht="16.5" x14ac:dyDescent="0.2">
      <c r="A1946" s="4" t="s">
        <v>110</v>
      </c>
      <c r="B1946">
        <v>2015</v>
      </c>
      <c r="C1946" s="14">
        <f>112.3*(2/3*10)</f>
        <v>748.66666666666663</v>
      </c>
      <c r="D1946" s="14">
        <f>59.7*(2/3*10)</f>
        <v>398</v>
      </c>
      <c r="E1946" s="14">
        <f>757.8*(2/3*10)</f>
        <v>5051.9999999999991</v>
      </c>
      <c r="F1946" s="14">
        <f>72.7*(2/3*10)</f>
        <v>484.66666666666663</v>
      </c>
      <c r="G1946" s="14">
        <f>39.9*(2/3*10)</f>
        <v>266</v>
      </c>
      <c r="H1946" s="14">
        <f>11.3*(2/3*10)</f>
        <v>75.333333333333329</v>
      </c>
      <c r="I1946" s="14">
        <f>30.2*(2/3*10)</f>
        <v>201.33333333333331</v>
      </c>
      <c r="K1946" s="15">
        <v>1943</v>
      </c>
      <c r="L1946">
        <f t="shared" si="30"/>
        <v>7</v>
      </c>
    </row>
    <row r="1947" spans="1:12" ht="16.5" x14ac:dyDescent="0.2">
      <c r="A1947" s="4" t="s">
        <v>110</v>
      </c>
      <c r="B1947">
        <v>2016</v>
      </c>
      <c r="C1947" s="14">
        <f>112.3*(2/3*10)</f>
        <v>748.66666666666663</v>
      </c>
      <c r="D1947" s="14">
        <f>59.7*(2/3*10)</f>
        <v>398</v>
      </c>
      <c r="E1947" s="14">
        <f>757.6*(2/3*10)</f>
        <v>5050.6666666666661</v>
      </c>
      <c r="F1947" s="14">
        <f>72.6*(2/3*10)</f>
        <v>483.99999999999994</v>
      </c>
      <c r="G1947" s="14">
        <f>40.2*(2/3*10)</f>
        <v>268</v>
      </c>
      <c r="H1947" s="14">
        <f>11.4*(2/3*10)</f>
        <v>76</v>
      </c>
      <c r="I1947" s="14">
        <f>30.2*(2/3*10)</f>
        <v>201.33333333333331</v>
      </c>
      <c r="K1947">
        <v>1944</v>
      </c>
      <c r="L1947">
        <f t="shared" si="30"/>
        <v>0</v>
      </c>
    </row>
    <row r="1948" spans="1:12" ht="16.5" x14ac:dyDescent="0.2">
      <c r="A1948" s="4" t="s">
        <v>109</v>
      </c>
      <c r="B1948">
        <v>2009</v>
      </c>
      <c r="C1948" s="14">
        <f>613.2*(2/3*10)</f>
        <v>4088</v>
      </c>
      <c r="D1948" s="14">
        <f>37.7*(2/3*10)</f>
        <v>251.33333333333334</v>
      </c>
      <c r="E1948" s="14">
        <f>806.9*(2/3*10)</f>
        <v>5379.333333333333</v>
      </c>
      <c r="F1948" s="14">
        <f>65*(2/3*10)</f>
        <v>433.33333333333331</v>
      </c>
      <c r="G1948" s="14">
        <f>101.6*(2/3*10)</f>
        <v>677.33333333333326</v>
      </c>
      <c r="H1948" s="14">
        <f>22.7*(2/3*10)</f>
        <v>151.33333333333331</v>
      </c>
      <c r="I1948" s="14">
        <f>56.7*(2/3*10)</f>
        <v>378</v>
      </c>
      <c r="K1948" s="15">
        <v>1945</v>
      </c>
      <c r="L1948">
        <f t="shared" si="30"/>
        <v>1</v>
      </c>
    </row>
    <row r="1949" spans="1:12" ht="16.5" x14ac:dyDescent="0.2">
      <c r="A1949" s="4" t="s">
        <v>109</v>
      </c>
      <c r="B1949">
        <v>2010</v>
      </c>
      <c r="C1949" s="14">
        <f>613.1*(2/3*10)</f>
        <v>4087.333333333333</v>
      </c>
      <c r="D1949" s="14">
        <f>37.5*(2/3*10)</f>
        <v>249.99999999999997</v>
      </c>
      <c r="E1949" s="14">
        <f>805.7*(2/3*10)</f>
        <v>5371.333333333333</v>
      </c>
      <c r="F1949" s="14">
        <f>64.9*(2/3*10)</f>
        <v>432.66666666666669</v>
      </c>
      <c r="G1949" s="14">
        <f>103.4*(2/3*10)</f>
        <v>689.33333333333326</v>
      </c>
      <c r="H1949" s="14">
        <f>23.4*(2/3*10)</f>
        <v>155.99999999999997</v>
      </c>
      <c r="I1949" s="14">
        <f>56.6*(2/3*10)</f>
        <v>377.33333333333331</v>
      </c>
      <c r="K1949">
        <v>1946</v>
      </c>
      <c r="L1949">
        <f t="shared" si="30"/>
        <v>2</v>
      </c>
    </row>
    <row r="1950" spans="1:12" ht="16.5" x14ac:dyDescent="0.2">
      <c r="A1950" s="4" t="s">
        <v>109</v>
      </c>
      <c r="B1950">
        <v>2011</v>
      </c>
      <c r="C1950" s="14">
        <f>615*(2/3*10)</f>
        <v>4100</v>
      </c>
      <c r="D1950" s="14">
        <f>37.3*(2/3*10)</f>
        <v>248.66666666666663</v>
      </c>
      <c r="E1950" s="14">
        <f>805*(2/3*10)</f>
        <v>5366.6666666666661</v>
      </c>
      <c r="F1950" s="14">
        <f>63.5*(2/3*10)</f>
        <v>423.33333333333331</v>
      </c>
      <c r="G1950" s="14">
        <f>105*(2/3*10)</f>
        <v>699.99999999999989</v>
      </c>
      <c r="H1950" s="14">
        <f>24*(2/3*10)</f>
        <v>160</v>
      </c>
      <c r="I1950" s="14">
        <f>56.6*(2/3*10)</f>
        <v>377.33333333333331</v>
      </c>
      <c r="K1950">
        <v>1947</v>
      </c>
      <c r="L1950">
        <f t="shared" si="30"/>
        <v>3</v>
      </c>
    </row>
    <row r="1951" spans="1:12" ht="16.5" x14ac:dyDescent="0.2">
      <c r="A1951" s="4" t="s">
        <v>109</v>
      </c>
      <c r="B1951">
        <v>2012</v>
      </c>
      <c r="C1951" s="14">
        <f>616.2*(2/3*10)</f>
        <v>4108</v>
      </c>
      <c r="D1951" s="14">
        <f>37.1*(2/3*10)</f>
        <v>247.33333333333331</v>
      </c>
      <c r="E1951" s="14">
        <f>804.6*(2/3*10)</f>
        <v>5364</v>
      </c>
      <c r="F1951" s="14">
        <f>63.4*(2/3*10)</f>
        <v>422.66666666666663</v>
      </c>
      <c r="G1951" s="14">
        <f>106.8*(2/3*10)</f>
        <v>711.99999999999989</v>
      </c>
      <c r="H1951" s="14">
        <f>24.2*(2/3*10)</f>
        <v>161.33333333333331</v>
      </c>
      <c r="I1951" s="14">
        <f>56.5*(2/3*10)</f>
        <v>376.66666666666663</v>
      </c>
      <c r="K1951" s="15">
        <v>1948</v>
      </c>
      <c r="L1951">
        <f t="shared" si="30"/>
        <v>4</v>
      </c>
    </row>
    <row r="1952" spans="1:12" ht="16.5" x14ac:dyDescent="0.2">
      <c r="A1952" s="4" t="s">
        <v>109</v>
      </c>
      <c r="B1952">
        <v>2013</v>
      </c>
      <c r="C1952" s="14">
        <f>615.6*(2/3*10)</f>
        <v>4104</v>
      </c>
      <c r="D1952" s="14">
        <f>36.9*(2/3*10)</f>
        <v>245.99999999999997</v>
      </c>
      <c r="E1952" s="14">
        <f>804.2*(2/3*10)</f>
        <v>5361.333333333333</v>
      </c>
      <c r="F1952" s="14">
        <f>63*(2/3*10)</f>
        <v>419.99999999999994</v>
      </c>
      <c r="G1952" s="14">
        <f>108.8*(2/3*10)</f>
        <v>725.33333333333337</v>
      </c>
      <c r="H1952" s="14">
        <f>24.6*(2/3*10)</f>
        <v>164</v>
      </c>
      <c r="I1952" s="14">
        <f>56.4*(2/3*10)</f>
        <v>375.99999999999994</v>
      </c>
      <c r="K1952">
        <v>1949</v>
      </c>
      <c r="L1952">
        <f t="shared" si="30"/>
        <v>5</v>
      </c>
    </row>
    <row r="1953" spans="1:12" ht="16.5" x14ac:dyDescent="0.2">
      <c r="A1953" s="4" t="s">
        <v>109</v>
      </c>
      <c r="B1953">
        <v>2014</v>
      </c>
      <c r="C1953" s="14">
        <f>615.9*(2/3*10)</f>
        <v>4105.9999999999991</v>
      </c>
      <c r="D1953" s="14">
        <f>36.6*(2/3*10)</f>
        <v>244</v>
      </c>
      <c r="E1953" s="14">
        <f>803.3*(2/3*10)</f>
        <v>5355.3333333333321</v>
      </c>
      <c r="F1953" s="14">
        <f>62.9*(2/3*10)</f>
        <v>419.33333333333331</v>
      </c>
      <c r="G1953" s="14">
        <f>111.3*(2/3*10)</f>
        <v>742</v>
      </c>
      <c r="H1953" s="14">
        <f>25.2*(2/3*10)</f>
        <v>167.99999999999997</v>
      </c>
      <c r="I1953" s="14">
        <f>56.4*(2/3*10)</f>
        <v>375.99999999999994</v>
      </c>
      <c r="K1953" s="15">
        <v>1950</v>
      </c>
      <c r="L1953">
        <f t="shared" si="30"/>
        <v>6</v>
      </c>
    </row>
    <row r="1954" spans="1:12" ht="16.5" x14ac:dyDescent="0.2">
      <c r="A1954" s="4" t="s">
        <v>109</v>
      </c>
      <c r="B1954">
        <v>2015</v>
      </c>
      <c r="C1954" s="14">
        <f>615.7*(2/3*10)</f>
        <v>4104.666666666667</v>
      </c>
      <c r="D1954" s="14">
        <f>36.5*(2/3*10)</f>
        <v>243.33333333333331</v>
      </c>
      <c r="E1954" s="14">
        <f>803*(2/3*10)</f>
        <v>5353.333333333333</v>
      </c>
      <c r="F1954" s="14">
        <f>62.8*(2/3*10)</f>
        <v>418.66666666666663</v>
      </c>
      <c r="G1954" s="14">
        <f>112.8*(2/3*10)</f>
        <v>751.99999999999989</v>
      </c>
      <c r="H1954" s="14">
        <f>25.4*(2/3*10)</f>
        <v>169.33333333333331</v>
      </c>
      <c r="I1954" s="14">
        <f>56.3*(2/3*10)</f>
        <v>375.33333333333326</v>
      </c>
      <c r="K1954">
        <v>1951</v>
      </c>
      <c r="L1954">
        <f t="shared" si="30"/>
        <v>7</v>
      </c>
    </row>
    <row r="1955" spans="1:12" ht="16.5" x14ac:dyDescent="0.2">
      <c r="A1955" s="4" t="s">
        <v>109</v>
      </c>
      <c r="B1955">
        <v>2016</v>
      </c>
      <c r="C1955" s="14">
        <f>617.6*(2/3*10)</f>
        <v>4117.333333333333</v>
      </c>
      <c r="D1955" s="14">
        <f>36.4*(2/3*10)</f>
        <v>242.66666666666663</v>
      </c>
      <c r="E1955" s="14">
        <f>802.5*(2/3*10)</f>
        <v>5349.9999999999991</v>
      </c>
      <c r="F1955" s="14">
        <f>61.7*(2/3*10)</f>
        <v>411.33333333333331</v>
      </c>
      <c r="G1955" s="14">
        <f>114.2*(2/3*10)</f>
        <v>761.33333333333326</v>
      </c>
      <c r="H1955" s="14">
        <f>25.6*(2/3*10)</f>
        <v>170.66666666666666</v>
      </c>
      <c r="I1955" s="14">
        <f>56.3*(2/3*10)</f>
        <v>375.33333333333326</v>
      </c>
      <c r="K1955">
        <v>1952</v>
      </c>
      <c r="L1955">
        <f t="shared" si="30"/>
        <v>0</v>
      </c>
    </row>
    <row r="1956" spans="1:12" ht="16.5" x14ac:dyDescent="0.2">
      <c r="A1956" s="4" t="s">
        <v>108</v>
      </c>
      <c r="B1956">
        <v>2009</v>
      </c>
      <c r="C1956" s="14">
        <f>379.7*(2/3*10)</f>
        <v>2531.333333333333</v>
      </c>
      <c r="D1956" s="14">
        <f>14.3*(2/3*10)</f>
        <v>95.333333333333329</v>
      </c>
      <c r="E1956" s="14">
        <f>250.7*(2/3*10)</f>
        <v>1671.333333333333</v>
      </c>
      <c r="F1956" s="14">
        <f>5.4*(2/3*10)</f>
        <v>36</v>
      </c>
      <c r="G1956" s="14">
        <f>112.5*(2/3*10)</f>
        <v>749.99999999999989</v>
      </c>
      <c r="H1956" s="14">
        <f>18.3*(2/3*10)</f>
        <v>122</v>
      </c>
      <c r="I1956" s="14">
        <f>48.8*(2/3*10)</f>
        <v>325.33333333333326</v>
      </c>
      <c r="K1956" s="15">
        <v>1953</v>
      </c>
      <c r="L1956">
        <f t="shared" si="30"/>
        <v>1</v>
      </c>
    </row>
    <row r="1957" spans="1:12" ht="16.5" x14ac:dyDescent="0.2">
      <c r="A1957" s="4" t="s">
        <v>108</v>
      </c>
      <c r="B1957">
        <v>2010</v>
      </c>
      <c r="C1957" s="14">
        <f>376.2*(2/3*10)</f>
        <v>2507.9999999999995</v>
      </c>
      <c r="D1957" s="14">
        <f>14.2*(2/3*10)</f>
        <v>94.666666666666657</v>
      </c>
      <c r="E1957" s="14">
        <f>250.5*(2/3*10)</f>
        <v>1669.9999999999998</v>
      </c>
      <c r="F1957" s="14">
        <f>5.4*(2/3*10)</f>
        <v>36</v>
      </c>
      <c r="G1957" s="14">
        <f>116.4*(2/3*10)</f>
        <v>776</v>
      </c>
      <c r="H1957" s="14">
        <f>19.3*(2/3*10)</f>
        <v>128.66666666666666</v>
      </c>
      <c r="I1957" s="14">
        <f>48.6*(2/3*10)</f>
        <v>324</v>
      </c>
      <c r="K1957">
        <v>1954</v>
      </c>
      <c r="L1957">
        <f t="shared" si="30"/>
        <v>2</v>
      </c>
    </row>
    <row r="1958" spans="1:12" ht="16.5" x14ac:dyDescent="0.2">
      <c r="A1958" s="4" t="s">
        <v>108</v>
      </c>
      <c r="B1958">
        <v>2011</v>
      </c>
      <c r="C1958" s="14">
        <f>376.1*(2/3*10)</f>
        <v>2507.3333333333335</v>
      </c>
      <c r="D1958" s="14">
        <f>14.1*(2/3*10)</f>
        <v>93.999999999999986</v>
      </c>
      <c r="E1958" s="14">
        <f>250.5*(2/3*10)</f>
        <v>1669.9999999999998</v>
      </c>
      <c r="F1958" s="14">
        <f>5.4*(2/3*10)</f>
        <v>36</v>
      </c>
      <c r="G1958" s="14">
        <f>117.3*(2/3*10)</f>
        <v>781.99999999999989</v>
      </c>
      <c r="H1958" s="14">
        <f>19.7*(2/3*10)</f>
        <v>131.33333333333331</v>
      </c>
      <c r="I1958" s="14">
        <f>48.9*(2/3*10)</f>
        <v>325.99999999999994</v>
      </c>
      <c r="K1958" s="15">
        <v>1955</v>
      </c>
      <c r="L1958">
        <f t="shared" si="30"/>
        <v>3</v>
      </c>
    </row>
    <row r="1959" spans="1:12" ht="16.5" x14ac:dyDescent="0.2">
      <c r="A1959" s="4" t="s">
        <v>108</v>
      </c>
      <c r="B1959">
        <v>2012</v>
      </c>
      <c r="C1959" s="14">
        <f>377.3*(2/3*10)</f>
        <v>2515.333333333333</v>
      </c>
      <c r="D1959" s="14">
        <f>14.1*(2/3*10)</f>
        <v>93.999999999999986</v>
      </c>
      <c r="E1959" s="14">
        <f>250.5*(2/3*10)</f>
        <v>1669.9999999999998</v>
      </c>
      <c r="F1959" s="14">
        <f>5.4*(2/3*10)</f>
        <v>36</v>
      </c>
      <c r="G1959" s="14">
        <f>117.8*(2/3*10)</f>
        <v>785.33333333333326</v>
      </c>
      <c r="H1959" s="14">
        <f>19.8*(2/3*10)</f>
        <v>132</v>
      </c>
      <c r="I1959" s="14">
        <f>48.8*(2/3*10)</f>
        <v>325.33333333333326</v>
      </c>
      <c r="K1959">
        <v>1956</v>
      </c>
      <c r="L1959">
        <f t="shared" si="30"/>
        <v>4</v>
      </c>
    </row>
    <row r="1960" spans="1:12" ht="16.5" x14ac:dyDescent="0.2">
      <c r="A1960" s="4" t="s">
        <v>108</v>
      </c>
      <c r="B1960">
        <v>2013</v>
      </c>
      <c r="C1960" s="14">
        <f>376.7*(2/3*10)</f>
        <v>2511.333333333333</v>
      </c>
      <c r="D1960" s="14">
        <f>14.1*(2/3*10)</f>
        <v>93.999999999999986</v>
      </c>
      <c r="E1960" s="14">
        <f>250.4*(2/3*10)</f>
        <v>1669.3333333333333</v>
      </c>
      <c r="F1960" s="14">
        <f>5.4*(2/3*10)</f>
        <v>36</v>
      </c>
      <c r="G1960" s="14">
        <f>118.6*(2/3*10)</f>
        <v>790.66666666666652</v>
      </c>
      <c r="H1960" s="14">
        <f>20*(2/3*10)</f>
        <v>133.33333333333331</v>
      </c>
      <c r="I1960" s="14">
        <f>48.8*(2/3*10)</f>
        <v>325.33333333333326</v>
      </c>
      <c r="K1960">
        <v>1957</v>
      </c>
      <c r="L1960">
        <f t="shared" si="30"/>
        <v>5</v>
      </c>
    </row>
    <row r="1961" spans="1:12" ht="16.5" x14ac:dyDescent="0.2">
      <c r="A1961" s="4" t="s">
        <v>108</v>
      </c>
      <c r="B1961">
        <v>2014</v>
      </c>
      <c r="C1961" s="14">
        <f>375.6*(2/3*10)</f>
        <v>2504</v>
      </c>
      <c r="D1961" s="14">
        <f>13.9*(2/3*10)</f>
        <v>92.666666666666657</v>
      </c>
      <c r="E1961" s="14">
        <f>250.4*(2/3*10)</f>
        <v>1669.3333333333333</v>
      </c>
      <c r="F1961" s="14">
        <f>5.4*(2/3*10)</f>
        <v>36</v>
      </c>
      <c r="G1961" s="14">
        <f>119.9*(2/3*10)</f>
        <v>799.33333333333326</v>
      </c>
      <c r="H1961" s="14">
        <f>20.4*(2/3*10)</f>
        <v>135.99999999999997</v>
      </c>
      <c r="I1961" s="14">
        <f>48.7*(2/3*10)</f>
        <v>324.66666666666663</v>
      </c>
      <c r="K1961" s="15">
        <v>1958</v>
      </c>
      <c r="L1961">
        <f t="shared" si="30"/>
        <v>6</v>
      </c>
    </row>
    <row r="1962" spans="1:12" ht="16.5" x14ac:dyDescent="0.2">
      <c r="A1962" s="4" t="s">
        <v>108</v>
      </c>
      <c r="B1962">
        <v>2015</v>
      </c>
      <c r="C1962" s="14">
        <f>374.3*(2/3*10)</f>
        <v>2495.333333333333</v>
      </c>
      <c r="D1962" s="14">
        <f>13.9*(2/3*10)</f>
        <v>92.666666666666657</v>
      </c>
      <c r="E1962" s="14">
        <f>250.3*(2/3*10)</f>
        <v>1668.6666666666665</v>
      </c>
      <c r="F1962" s="14">
        <f>5.4*(2/3*10)</f>
        <v>36</v>
      </c>
      <c r="G1962" s="14">
        <f>121.8*(2/3*10)</f>
        <v>811.99999999999989</v>
      </c>
      <c r="H1962" s="14">
        <f>20.6*(2/3*10)</f>
        <v>137.33333333333334</v>
      </c>
      <c r="I1962" s="14">
        <f>48.6*(2/3*10)</f>
        <v>324</v>
      </c>
      <c r="K1962">
        <v>1959</v>
      </c>
      <c r="L1962">
        <f t="shared" si="30"/>
        <v>7</v>
      </c>
    </row>
    <row r="1963" spans="1:12" ht="16.5" x14ac:dyDescent="0.2">
      <c r="A1963" s="4" t="s">
        <v>108</v>
      </c>
      <c r="B1963">
        <v>2016</v>
      </c>
      <c r="C1963" s="14">
        <f>373.4*(2/3*10)</f>
        <v>2489.333333333333</v>
      </c>
      <c r="D1963" s="14">
        <f>13.9*(2/3*10)</f>
        <v>92.666666666666657</v>
      </c>
      <c r="E1963" s="14">
        <f>250.2*(2/3*10)</f>
        <v>1667.9999999999998</v>
      </c>
      <c r="F1963" s="14">
        <f>5.3*(2/3*10)</f>
        <v>35.333333333333329</v>
      </c>
      <c r="G1963" s="14">
        <f>122.7*(2/3*10)</f>
        <v>817.99999999999989</v>
      </c>
      <c r="H1963" s="14">
        <f>20.7*(2/3*10)</f>
        <v>137.99999999999997</v>
      </c>
      <c r="I1963" s="14">
        <f>48.6*(2/3*10)</f>
        <v>324</v>
      </c>
      <c r="K1963" s="15">
        <v>1960</v>
      </c>
      <c r="L1963">
        <f t="shared" si="30"/>
        <v>0</v>
      </c>
    </row>
    <row r="1964" spans="1:12" ht="16.5" x14ac:dyDescent="0.2">
      <c r="A1964" s="4" t="s">
        <v>107</v>
      </c>
      <c r="B1964">
        <v>2009</v>
      </c>
      <c r="C1964" s="14">
        <f>665.1*(2/3*10)</f>
        <v>4434</v>
      </c>
      <c r="D1964" s="14">
        <f>56.5*(2/3*10)</f>
        <v>376.66666666666663</v>
      </c>
      <c r="E1964" s="14">
        <f>1770.6*(2/3*10)</f>
        <v>11803.999999999998</v>
      </c>
      <c r="F1964" s="14">
        <f>50.8*(2/3*10)</f>
        <v>338.66666666666663</v>
      </c>
      <c r="G1964" s="14">
        <f>162.8*(2/3*10)</f>
        <v>1085.3333333333333</v>
      </c>
      <c r="H1964" s="14">
        <f>34.4*(2/3*10)</f>
        <v>229.33333333333331</v>
      </c>
      <c r="I1964" s="14">
        <f>107.9*(2/3*10)</f>
        <v>719.33333333333326</v>
      </c>
      <c r="K1964">
        <v>1961</v>
      </c>
      <c r="L1964">
        <f t="shared" si="30"/>
        <v>1</v>
      </c>
    </row>
    <row r="1965" spans="1:12" ht="16.5" x14ac:dyDescent="0.2">
      <c r="A1965" s="4" t="s">
        <v>107</v>
      </c>
      <c r="B1965">
        <v>2010</v>
      </c>
      <c r="C1965" s="14">
        <f>661.5*(2/3*10)</f>
        <v>4410</v>
      </c>
      <c r="D1965" s="14">
        <f>56.1*(2/3*10)</f>
        <v>374</v>
      </c>
      <c r="E1965" s="14">
        <f>1769.8*(2/3*10)</f>
        <v>11798.666666666666</v>
      </c>
      <c r="F1965" s="14">
        <f>50.8*(2/3*10)</f>
        <v>338.66666666666663</v>
      </c>
      <c r="G1965" s="14">
        <f>166*(2/3*10)</f>
        <v>1106.6666666666665</v>
      </c>
      <c r="H1965" s="14">
        <f>36.3*(2/3*10)</f>
        <v>241.99999999999997</v>
      </c>
      <c r="I1965" s="14">
        <f>107.7*(2/3*10)</f>
        <v>718</v>
      </c>
      <c r="K1965">
        <v>1962</v>
      </c>
      <c r="L1965">
        <f t="shared" si="30"/>
        <v>2</v>
      </c>
    </row>
    <row r="1966" spans="1:12" ht="16.5" x14ac:dyDescent="0.2">
      <c r="A1966" s="4" t="s">
        <v>107</v>
      </c>
      <c r="B1966">
        <v>2011</v>
      </c>
      <c r="C1966" s="14">
        <f>662.7*(2/3*10)</f>
        <v>4418</v>
      </c>
      <c r="D1966" s="14">
        <f>55.9*(2/3*10)</f>
        <v>372.66666666666663</v>
      </c>
      <c r="E1966" s="14">
        <f>1769.4*(2/3*10)</f>
        <v>11796</v>
      </c>
      <c r="F1966" s="14">
        <f>50.7*(2/3*10)</f>
        <v>338</v>
      </c>
      <c r="G1966" s="14">
        <f>167.7*(2/3*10)</f>
        <v>1118</v>
      </c>
      <c r="H1966" s="14">
        <f>37*(2/3*10)</f>
        <v>246.66666666666666</v>
      </c>
      <c r="I1966" s="14">
        <f>107.6*(2/3*10)</f>
        <v>717.33333333333326</v>
      </c>
      <c r="K1966" s="15">
        <v>1963</v>
      </c>
      <c r="L1966">
        <f t="shared" si="30"/>
        <v>3</v>
      </c>
    </row>
    <row r="1967" spans="1:12" ht="16.5" x14ac:dyDescent="0.2">
      <c r="A1967" s="4" t="s">
        <v>107</v>
      </c>
      <c r="B1967">
        <v>2012</v>
      </c>
      <c r="C1967" s="14">
        <f>662.1*(2/3*10)</f>
        <v>4414</v>
      </c>
      <c r="D1967" s="14">
        <f>55.8*(2/3*10)</f>
        <v>371.99999999999994</v>
      </c>
      <c r="E1967" s="14">
        <f>1769.2*(2/3*10)</f>
        <v>11794.666666666666</v>
      </c>
      <c r="F1967" s="14">
        <f>50.7*(2/3*10)</f>
        <v>338</v>
      </c>
      <c r="G1967" s="14">
        <f>168.4*(2/3*10)</f>
        <v>1122.6666666666665</v>
      </c>
      <c r="H1967" s="14">
        <f>37.2*(2/3*10)</f>
        <v>248</v>
      </c>
      <c r="I1967" s="14">
        <f>107.6*(2/3*10)</f>
        <v>717.33333333333326</v>
      </c>
      <c r="K1967">
        <v>1964</v>
      </c>
      <c r="L1967">
        <f t="shared" si="30"/>
        <v>4</v>
      </c>
    </row>
    <row r="1968" spans="1:12" ht="16.5" x14ac:dyDescent="0.2">
      <c r="A1968" s="4" t="s">
        <v>107</v>
      </c>
      <c r="B1968">
        <v>2013</v>
      </c>
      <c r="C1968" s="14">
        <f>665.4*(2/3*10)</f>
        <v>4435.9999999999991</v>
      </c>
      <c r="D1968" s="14">
        <f>55.6*(2/3*10)</f>
        <v>370.66666666666663</v>
      </c>
      <c r="E1968" s="14">
        <f>1768.7*(2/3*10)</f>
        <v>11791.333333333332</v>
      </c>
      <c r="F1968" s="14">
        <f>50.7*(2/3*10)</f>
        <v>338</v>
      </c>
      <c r="G1968" s="14">
        <f>169.2*(2/3*10)</f>
        <v>1127.9999999999998</v>
      </c>
      <c r="H1968" s="14">
        <f>37.7*(2/3*10)</f>
        <v>251.33333333333334</v>
      </c>
      <c r="I1968" s="14">
        <f>107.5*(2/3*10)</f>
        <v>716.66666666666663</v>
      </c>
      <c r="K1968" s="15">
        <v>1965</v>
      </c>
      <c r="L1968">
        <f t="shared" si="30"/>
        <v>5</v>
      </c>
    </row>
    <row r="1969" spans="1:12" ht="16.5" x14ac:dyDescent="0.2">
      <c r="A1969" s="4" t="s">
        <v>107</v>
      </c>
      <c r="B1969">
        <v>2014</v>
      </c>
      <c r="C1969" s="14">
        <f>666.8*(2/3*10)</f>
        <v>4445.333333333333</v>
      </c>
      <c r="D1969" s="14">
        <f>55.5*(2/3*10)</f>
        <v>369.99999999999994</v>
      </c>
      <c r="E1969" s="14">
        <f>1768.4*(2/3*10)</f>
        <v>11789.333333333332</v>
      </c>
      <c r="F1969" s="14">
        <f>50.6*(2/3*10)</f>
        <v>337.33333333333331</v>
      </c>
      <c r="G1969" s="14">
        <f>170.2*(2/3*10)</f>
        <v>1134.6666666666665</v>
      </c>
      <c r="H1969" s="14">
        <f>38.1*(2/3*10)</f>
        <v>254</v>
      </c>
      <c r="I1969" s="14">
        <f>107.5*(2/3*10)</f>
        <v>716.66666666666663</v>
      </c>
      <c r="K1969">
        <v>1966</v>
      </c>
      <c r="L1969">
        <f t="shared" si="30"/>
        <v>6</v>
      </c>
    </row>
    <row r="1970" spans="1:12" ht="16.5" x14ac:dyDescent="0.2">
      <c r="A1970" s="4" t="s">
        <v>107</v>
      </c>
      <c r="B1970">
        <v>2015</v>
      </c>
      <c r="C1970" s="14">
        <f>666.8*(2/3*10)</f>
        <v>4445.333333333333</v>
      </c>
      <c r="D1970" s="14">
        <f>55.5*(2/3*10)</f>
        <v>369.99999999999994</v>
      </c>
      <c r="E1970" s="14">
        <f>1768.1*(2/3*10)</f>
        <v>11787.333333333332</v>
      </c>
      <c r="F1970" s="14">
        <f>50.4*(2/3*10)</f>
        <v>335.99999999999994</v>
      </c>
      <c r="G1970" s="14">
        <f>171.7*(2/3*10)</f>
        <v>1144.6666666666665</v>
      </c>
      <c r="H1970" s="14">
        <f>38.3*(2/3*10)</f>
        <v>255.33333333333329</v>
      </c>
      <c r="I1970" s="14">
        <f>107.3*(2/3*10)</f>
        <v>715.33333333333326</v>
      </c>
      <c r="K1970">
        <v>1967</v>
      </c>
      <c r="L1970">
        <f t="shared" si="30"/>
        <v>7</v>
      </c>
    </row>
    <row r="1971" spans="1:12" ht="16.5" x14ac:dyDescent="0.2">
      <c r="A1971" s="4" t="s">
        <v>107</v>
      </c>
      <c r="B1971">
        <v>2016</v>
      </c>
      <c r="C1971" s="14">
        <f>666.5*(2/3*10)</f>
        <v>4443.333333333333</v>
      </c>
      <c r="D1971" s="14">
        <f>55.4*(2/3*10)</f>
        <v>369.33333333333331</v>
      </c>
      <c r="E1971" s="14">
        <f>1767.8*(2/3*10)</f>
        <v>11785.333333333332</v>
      </c>
      <c r="F1971" s="14">
        <f>50.4*(2/3*10)</f>
        <v>335.99999999999994</v>
      </c>
      <c r="G1971" s="14">
        <f>172.6*(2/3*10)</f>
        <v>1150.6666666666665</v>
      </c>
      <c r="H1971" s="14">
        <f>38.9*(2/3*10)</f>
        <v>259.33333333333331</v>
      </c>
      <c r="I1971" s="14">
        <f>107.3*(2/3*10)</f>
        <v>715.33333333333326</v>
      </c>
      <c r="K1971" s="15">
        <v>1968</v>
      </c>
      <c r="L1971">
        <f t="shared" si="30"/>
        <v>0</v>
      </c>
    </row>
    <row r="1972" spans="1:12" ht="16.5" x14ac:dyDescent="0.2">
      <c r="A1972" s="4" t="s">
        <v>106</v>
      </c>
      <c r="B1972">
        <v>2009</v>
      </c>
      <c r="C1972" s="14">
        <f>521.3*(2/3*10)</f>
        <v>3475.3333333333326</v>
      </c>
      <c r="D1972" s="14">
        <f>26.1*(2/3*10)</f>
        <v>174</v>
      </c>
      <c r="E1972" s="14">
        <f>1586.2*(2/3*10)</f>
        <v>10574.666666666666</v>
      </c>
      <c r="F1972" s="14">
        <f>7.2*(2/3*10)</f>
        <v>48</v>
      </c>
      <c r="G1972" s="14">
        <f>78.9*(2/3*10)</f>
        <v>526</v>
      </c>
      <c r="H1972" s="14">
        <f>28*(2/3*10)</f>
        <v>186.66666666666666</v>
      </c>
      <c r="I1972" s="14">
        <f>78.2*(2/3*10)</f>
        <v>521.33333333333326</v>
      </c>
      <c r="K1972">
        <v>1969</v>
      </c>
      <c r="L1972">
        <f t="shared" si="30"/>
        <v>1</v>
      </c>
    </row>
    <row r="1973" spans="1:12" ht="16.5" x14ac:dyDescent="0.2">
      <c r="A1973" s="4" t="s">
        <v>106</v>
      </c>
      <c r="B1973">
        <v>2010</v>
      </c>
      <c r="C1973" s="14">
        <f>520.3*(2/3*10)</f>
        <v>3468.6666666666661</v>
      </c>
      <c r="D1973" s="14">
        <f>26*(2/3*10)</f>
        <v>173.33333333333331</v>
      </c>
      <c r="E1973" s="14">
        <f>1585.6*(2/3*10)</f>
        <v>10570.666666666664</v>
      </c>
      <c r="F1973" s="14">
        <f>7.2*(2/3*10)</f>
        <v>48</v>
      </c>
      <c r="G1973" s="14">
        <f>80*(2/3*10)</f>
        <v>533.33333333333326</v>
      </c>
      <c r="H1973" s="14">
        <f>28.7*(2/3*10)</f>
        <v>191.33333333333331</v>
      </c>
      <c r="I1973" s="14">
        <f>78.3*(2/3*10)</f>
        <v>521.99999999999989</v>
      </c>
      <c r="K1973" s="15">
        <v>1970</v>
      </c>
      <c r="L1973">
        <f t="shared" si="30"/>
        <v>2</v>
      </c>
    </row>
    <row r="1974" spans="1:12" ht="16.5" x14ac:dyDescent="0.2">
      <c r="A1974" s="4" t="s">
        <v>106</v>
      </c>
      <c r="B1974">
        <v>2011</v>
      </c>
      <c r="C1974" s="14">
        <f>529.4*(2/3*10)</f>
        <v>3529.333333333333</v>
      </c>
      <c r="D1974" s="14">
        <f>24.8*(2/3*10)</f>
        <v>165.33333333333331</v>
      </c>
      <c r="E1974" s="14">
        <f>1584.2*(2/3*10)</f>
        <v>10561.333333333332</v>
      </c>
      <c r="F1974" s="14">
        <f>6.2*(2/3*10)</f>
        <v>41.333333333333329</v>
      </c>
      <c r="G1974" s="14">
        <f>80.7*(2/3*10)</f>
        <v>538</v>
      </c>
      <c r="H1974" s="14">
        <f>29.2*(2/3*10)</f>
        <v>194.66666666666666</v>
      </c>
      <c r="I1974" s="14">
        <f>78.2*(2/3*10)</f>
        <v>521.33333333333326</v>
      </c>
      <c r="K1974">
        <v>1971</v>
      </c>
      <c r="L1974">
        <f t="shared" si="30"/>
        <v>3</v>
      </c>
    </row>
    <row r="1975" spans="1:12" ht="16.5" x14ac:dyDescent="0.2">
      <c r="A1975" s="4" t="s">
        <v>106</v>
      </c>
      <c r="B1975">
        <v>2012</v>
      </c>
      <c r="C1975" s="14">
        <f>528.4*(2/3*10)</f>
        <v>3522.6666666666661</v>
      </c>
      <c r="D1975" s="14">
        <f>24.5*(2/3*10)</f>
        <v>163.33333333333331</v>
      </c>
      <c r="E1975" s="14">
        <f>1583.2*(2/3*10)</f>
        <v>10554.666666666666</v>
      </c>
      <c r="F1975" s="14">
        <f>6.2*(2/3*10)</f>
        <v>41.333333333333329</v>
      </c>
      <c r="G1975" s="14">
        <f>84*(2/3*10)</f>
        <v>560</v>
      </c>
      <c r="H1975" s="14">
        <f>29.4*(2/3*10)</f>
        <v>195.99999999999997</v>
      </c>
      <c r="I1975" s="14">
        <f>78.1*(2/3*10)</f>
        <v>520.66666666666663</v>
      </c>
      <c r="K1975">
        <v>1972</v>
      </c>
      <c r="L1975">
        <f t="shared" si="30"/>
        <v>4</v>
      </c>
    </row>
    <row r="1976" spans="1:12" ht="16.5" x14ac:dyDescent="0.2">
      <c r="A1976" s="4" t="s">
        <v>106</v>
      </c>
      <c r="B1976">
        <v>2013</v>
      </c>
      <c r="C1976" s="14">
        <f>529*(2/3*10)</f>
        <v>3526.6666666666665</v>
      </c>
      <c r="D1976" s="14">
        <f>24.4*(2/3*10)</f>
        <v>162.66666666666663</v>
      </c>
      <c r="E1976" s="14">
        <f>1583*(2/3*10)</f>
        <v>10553.333333333332</v>
      </c>
      <c r="F1976" s="14">
        <f>6.2*(2/3*10)</f>
        <v>41.333333333333329</v>
      </c>
      <c r="G1976" s="14">
        <f>84.5*(2/3*10)</f>
        <v>563.33333333333326</v>
      </c>
      <c r="H1976" s="14">
        <f>29.5*(2/3*10)</f>
        <v>196.66666666666666</v>
      </c>
      <c r="I1976" s="14">
        <f>78*(2/3*10)</f>
        <v>520</v>
      </c>
      <c r="K1976" s="15">
        <v>1973</v>
      </c>
      <c r="L1976">
        <f t="shared" si="30"/>
        <v>5</v>
      </c>
    </row>
    <row r="1977" spans="1:12" ht="16.5" x14ac:dyDescent="0.2">
      <c r="A1977" s="4" t="s">
        <v>106</v>
      </c>
      <c r="B1977">
        <v>2014</v>
      </c>
      <c r="C1977" s="14">
        <f>529.4*(2/3*10)</f>
        <v>3529.333333333333</v>
      </c>
      <c r="D1977" s="14">
        <f>24.3*(2/3*10)</f>
        <v>162</v>
      </c>
      <c r="E1977" s="14">
        <f>1582.4*(2/3*10)</f>
        <v>10549.333333333332</v>
      </c>
      <c r="F1977" s="14">
        <f>6.1*(2/3*10)</f>
        <v>40.666666666666657</v>
      </c>
      <c r="G1977" s="14">
        <f>85.5*(2/3*10)</f>
        <v>570</v>
      </c>
      <c r="H1977" s="14">
        <f>29.9*(2/3*10)</f>
        <v>199.33333333333331</v>
      </c>
      <c r="I1977" s="14">
        <f>77.9*(2/3*10)</f>
        <v>519.33333333333337</v>
      </c>
      <c r="K1977">
        <v>1974</v>
      </c>
      <c r="L1977">
        <f t="shared" si="30"/>
        <v>6</v>
      </c>
    </row>
    <row r="1978" spans="1:12" ht="16.5" x14ac:dyDescent="0.2">
      <c r="A1978" s="4" t="s">
        <v>106</v>
      </c>
      <c r="B1978">
        <v>2015</v>
      </c>
      <c r="C1978" s="14">
        <f>529.7*(2/3*10)</f>
        <v>3531.3333333333335</v>
      </c>
      <c r="D1978" s="14">
        <f>24.2*(2/3*10)</f>
        <v>161.33333333333331</v>
      </c>
      <c r="E1978" s="14">
        <f>1582.1*(2/3*10)</f>
        <v>10547.333333333332</v>
      </c>
      <c r="F1978" s="14">
        <f>6.1*(2/3*10)</f>
        <v>40.666666666666657</v>
      </c>
      <c r="G1978" s="14">
        <f>86.3*(2/3*10)</f>
        <v>575.33333333333326</v>
      </c>
      <c r="H1978" s="14">
        <f>30*(2/3*10)</f>
        <v>199.99999999999997</v>
      </c>
      <c r="I1978" s="14">
        <f>77.9*(2/3*10)</f>
        <v>519.33333333333337</v>
      </c>
      <c r="K1978" s="15">
        <v>1975</v>
      </c>
      <c r="L1978">
        <f t="shared" si="30"/>
        <v>7</v>
      </c>
    </row>
    <row r="1979" spans="1:12" ht="16.5" x14ac:dyDescent="0.2">
      <c r="A1979" s="4" t="s">
        <v>106</v>
      </c>
      <c r="B1979">
        <v>2016</v>
      </c>
      <c r="C1979" s="14">
        <f>530.4*(2/3*10)</f>
        <v>3535.9999999999995</v>
      </c>
      <c r="D1979" s="14">
        <f>24.2*(2/3*10)</f>
        <v>161.33333333333331</v>
      </c>
      <c r="E1979" s="14">
        <f>1581.7*(2/3*10)</f>
        <v>10544.666666666666</v>
      </c>
      <c r="F1979" s="14">
        <f>6.1*(2/3*10)</f>
        <v>40.666666666666657</v>
      </c>
      <c r="G1979" s="14">
        <f>86.8*(2/3*10)</f>
        <v>578.66666666666674</v>
      </c>
      <c r="H1979" s="14">
        <f>30.3*(2/3*10)</f>
        <v>202</v>
      </c>
      <c r="I1979" s="14">
        <f>77.9*(2/3*10)</f>
        <v>519.33333333333337</v>
      </c>
      <c r="K1979">
        <v>1976</v>
      </c>
      <c r="L1979">
        <f t="shared" si="30"/>
        <v>0</v>
      </c>
    </row>
    <row r="1980" spans="1:12" ht="16.5" x14ac:dyDescent="0.2">
      <c r="A1980" s="4" t="s">
        <v>105</v>
      </c>
      <c r="B1980">
        <v>2009</v>
      </c>
      <c r="C1980" s="14">
        <f>404.7*(2/3*10)</f>
        <v>2697.9999999999995</v>
      </c>
      <c r="D1980" s="14">
        <f>8.6*(2/3*10)</f>
        <v>57.333333333333329</v>
      </c>
      <c r="E1980" s="14">
        <f>177.4*(2/3*10)</f>
        <v>1182.6666666666665</v>
      </c>
      <c r="F1980" s="14">
        <f>2.1*(2/3*10)</f>
        <v>14</v>
      </c>
      <c r="G1980" s="14">
        <f>80.8*(2/3*10)</f>
        <v>538.66666666666663</v>
      </c>
      <c r="H1980" s="14">
        <f>15*(2/3*10)</f>
        <v>99.999999999999986</v>
      </c>
      <c r="I1980" s="14">
        <f>39*(2/3*10)</f>
        <v>260</v>
      </c>
      <c r="K1980">
        <v>1977</v>
      </c>
      <c r="L1980">
        <f t="shared" si="30"/>
        <v>1</v>
      </c>
    </row>
    <row r="1981" spans="1:12" ht="16.5" x14ac:dyDescent="0.2">
      <c r="A1981" s="4" t="s">
        <v>105</v>
      </c>
      <c r="B1981">
        <v>2010</v>
      </c>
      <c r="C1981" s="14">
        <f>405.8*(2/3*10)</f>
        <v>2705.333333333333</v>
      </c>
      <c r="D1981" s="14">
        <f>8.5*(2/3*10)</f>
        <v>56.666666666666664</v>
      </c>
      <c r="E1981" s="14">
        <f>176.9*(2/3*10)</f>
        <v>1179.3333333333333</v>
      </c>
      <c r="F1981" s="14">
        <f>2*(2/3*10)</f>
        <v>13.333333333333332</v>
      </c>
      <c r="G1981" s="14">
        <f>81.5*(2/3*10)</f>
        <v>543.33333333333337</v>
      </c>
      <c r="H1981" s="14">
        <f>15.5*(2/3*10)</f>
        <v>103.33333333333333</v>
      </c>
      <c r="I1981" s="14">
        <f>39*(2/3*10)</f>
        <v>260</v>
      </c>
      <c r="K1981" s="15">
        <v>1978</v>
      </c>
      <c r="L1981">
        <f t="shared" si="30"/>
        <v>2</v>
      </c>
    </row>
    <row r="1982" spans="1:12" ht="16.5" x14ac:dyDescent="0.2">
      <c r="A1982" s="4" t="s">
        <v>105</v>
      </c>
      <c r="B1982">
        <v>2011</v>
      </c>
      <c r="C1982" s="14">
        <f>405.8*(2/3*10)</f>
        <v>2705.333333333333</v>
      </c>
      <c r="D1982" s="14">
        <f>8.4*(2/3*10)</f>
        <v>56</v>
      </c>
      <c r="E1982" s="14">
        <f>176.7*(2/3*10)</f>
        <v>1177.9999999999998</v>
      </c>
      <c r="F1982" s="14">
        <f>2*(2/3*10)</f>
        <v>13.333333333333332</v>
      </c>
      <c r="G1982" s="14">
        <f>82.6*(2/3*10)</f>
        <v>550.66666666666663</v>
      </c>
      <c r="H1982" s="14">
        <f>15.8*(2/3*10)</f>
        <v>105.33333333333333</v>
      </c>
      <c r="I1982" s="14">
        <f>39*(2/3*10)</f>
        <v>260</v>
      </c>
      <c r="K1982">
        <v>1979</v>
      </c>
      <c r="L1982">
        <f t="shared" si="30"/>
        <v>3</v>
      </c>
    </row>
    <row r="1983" spans="1:12" ht="16.5" x14ac:dyDescent="0.2">
      <c r="A1983" s="4" t="s">
        <v>105</v>
      </c>
      <c r="B1983">
        <v>2012</v>
      </c>
      <c r="C1983" s="14">
        <f>404.9*(2/3*10)</f>
        <v>2699.333333333333</v>
      </c>
      <c r="D1983" s="14">
        <f>8.3*(2/3*10)</f>
        <v>55.333333333333336</v>
      </c>
      <c r="E1983" s="14">
        <f>176.6*(2/3*10)</f>
        <v>1177.3333333333333</v>
      </c>
      <c r="F1983" s="14">
        <f>2*(2/3*10)</f>
        <v>13.333333333333332</v>
      </c>
      <c r="G1983" s="14">
        <f>83.8*(2/3*10)</f>
        <v>558.66666666666663</v>
      </c>
      <c r="H1983" s="14">
        <f>16*(2/3*10)</f>
        <v>106.66666666666666</v>
      </c>
      <c r="I1983" s="14">
        <f>38.9*(2/3*10)</f>
        <v>259.33333333333331</v>
      </c>
      <c r="K1983" s="15">
        <v>1980</v>
      </c>
      <c r="L1983">
        <f t="shared" si="30"/>
        <v>4</v>
      </c>
    </row>
    <row r="1984" spans="1:12" ht="16.5" x14ac:dyDescent="0.2">
      <c r="A1984" s="4" t="s">
        <v>105</v>
      </c>
      <c r="B1984">
        <v>2013</v>
      </c>
      <c r="C1984" s="14">
        <f>406*(2/3*10)</f>
        <v>2706.6666666666665</v>
      </c>
      <c r="D1984" s="14">
        <f>8.2*(2/3*10)</f>
        <v>54.666666666666657</v>
      </c>
      <c r="E1984" s="14">
        <f>176.3*(2/3*10)</f>
        <v>1175.3333333333333</v>
      </c>
      <c r="F1984" s="14">
        <f>2*(2/3*10)</f>
        <v>13.333333333333332</v>
      </c>
      <c r="G1984" s="14">
        <f>84.8*(2/3*10)</f>
        <v>565.33333333333326</v>
      </c>
      <c r="H1984" s="14">
        <f>16.8*(2/3*10)</f>
        <v>112</v>
      </c>
      <c r="I1984" s="14">
        <f>38.9*(2/3*10)</f>
        <v>259.33333333333331</v>
      </c>
      <c r="K1984">
        <v>1981</v>
      </c>
      <c r="L1984">
        <f t="shared" ref="L1984:L2047" si="31">MOD(K1984,8)</f>
        <v>5</v>
      </c>
    </row>
    <row r="1985" spans="1:12" ht="16.5" x14ac:dyDescent="0.2">
      <c r="A1985" s="4" t="s">
        <v>105</v>
      </c>
      <c r="B1985">
        <v>2014</v>
      </c>
      <c r="C1985" s="14">
        <f>405.4*(2/3*10)</f>
        <v>2702.6666666666661</v>
      </c>
      <c r="D1985" s="14">
        <f>8.1*(2/3*10)</f>
        <v>53.999999999999993</v>
      </c>
      <c r="E1985" s="14">
        <f>176.1*(2/3*10)</f>
        <v>1173.9999999999998</v>
      </c>
      <c r="F1985" s="14">
        <f>2*(2/3*10)</f>
        <v>13.333333333333332</v>
      </c>
      <c r="G1985" s="14">
        <f>86.6*(2/3*10)</f>
        <v>577.33333333333337</v>
      </c>
      <c r="H1985" s="14">
        <f>17.1*(2/3*10)</f>
        <v>114</v>
      </c>
      <c r="I1985" s="14">
        <f>38.7*(2/3*10)</f>
        <v>258</v>
      </c>
      <c r="K1985">
        <v>1982</v>
      </c>
      <c r="L1985">
        <f t="shared" si="31"/>
        <v>6</v>
      </c>
    </row>
    <row r="1986" spans="1:12" ht="16.5" x14ac:dyDescent="0.2">
      <c r="A1986" s="4" t="s">
        <v>105</v>
      </c>
      <c r="B1986">
        <v>2015</v>
      </c>
      <c r="C1986" s="14">
        <f>405.8*(2/3*10)</f>
        <v>2705.333333333333</v>
      </c>
      <c r="D1986" s="14">
        <f>8.1*(2/3*10)</f>
        <v>53.999999999999993</v>
      </c>
      <c r="E1986" s="14">
        <f>175.9*(2/3*10)</f>
        <v>1172.6666666666665</v>
      </c>
      <c r="F1986" s="14">
        <f>2*(2/3*10)</f>
        <v>13.333333333333332</v>
      </c>
      <c r="G1986" s="14">
        <f>87.9*(2/3*10)</f>
        <v>585.99999999999989</v>
      </c>
      <c r="H1986" s="14">
        <f>17.1*(2/3*10)</f>
        <v>114</v>
      </c>
      <c r="I1986" s="14">
        <f>38.7*(2/3*10)</f>
        <v>258</v>
      </c>
      <c r="K1986" s="15">
        <v>1983</v>
      </c>
      <c r="L1986">
        <f t="shared" si="31"/>
        <v>7</v>
      </c>
    </row>
    <row r="1987" spans="1:12" ht="16.5" x14ac:dyDescent="0.2">
      <c r="A1987" s="4" t="s">
        <v>105</v>
      </c>
      <c r="B1987">
        <v>2016</v>
      </c>
      <c r="C1987" s="14">
        <f>406.9*(2/3*10)</f>
        <v>2712.6666666666661</v>
      </c>
      <c r="D1987" s="14">
        <f>8*(2/3*10)</f>
        <v>53.333333333333329</v>
      </c>
      <c r="E1987" s="14">
        <f>175.8*(2/3*10)</f>
        <v>1172</v>
      </c>
      <c r="F1987" s="14">
        <f>1.9*(2/3*10)</f>
        <v>12.666666666666664</v>
      </c>
      <c r="G1987" s="14">
        <f>88.4*(2/3*10)</f>
        <v>589.33333333333326</v>
      </c>
      <c r="H1987" s="14">
        <f>17.3*(2/3*10)</f>
        <v>115.33333333333333</v>
      </c>
      <c r="I1987" s="14">
        <f>38.7*(2/3*10)</f>
        <v>258</v>
      </c>
      <c r="K1987">
        <v>1984</v>
      </c>
      <c r="L1987">
        <f t="shared" si="31"/>
        <v>0</v>
      </c>
    </row>
    <row r="1988" spans="1:12" ht="16.5" x14ac:dyDescent="0.2">
      <c r="A1988" s="4" t="s">
        <v>104</v>
      </c>
      <c r="B1988">
        <v>2009</v>
      </c>
      <c r="C1988" s="14">
        <f>407.4*(2/3*10)</f>
        <v>2715.9999999999995</v>
      </c>
      <c r="D1988" s="14">
        <f>40.9*(2/3*10)</f>
        <v>272.66666666666663</v>
      </c>
      <c r="E1988" s="14">
        <f>135.3*(2/3*10)</f>
        <v>902</v>
      </c>
      <c r="F1988" s="14">
        <f>8*(2/3*10)</f>
        <v>53.333333333333329</v>
      </c>
      <c r="G1988" s="14">
        <f>86.8*(2/3*10)</f>
        <v>578.66666666666663</v>
      </c>
      <c r="H1988" s="14">
        <f>13.8*(2/3*10)</f>
        <v>92</v>
      </c>
      <c r="I1988" s="14">
        <f>35.8*(2/3*10)</f>
        <v>238.66666666666663</v>
      </c>
      <c r="K1988" s="15">
        <v>1985</v>
      </c>
      <c r="L1988">
        <f t="shared" si="31"/>
        <v>1</v>
      </c>
    </row>
    <row r="1989" spans="1:12" ht="16.5" x14ac:dyDescent="0.2">
      <c r="A1989" s="4" t="s">
        <v>104</v>
      </c>
      <c r="B1989">
        <v>2010</v>
      </c>
      <c r="C1989" s="14">
        <f>407.7*(2/3*10)</f>
        <v>2717.9999999999995</v>
      </c>
      <c r="D1989" s="14">
        <f>40.8*(2/3*10)</f>
        <v>271.99999999999994</v>
      </c>
      <c r="E1989" s="14">
        <f>135.2*(2/3*10)</f>
        <v>901.33333333333314</v>
      </c>
      <c r="F1989" s="14">
        <f>8*(2/3*10)</f>
        <v>53.333333333333329</v>
      </c>
      <c r="G1989" s="14">
        <f>87.2*(2/3*10)</f>
        <v>581.33333333333326</v>
      </c>
      <c r="H1989" s="14">
        <f>14.6*(2/3*10)</f>
        <v>97.333333333333329</v>
      </c>
      <c r="I1989" s="14">
        <f>35.7*(2/3*10)</f>
        <v>238</v>
      </c>
      <c r="K1989">
        <v>1986</v>
      </c>
      <c r="L1989">
        <f t="shared" si="31"/>
        <v>2</v>
      </c>
    </row>
    <row r="1990" spans="1:12" ht="16.5" x14ac:dyDescent="0.2">
      <c r="A1990" s="4" t="s">
        <v>104</v>
      </c>
      <c r="B1990">
        <v>2011</v>
      </c>
      <c r="C1990" s="14">
        <f>407.8*(2/3*10)</f>
        <v>2718.6666666666665</v>
      </c>
      <c r="D1990" s="14">
        <f>40.6*(2/3*10)</f>
        <v>270.66666666666663</v>
      </c>
      <c r="E1990" s="14">
        <f>135*(2/3*10)</f>
        <v>899.99999999999989</v>
      </c>
      <c r="F1990" s="14">
        <f>8*(2/3*10)</f>
        <v>53.333333333333329</v>
      </c>
      <c r="G1990" s="14">
        <f>88.1*(2/3*10)</f>
        <v>587.33333333333326</v>
      </c>
      <c r="H1990" s="14">
        <f>15.1*(2/3*10)</f>
        <v>100.66666666666666</v>
      </c>
      <c r="I1990" s="14">
        <f>35.7*(2/3*10)</f>
        <v>238</v>
      </c>
      <c r="K1990">
        <v>1987</v>
      </c>
      <c r="L1990">
        <f t="shared" si="31"/>
        <v>3</v>
      </c>
    </row>
    <row r="1991" spans="1:12" ht="16.5" x14ac:dyDescent="0.2">
      <c r="A1991" s="4" t="s">
        <v>104</v>
      </c>
      <c r="B1991">
        <v>2012</v>
      </c>
      <c r="C1991" s="14">
        <f>408.9*(2/3*10)</f>
        <v>2725.9999999999995</v>
      </c>
      <c r="D1991" s="14">
        <f>40.5*(2/3*10)</f>
        <v>270</v>
      </c>
      <c r="E1991" s="14">
        <f>134.8*(2/3*10)</f>
        <v>898.66666666666663</v>
      </c>
      <c r="F1991" s="14">
        <f>8*(2/3*10)</f>
        <v>53.333333333333329</v>
      </c>
      <c r="G1991" s="14">
        <f>89.4*(2/3*10)</f>
        <v>596</v>
      </c>
      <c r="H1991" s="14">
        <f>15.3*(2/3*10)</f>
        <v>102</v>
      </c>
      <c r="I1991" s="14">
        <f>35.6*(2/3*10)</f>
        <v>237.33333333333331</v>
      </c>
      <c r="K1991" s="15">
        <v>1988</v>
      </c>
      <c r="L1991">
        <f t="shared" si="31"/>
        <v>4</v>
      </c>
    </row>
    <row r="1992" spans="1:12" ht="16.5" x14ac:dyDescent="0.2">
      <c r="A1992" s="4" t="s">
        <v>104</v>
      </c>
      <c r="B1992">
        <v>2013</v>
      </c>
      <c r="C1992" s="14">
        <f>408.2*(2/3*10)</f>
        <v>2721.333333333333</v>
      </c>
      <c r="D1992" s="14">
        <f>40.4*(2/3*10)</f>
        <v>269.33333333333331</v>
      </c>
      <c r="E1992" s="14">
        <f>134.6*(2/3*10)</f>
        <v>897.33333333333326</v>
      </c>
      <c r="F1992" s="14">
        <f>7.7*(2/3*10)</f>
        <v>51.333333333333329</v>
      </c>
      <c r="G1992" s="14">
        <f>90.9*(2/3*10)</f>
        <v>606</v>
      </c>
      <c r="H1992" s="14">
        <f>15.7*(2/3*10)</f>
        <v>104.66666666666666</v>
      </c>
      <c r="I1992" s="14">
        <f>35.6*(2/3*10)</f>
        <v>237.33333333333331</v>
      </c>
      <c r="K1992">
        <v>1989</v>
      </c>
      <c r="L1992">
        <f t="shared" si="31"/>
        <v>5</v>
      </c>
    </row>
    <row r="1993" spans="1:12" ht="16.5" x14ac:dyDescent="0.2">
      <c r="A1993" s="4" t="s">
        <v>104</v>
      </c>
      <c r="B1993">
        <v>2014</v>
      </c>
      <c r="C1993" s="14">
        <f>409.5*(2/3*10)</f>
        <v>2729.9999999999995</v>
      </c>
      <c r="D1993" s="14">
        <f>40.3*(2/3*10)</f>
        <v>268.66666666666663</v>
      </c>
      <c r="E1993" s="14">
        <f>134.5*(2/3*10)</f>
        <v>896.66666666666663</v>
      </c>
      <c r="F1993" s="14">
        <f>7.5*(2/3*10)</f>
        <v>49.999999999999993</v>
      </c>
      <c r="G1993" s="14">
        <f>91.8*(2/3*10)</f>
        <v>611.99999999999989</v>
      </c>
      <c r="H1993" s="14">
        <f>16*(2/3*10)</f>
        <v>106.66666666666666</v>
      </c>
      <c r="I1993" s="14">
        <f>35.5*(2/3*10)</f>
        <v>236.66666666666666</v>
      </c>
      <c r="K1993" s="15">
        <v>1990</v>
      </c>
      <c r="L1993">
        <f t="shared" si="31"/>
        <v>6</v>
      </c>
    </row>
    <row r="1994" spans="1:12" ht="16.5" x14ac:dyDescent="0.2">
      <c r="A1994" s="4" t="s">
        <v>104</v>
      </c>
      <c r="B1994">
        <v>2015</v>
      </c>
      <c r="C1994" s="14">
        <f>411.4*(2/3*10)</f>
        <v>2742.6666666666661</v>
      </c>
      <c r="D1994" s="14">
        <f>40.3*(2/3*10)</f>
        <v>268.66666666666663</v>
      </c>
      <c r="E1994" s="14">
        <f>134.5*(2/3*10)</f>
        <v>896.66666666666663</v>
      </c>
      <c r="F1994" s="14">
        <f>7.3*(2/3*10)</f>
        <v>48.666666666666664</v>
      </c>
      <c r="G1994" s="14">
        <f>92.7*(2/3*10)</f>
        <v>618</v>
      </c>
      <c r="H1994" s="14">
        <f>16.1*(2/3*10)</f>
        <v>107.33333333333333</v>
      </c>
      <c r="I1994" s="14">
        <f>35.5*(2/3*10)</f>
        <v>236.66666666666666</v>
      </c>
      <c r="K1994">
        <v>1991</v>
      </c>
      <c r="L1994">
        <f t="shared" si="31"/>
        <v>7</v>
      </c>
    </row>
    <row r="1995" spans="1:12" ht="16.5" x14ac:dyDescent="0.2">
      <c r="A1995" s="4" t="s">
        <v>104</v>
      </c>
      <c r="B1995">
        <v>2016</v>
      </c>
      <c r="C1995" s="14">
        <f>411.4*(2/3*10)</f>
        <v>2742.6666666666661</v>
      </c>
      <c r="D1995" s="14">
        <f>40.3*(2/3*10)</f>
        <v>268.66666666666663</v>
      </c>
      <c r="E1995" s="14">
        <f>134.4*(2/3*10)</f>
        <v>896</v>
      </c>
      <c r="F1995" s="14">
        <f>7.3*(2/3*10)</f>
        <v>48.666666666666664</v>
      </c>
      <c r="G1995" s="14">
        <f>93.1*(2/3*10)</f>
        <v>620.66666666666663</v>
      </c>
      <c r="H1995" s="14">
        <f>16.2*(2/3*10)</f>
        <v>107.99999999999999</v>
      </c>
      <c r="I1995" s="14">
        <f>35.5*(2/3*10)</f>
        <v>236.66666666666666</v>
      </c>
      <c r="K1995">
        <v>1992</v>
      </c>
      <c r="L1995">
        <f t="shared" si="31"/>
        <v>0</v>
      </c>
    </row>
    <row r="1996" spans="1:12" ht="16.5" x14ac:dyDescent="0.2">
      <c r="A1996" s="4" t="s">
        <v>103</v>
      </c>
      <c r="B1996">
        <v>2009</v>
      </c>
      <c r="C1996" s="14">
        <f>403.2*(2/3*10)</f>
        <v>2687.9999999999995</v>
      </c>
      <c r="D1996" s="14">
        <f>65.9*(2/3*10)</f>
        <v>439.33333333333331</v>
      </c>
      <c r="E1996" s="14">
        <f>1160.3*(2/3*10)</f>
        <v>7735.3333333333321</v>
      </c>
      <c r="F1996" s="14">
        <f>34.6*(2/3*10)</f>
        <v>230.66666666666666</v>
      </c>
      <c r="G1996" s="14">
        <f>82.9*(2/3*10)</f>
        <v>552.66666666666652</v>
      </c>
      <c r="H1996" s="14">
        <f>19.3*(2/3*10)</f>
        <v>128.66666666666666</v>
      </c>
      <c r="I1996" s="14">
        <f>63.1*(2/3*10)</f>
        <v>420.66666666666663</v>
      </c>
      <c r="K1996" s="15">
        <v>1993</v>
      </c>
      <c r="L1996">
        <f t="shared" si="31"/>
        <v>1</v>
      </c>
    </row>
    <row r="1997" spans="1:12" ht="16.5" x14ac:dyDescent="0.2">
      <c r="A1997" s="4" t="s">
        <v>103</v>
      </c>
      <c r="B1997">
        <v>2010</v>
      </c>
      <c r="C1997" s="14">
        <f>401.3*(2/3*10)</f>
        <v>2675.333333333333</v>
      </c>
      <c r="D1997" s="14">
        <f>65.7*(2/3*10)</f>
        <v>438</v>
      </c>
      <c r="E1997" s="14">
        <f>1159.6*(2/3*10)</f>
        <v>7730.6666666666652</v>
      </c>
      <c r="F1997" s="14">
        <f>34.5*(2/3*10)</f>
        <v>229.99999999999997</v>
      </c>
      <c r="G1997" s="14">
        <f>84.5*(2/3*10)</f>
        <v>563.33333333333326</v>
      </c>
      <c r="H1997" s="14">
        <f>20.5*(2/3*10)</f>
        <v>136.66666666666666</v>
      </c>
      <c r="I1997" s="14">
        <f>63.3*(2/3*10)</f>
        <v>421.99999999999994</v>
      </c>
      <c r="K1997">
        <v>1994</v>
      </c>
      <c r="L1997">
        <f t="shared" si="31"/>
        <v>2</v>
      </c>
    </row>
    <row r="1998" spans="1:12" ht="16.5" x14ac:dyDescent="0.2">
      <c r="A1998" s="4" t="s">
        <v>103</v>
      </c>
      <c r="B1998">
        <v>2011</v>
      </c>
      <c r="C1998" s="14">
        <f>409.8*(2/3*10)</f>
        <v>2732</v>
      </c>
      <c r="D1998" s="14">
        <f>65.7*(2/3*10)</f>
        <v>438</v>
      </c>
      <c r="E1998" s="14">
        <f>1152.7*(2/3*10)</f>
        <v>7684.6666666666661</v>
      </c>
      <c r="F1998" s="14">
        <f>34.5*(2/3*10)</f>
        <v>229.99999999999997</v>
      </c>
      <c r="G1998" s="14">
        <f>85.4*(2/3*10)</f>
        <v>569.33333333333337</v>
      </c>
      <c r="H1998" s="14">
        <f>20.8*(2/3*10)</f>
        <v>138.66666666666666</v>
      </c>
      <c r="I1998" s="14">
        <f>63.7*(2/3*10)</f>
        <v>424.66666666666663</v>
      </c>
      <c r="K1998" s="15">
        <v>1995</v>
      </c>
      <c r="L1998">
        <f t="shared" si="31"/>
        <v>3</v>
      </c>
    </row>
    <row r="1999" spans="1:12" ht="16.5" x14ac:dyDescent="0.2">
      <c r="A1999" s="4" t="s">
        <v>103</v>
      </c>
      <c r="B1999">
        <v>2012</v>
      </c>
      <c r="C1999" s="14">
        <f>409.9*(2/3*10)</f>
        <v>2732.6666666666661</v>
      </c>
      <c r="D1999" s="14">
        <f>65.6*(2/3*10)</f>
        <v>437.33333333333326</v>
      </c>
      <c r="E1999" s="14">
        <f>1152.3*(2/3*10)</f>
        <v>7681.9999999999991</v>
      </c>
      <c r="F1999" s="14">
        <f>34.5*(2/3*10)</f>
        <v>229.99999999999997</v>
      </c>
      <c r="G1999" s="14">
        <f>86.9*(2/3*10)</f>
        <v>579.33333333333337</v>
      </c>
      <c r="H1999" s="14">
        <f>21*(2/3*10)</f>
        <v>140</v>
      </c>
      <c r="I1999" s="14">
        <f>63.7*(2/3*10)</f>
        <v>424.66666666666663</v>
      </c>
      <c r="K1999">
        <v>1996</v>
      </c>
      <c r="L1999">
        <f t="shared" si="31"/>
        <v>4</v>
      </c>
    </row>
    <row r="2000" spans="1:12" ht="16.5" x14ac:dyDescent="0.2">
      <c r="A2000" s="4" t="s">
        <v>103</v>
      </c>
      <c r="B2000">
        <v>2013</v>
      </c>
      <c r="C2000" s="14">
        <f>411*(2/3*10)</f>
        <v>2739.9999999999995</v>
      </c>
      <c r="D2000" s="14">
        <f>65.3*(2/3*10)</f>
        <v>435.33333333333326</v>
      </c>
      <c r="E2000" s="14">
        <f>1152*(2/3*10)</f>
        <v>7679.9999999999991</v>
      </c>
      <c r="F2000" s="14">
        <f>34.5*(2/3*10)</f>
        <v>229.99999999999997</v>
      </c>
      <c r="G2000" s="14">
        <f>87.8*(2/3*10)</f>
        <v>585.33333333333326</v>
      </c>
      <c r="H2000" s="14">
        <f>21.1*(2/3*10)</f>
        <v>140.66666666666666</v>
      </c>
      <c r="I2000" s="14">
        <f>63.8*(2/3*10)</f>
        <v>425.33333333333326</v>
      </c>
      <c r="K2000">
        <v>1997</v>
      </c>
      <c r="L2000">
        <f t="shared" si="31"/>
        <v>5</v>
      </c>
    </row>
    <row r="2001" spans="1:12" ht="16.5" x14ac:dyDescent="0.2">
      <c r="A2001" s="4" t="s">
        <v>103</v>
      </c>
      <c r="B2001">
        <v>2014</v>
      </c>
      <c r="C2001" s="14">
        <f>409.5*(2/3*10)</f>
        <v>2729.9999999999995</v>
      </c>
      <c r="D2001" s="14">
        <f>65.5*(2/3*10)</f>
        <v>436.66666666666663</v>
      </c>
      <c r="E2001" s="14">
        <f>1151.5*(2/3*10)</f>
        <v>7676.6666666666661</v>
      </c>
      <c r="F2001" s="14">
        <f>34.5*(2/3*10)</f>
        <v>229.99999999999997</v>
      </c>
      <c r="G2001" s="14">
        <f>89*(2/3*10)</f>
        <v>593.33333333333326</v>
      </c>
      <c r="H2001" s="14">
        <f>21.6*(2/3*10)</f>
        <v>144</v>
      </c>
      <c r="I2001" s="14">
        <f>64.3*(2/3*10)</f>
        <v>428.66666666666663</v>
      </c>
      <c r="K2001" s="15">
        <v>1998</v>
      </c>
      <c r="L2001">
        <f t="shared" si="31"/>
        <v>6</v>
      </c>
    </row>
    <row r="2002" spans="1:12" ht="16.5" x14ac:dyDescent="0.2">
      <c r="A2002" s="4" t="s">
        <v>103</v>
      </c>
      <c r="B2002">
        <v>2015</v>
      </c>
      <c r="C2002" s="14">
        <f>409*(2/3*10)</f>
        <v>2726.6666666666665</v>
      </c>
      <c r="D2002" s="14">
        <f>65.3*(2/3*10)</f>
        <v>435.33333333333326</v>
      </c>
      <c r="E2002" s="14">
        <f>1151.2*(2/3*10)</f>
        <v>7674.6666666666661</v>
      </c>
      <c r="F2002" s="14">
        <f>34.3*(2/3*10)</f>
        <v>228.66666666666663</v>
      </c>
      <c r="G2002" s="14">
        <f>90.3*(2/3*10)</f>
        <v>601.99999999999989</v>
      </c>
      <c r="H2002" s="14">
        <f>21.8*(2/3*10)</f>
        <v>145.33333333333331</v>
      </c>
      <c r="I2002" s="14">
        <f>64.2*(2/3*10)</f>
        <v>428</v>
      </c>
      <c r="K2002">
        <v>1999</v>
      </c>
      <c r="L2002">
        <f t="shared" si="31"/>
        <v>7</v>
      </c>
    </row>
    <row r="2003" spans="1:12" ht="16.5" x14ac:dyDescent="0.2">
      <c r="A2003" s="4" t="s">
        <v>103</v>
      </c>
      <c r="B2003">
        <v>2016</v>
      </c>
      <c r="C2003" s="14">
        <f>409*(2/3*10)</f>
        <v>2726.6666666666665</v>
      </c>
      <c r="D2003" s="14">
        <f>65.2*(2/3*10)</f>
        <v>434.66666666666663</v>
      </c>
      <c r="E2003" s="14">
        <f>1150.8*(2/3*10)</f>
        <v>7671.9999999999991</v>
      </c>
      <c r="F2003" s="14">
        <f>34*(2/3*10)</f>
        <v>226.66666666666666</v>
      </c>
      <c r="G2003" s="14">
        <f>91.1*(2/3*10)</f>
        <v>607.33333333333326</v>
      </c>
      <c r="H2003" s="14">
        <f>22.3*(2/3*10)</f>
        <v>148.66666666666666</v>
      </c>
      <c r="I2003" s="14">
        <f>64.4*(2/3*10)</f>
        <v>429.33333333333331</v>
      </c>
      <c r="K2003" s="15">
        <v>2000</v>
      </c>
      <c r="L2003">
        <f t="shared" si="31"/>
        <v>0</v>
      </c>
    </row>
    <row r="2004" spans="1:12" ht="16.5" x14ac:dyDescent="0.2">
      <c r="A2004" s="4" t="s">
        <v>102</v>
      </c>
      <c r="B2004">
        <v>2009</v>
      </c>
      <c r="C2004" s="14">
        <f>801.4*(2/3*10)</f>
        <v>5342.6666666666661</v>
      </c>
      <c r="D2004" s="14">
        <f>84.5*(2/3*10)</f>
        <v>563.33333333333326</v>
      </c>
      <c r="E2004" s="14">
        <f>562.6*(2/3*10)</f>
        <v>3750.6666666666665</v>
      </c>
      <c r="F2004" s="14">
        <f>9.2*(2/3*10)</f>
        <v>61.333333333333321</v>
      </c>
      <c r="G2004" s="14">
        <f>144*(2/3*10)</f>
        <v>959.99999999999989</v>
      </c>
      <c r="H2004" s="14">
        <f>28.5*(2/3*10)</f>
        <v>189.99999999999997</v>
      </c>
      <c r="I2004" s="14">
        <f>75.6*(2/3*10)</f>
        <v>503.99999999999994</v>
      </c>
      <c r="K2004">
        <v>2001</v>
      </c>
      <c r="L2004">
        <f t="shared" si="31"/>
        <v>1</v>
      </c>
    </row>
    <row r="2005" spans="1:12" ht="16.5" x14ac:dyDescent="0.2">
      <c r="A2005" s="4" t="s">
        <v>102</v>
      </c>
      <c r="B2005">
        <v>2010</v>
      </c>
      <c r="C2005" s="14">
        <f>799.4*(2/3*10)</f>
        <v>5329.333333333333</v>
      </c>
      <c r="D2005" s="14">
        <f>84.4*(2/3*10)</f>
        <v>562.66666666666663</v>
      </c>
      <c r="E2005" s="14">
        <f>561.8*(2/3*10)</f>
        <v>3745.3333333333326</v>
      </c>
      <c r="F2005" s="14">
        <f>9.2*(2/3*10)</f>
        <v>61.333333333333321</v>
      </c>
      <c r="G2005" s="14">
        <f>145.3*(2/3*10)</f>
        <v>968.66666666666663</v>
      </c>
      <c r="H2005" s="14">
        <f>30.6*(2/3*10)</f>
        <v>204</v>
      </c>
      <c r="I2005" s="14">
        <f>75.5*(2/3*10)</f>
        <v>503.33333333333331</v>
      </c>
      <c r="K2005">
        <v>2002</v>
      </c>
      <c r="L2005">
        <f t="shared" si="31"/>
        <v>2</v>
      </c>
    </row>
    <row r="2006" spans="1:12" ht="16.5" x14ac:dyDescent="0.2">
      <c r="A2006" s="4" t="s">
        <v>102</v>
      </c>
      <c r="B2006">
        <v>2011</v>
      </c>
      <c r="C2006" s="14">
        <f>801*(2/3*10)</f>
        <v>5339.9999999999991</v>
      </c>
      <c r="D2006" s="14">
        <f>82.7*(2/3*10)</f>
        <v>551.33333333333326</v>
      </c>
      <c r="E2006" s="14">
        <f>561.1*(2/3*10)</f>
        <v>3740.6666666666665</v>
      </c>
      <c r="F2006" s="14">
        <f>9.2*(2/3*10)</f>
        <v>61.333333333333321</v>
      </c>
      <c r="G2006" s="14">
        <f>146.6*(2/3*10)</f>
        <v>977.33333333333326</v>
      </c>
      <c r="H2006" s="14">
        <f>31.7*(2/3*10)</f>
        <v>211.33333333333331</v>
      </c>
      <c r="I2006" s="14">
        <f>75.4*(2/3*10)</f>
        <v>502.66666666666669</v>
      </c>
      <c r="K2006" s="15">
        <v>2003</v>
      </c>
      <c r="L2006">
        <f t="shared" si="31"/>
        <v>3</v>
      </c>
    </row>
    <row r="2007" spans="1:12" ht="16.5" x14ac:dyDescent="0.2">
      <c r="A2007" s="4" t="s">
        <v>102</v>
      </c>
      <c r="B2007">
        <v>2012</v>
      </c>
      <c r="C2007" s="14">
        <f>800.1*(2/3*10)</f>
        <v>5334</v>
      </c>
      <c r="D2007" s="14">
        <f>82.5*(2/3*10)</f>
        <v>550</v>
      </c>
      <c r="E2007" s="14">
        <f>560.8*(2/3*10)</f>
        <v>3738.6666666666661</v>
      </c>
      <c r="F2007" s="14">
        <f>9.2*(2/3*10)</f>
        <v>61.333333333333321</v>
      </c>
      <c r="G2007" s="14">
        <f>148.4*(2/3*10)</f>
        <v>989.33333333333326</v>
      </c>
      <c r="H2007" s="14">
        <f>31.9*(2/3*10)</f>
        <v>212.66666666666663</v>
      </c>
      <c r="I2007" s="14">
        <f>75.3*(2/3*10)</f>
        <v>501.99999999999994</v>
      </c>
      <c r="K2007">
        <v>2004</v>
      </c>
      <c r="L2007">
        <f t="shared" si="31"/>
        <v>4</v>
      </c>
    </row>
    <row r="2008" spans="1:12" ht="16.5" x14ac:dyDescent="0.2">
      <c r="A2008" s="4" t="s">
        <v>102</v>
      </c>
      <c r="B2008">
        <v>2013</v>
      </c>
      <c r="C2008" s="14">
        <f>799.3*(2/3*10)</f>
        <v>5328.6666666666661</v>
      </c>
      <c r="D2008" s="14">
        <f>82.4*(2/3*10)</f>
        <v>549.33333333333337</v>
      </c>
      <c r="E2008" s="14">
        <f>560.4*(2/3*10)</f>
        <v>3735.9999999999995</v>
      </c>
      <c r="F2008" s="14">
        <f>9.2*(2/3*10)</f>
        <v>61.333333333333321</v>
      </c>
      <c r="G2008" s="14">
        <f>150.4*(2/3*10)</f>
        <v>1002.6666666666666</v>
      </c>
      <c r="H2008" s="14">
        <f>32.6*(2/3*10)</f>
        <v>217.33333333333331</v>
      </c>
      <c r="I2008" s="14">
        <f>76.1*(2/3*10)</f>
        <v>507.33333333333326</v>
      </c>
      <c r="K2008" s="15">
        <v>2005</v>
      </c>
      <c r="L2008">
        <f t="shared" si="31"/>
        <v>5</v>
      </c>
    </row>
    <row r="2009" spans="1:12" ht="16.5" x14ac:dyDescent="0.2">
      <c r="A2009" s="4" t="s">
        <v>102</v>
      </c>
      <c r="B2009">
        <v>2014</v>
      </c>
      <c r="C2009" s="14">
        <f>801.4*(2/3*10)</f>
        <v>5342.6666666666661</v>
      </c>
      <c r="D2009" s="14">
        <f>82.2*(2/3*10)</f>
        <v>548</v>
      </c>
      <c r="E2009" s="14">
        <f>560.1*(2/3*10)</f>
        <v>3734</v>
      </c>
      <c r="F2009" s="14">
        <f>9.2*(2/3*10)</f>
        <v>61.333333333333321</v>
      </c>
      <c r="G2009" s="14">
        <f>152*(2/3*10)</f>
        <v>1013.3333333333333</v>
      </c>
      <c r="H2009" s="14">
        <f>32.8*(2/3*10)</f>
        <v>218.66666666666663</v>
      </c>
      <c r="I2009" s="14">
        <f>76*(2/3*10)</f>
        <v>506.66666666666663</v>
      </c>
      <c r="K2009">
        <v>2006</v>
      </c>
      <c r="L2009">
        <f t="shared" si="31"/>
        <v>6</v>
      </c>
    </row>
    <row r="2010" spans="1:12" ht="16.5" x14ac:dyDescent="0.2">
      <c r="A2010" s="4" t="s">
        <v>102</v>
      </c>
      <c r="B2010">
        <v>2015</v>
      </c>
      <c r="C2010" s="14">
        <f>801.9*(2/3*10)</f>
        <v>5345.9999999999991</v>
      </c>
      <c r="D2010" s="14">
        <f>82.1*(2/3*10)</f>
        <v>547.33333333333326</v>
      </c>
      <c r="E2010" s="14">
        <f>559.8*(2/3*10)</f>
        <v>3731.9999999999995</v>
      </c>
      <c r="F2010" s="14">
        <f>9.1*(2/3*10)</f>
        <v>60.666666666666657</v>
      </c>
      <c r="G2010" s="14">
        <f>153.5*(2/3*10)</f>
        <v>1023.3333333333333</v>
      </c>
      <c r="H2010" s="14">
        <f>33*(2/3*10)</f>
        <v>219.99999999999997</v>
      </c>
      <c r="I2010" s="14">
        <f>76*(2/3*10)</f>
        <v>506.66666666666663</v>
      </c>
      <c r="K2010">
        <v>2007</v>
      </c>
      <c r="L2010">
        <f t="shared" si="31"/>
        <v>7</v>
      </c>
    </row>
    <row r="2011" spans="1:12" ht="16.5" x14ac:dyDescent="0.2">
      <c r="A2011" s="4" t="s">
        <v>102</v>
      </c>
      <c r="B2011">
        <v>2016</v>
      </c>
      <c r="C2011" s="14">
        <f>801.9*(2/3*10)</f>
        <v>5345.9999999999991</v>
      </c>
      <c r="D2011" s="14">
        <f>81.9*(2/3*10)</f>
        <v>546</v>
      </c>
      <c r="E2011" s="14">
        <f>559.3*(2/3*10)</f>
        <v>3728.6666666666661</v>
      </c>
      <c r="F2011" s="14">
        <f>9.1*(2/3*10)</f>
        <v>60.666666666666657</v>
      </c>
      <c r="G2011" s="14">
        <f>156*(2/3*10)</f>
        <v>1039.9999999999998</v>
      </c>
      <c r="H2011" s="14">
        <f>33.3*(2/3*10)</f>
        <v>221.99999999999997</v>
      </c>
      <c r="I2011" s="14">
        <f>75.1*(2/3*10)</f>
        <v>500.66666666666657</v>
      </c>
      <c r="K2011" s="15">
        <v>2008</v>
      </c>
      <c r="L2011">
        <f t="shared" si="31"/>
        <v>0</v>
      </c>
    </row>
    <row r="2012" spans="1:12" ht="16.5" x14ac:dyDescent="0.2">
      <c r="A2012" s="4" t="s">
        <v>101</v>
      </c>
      <c r="B2012">
        <v>2009</v>
      </c>
      <c r="C2012" s="14">
        <f>360.5*(2/3*10)</f>
        <v>2403.333333333333</v>
      </c>
      <c r="D2012" s="14">
        <f>116.1*(2/3*10)</f>
        <v>773.99999999999989</v>
      </c>
      <c r="E2012" s="14">
        <f>373.8*(2/3*10)</f>
        <v>2492</v>
      </c>
      <c r="F2012" s="14">
        <f>4.1*(2/3*10)</f>
        <v>27.333333333333329</v>
      </c>
      <c r="G2012" s="14">
        <f>86.3*(2/3*10)</f>
        <v>575.33333333333326</v>
      </c>
      <c r="H2012" s="14">
        <f>16.7*(2/3*10)</f>
        <v>111.33333333333331</v>
      </c>
      <c r="I2012" s="14">
        <f>58.8*(2/3*10)</f>
        <v>391.99999999999994</v>
      </c>
      <c r="K2012">
        <v>2009</v>
      </c>
      <c r="L2012">
        <f t="shared" si="31"/>
        <v>1</v>
      </c>
    </row>
    <row r="2013" spans="1:12" ht="16.5" x14ac:dyDescent="0.2">
      <c r="A2013" s="4" t="s">
        <v>101</v>
      </c>
      <c r="B2013">
        <v>2010</v>
      </c>
      <c r="C2013" s="14">
        <f>363.1*(2/3*10)</f>
        <v>2420.6666666666665</v>
      </c>
      <c r="D2013" s="14">
        <f>111.8*(2/3*10)</f>
        <v>745.33333333333326</v>
      </c>
      <c r="E2013" s="14">
        <f>373.5*(2/3*10)</f>
        <v>2490</v>
      </c>
      <c r="F2013" s="14">
        <f>4.1*(2/3*10)</f>
        <v>27.333333333333329</v>
      </c>
      <c r="G2013" s="14">
        <f>89.3*(2/3*10)</f>
        <v>595.33333333333337</v>
      </c>
      <c r="H2013" s="14">
        <f>18*(2/3*10)</f>
        <v>119.99999999999999</v>
      </c>
      <c r="I2013" s="14">
        <f>56.9*(2/3*10)</f>
        <v>379.33333333333331</v>
      </c>
      <c r="K2013" s="15">
        <v>2010</v>
      </c>
      <c r="L2013">
        <f t="shared" si="31"/>
        <v>2</v>
      </c>
    </row>
    <row r="2014" spans="1:12" ht="16.5" x14ac:dyDescent="0.2">
      <c r="A2014" s="4" t="s">
        <v>101</v>
      </c>
      <c r="B2014">
        <v>2011</v>
      </c>
      <c r="C2014" s="14">
        <f>362.5*(2/3*10)</f>
        <v>2416.6666666666665</v>
      </c>
      <c r="D2014" s="14">
        <f>113.8*(2/3*10)</f>
        <v>758.66666666666663</v>
      </c>
      <c r="E2014" s="14">
        <f>371.3*(2/3*10)</f>
        <v>2475.333333333333</v>
      </c>
      <c r="F2014" s="14">
        <f>4*(2/3*10)</f>
        <v>26.666666666666664</v>
      </c>
      <c r="G2014" s="14">
        <f>90.4*(2/3*10)</f>
        <v>602.66666666666652</v>
      </c>
      <c r="H2014" s="14">
        <f>18.3*(2/3*10)</f>
        <v>122</v>
      </c>
      <c r="I2014" s="14">
        <f>56.8*(2/3*10)</f>
        <v>378.66666666666663</v>
      </c>
      <c r="K2014">
        <v>2011</v>
      </c>
      <c r="L2014">
        <f t="shared" si="31"/>
        <v>3</v>
      </c>
    </row>
    <row r="2015" spans="1:12" ht="16.5" x14ac:dyDescent="0.2">
      <c r="A2015" s="4" t="s">
        <v>101</v>
      </c>
      <c r="B2015">
        <v>2012</v>
      </c>
      <c r="C2015" s="14">
        <f>361.8*(2/3*10)</f>
        <v>2412</v>
      </c>
      <c r="D2015" s="14">
        <f>112.8*(2/3*10)</f>
        <v>751.99999999999989</v>
      </c>
      <c r="E2015" s="14">
        <f>370.8*(2/3*10)</f>
        <v>2472</v>
      </c>
      <c r="F2015" s="14">
        <f>4*(2/3*10)</f>
        <v>26.666666666666664</v>
      </c>
      <c r="G2015" s="14">
        <f>92.1*(2/3*10)</f>
        <v>613.99999999999989</v>
      </c>
      <c r="H2015" s="14">
        <f>19.3*(2/3*10)</f>
        <v>128.66666666666666</v>
      </c>
      <c r="I2015" s="14">
        <f>56.7*(2/3*10)</f>
        <v>378</v>
      </c>
      <c r="K2015">
        <v>2012</v>
      </c>
      <c r="L2015">
        <f t="shared" si="31"/>
        <v>4</v>
      </c>
    </row>
    <row r="2016" spans="1:12" ht="16.5" x14ac:dyDescent="0.2">
      <c r="A2016" s="4" t="s">
        <v>101</v>
      </c>
      <c r="B2016">
        <v>2013</v>
      </c>
      <c r="C2016" s="14">
        <f>362.9*(2/3*10)</f>
        <v>2419.333333333333</v>
      </c>
      <c r="D2016" s="14">
        <f>110.5*(2/3*10)</f>
        <v>736.66666666666663</v>
      </c>
      <c r="E2016" s="14">
        <f>370.6*(2/3*10)</f>
        <v>2470.6666666666665</v>
      </c>
      <c r="F2016" s="14">
        <f>4*(2/3*10)</f>
        <v>26.666666666666664</v>
      </c>
      <c r="G2016" s="14">
        <f>93.8*(2/3*10)</f>
        <v>625.33333333333326</v>
      </c>
      <c r="H2016" s="14">
        <f>19.6*(2/3*10)</f>
        <v>130.66666666666666</v>
      </c>
      <c r="I2016" s="14">
        <f>56.6*(2/3*10)</f>
        <v>377.33333333333331</v>
      </c>
      <c r="K2016" s="15">
        <v>2013</v>
      </c>
      <c r="L2016">
        <f t="shared" si="31"/>
        <v>5</v>
      </c>
    </row>
    <row r="2017" spans="1:12" ht="16.5" x14ac:dyDescent="0.2">
      <c r="A2017" s="4" t="s">
        <v>101</v>
      </c>
      <c r="B2017">
        <v>2014</v>
      </c>
      <c r="C2017" s="14">
        <f>363.2*(2/3*10)</f>
        <v>2421.333333333333</v>
      </c>
      <c r="D2017" s="14">
        <f>110*(2/3*10)</f>
        <v>733.33333333333326</v>
      </c>
      <c r="E2017" s="14">
        <f>370.1*(2/3*10)</f>
        <v>2467.3333333333335</v>
      </c>
      <c r="F2017" s="14">
        <f>3.9*(2/3*10)</f>
        <v>25.999999999999996</v>
      </c>
      <c r="G2017" s="14">
        <f>95.8*(2/3*10)</f>
        <v>638.66666666666674</v>
      </c>
      <c r="H2017" s="14">
        <f>20.2*(2/3*10)</f>
        <v>134.66666666666666</v>
      </c>
      <c r="I2017" s="14">
        <f>56.4*(2/3*10)</f>
        <v>375.99999999999994</v>
      </c>
      <c r="K2017">
        <v>2014</v>
      </c>
      <c r="L2017">
        <f t="shared" si="31"/>
        <v>6</v>
      </c>
    </row>
    <row r="2018" spans="1:12" ht="16.5" x14ac:dyDescent="0.2">
      <c r="A2018" s="4" t="s">
        <v>101</v>
      </c>
      <c r="B2018">
        <v>2015</v>
      </c>
      <c r="C2018" s="14">
        <f>362.7*(2/3*10)</f>
        <v>2417.9999999999995</v>
      </c>
      <c r="D2018" s="14">
        <f>109.8*(2/3*10)</f>
        <v>731.99999999999989</v>
      </c>
      <c r="E2018" s="14">
        <f>369.7*(2/3*10)</f>
        <v>2464.6666666666665</v>
      </c>
      <c r="F2018" s="14">
        <f>3.9*(2/3*10)</f>
        <v>25.999999999999996</v>
      </c>
      <c r="G2018" s="14">
        <f>96.8*(2/3*10)</f>
        <v>645.33333333333326</v>
      </c>
      <c r="H2018" s="14">
        <f>20.9*(2/3*10)</f>
        <v>139.33333333333331</v>
      </c>
      <c r="I2018" s="14">
        <f>56.4*(2/3*10)</f>
        <v>375.99999999999994</v>
      </c>
      <c r="K2018" s="15">
        <v>2015</v>
      </c>
      <c r="L2018">
        <f t="shared" si="31"/>
        <v>7</v>
      </c>
    </row>
    <row r="2019" spans="1:12" ht="16.5" x14ac:dyDescent="0.2">
      <c r="A2019" s="4" t="s">
        <v>101</v>
      </c>
      <c r="B2019">
        <v>2016</v>
      </c>
      <c r="C2019" s="14">
        <f>362.7*(2/3*10)</f>
        <v>2417.9999999999995</v>
      </c>
      <c r="D2019" s="14">
        <f>109.4*(2/3*10)</f>
        <v>729.33333333333326</v>
      </c>
      <c r="E2019" s="14">
        <f>369.5*(2/3*10)</f>
        <v>2463.333333333333</v>
      </c>
      <c r="F2019" s="14">
        <f>3.9*(2/3*10)</f>
        <v>25.999999999999996</v>
      </c>
      <c r="G2019" s="14">
        <f>97.2*(2/3*10)</f>
        <v>647.99999999999989</v>
      </c>
      <c r="H2019" s="14">
        <f>21.5*(2/3*10)</f>
        <v>143.33333333333331</v>
      </c>
      <c r="I2019" s="14">
        <f>56.3*(2/3*10)</f>
        <v>375.33333333333326</v>
      </c>
      <c r="K2019">
        <v>2016</v>
      </c>
      <c r="L2019">
        <f t="shared" si="31"/>
        <v>0</v>
      </c>
    </row>
    <row r="2020" spans="1:12" ht="16.5" x14ac:dyDescent="0.2">
      <c r="A2020" s="4" t="s">
        <v>100</v>
      </c>
      <c r="B2020">
        <v>2009</v>
      </c>
      <c r="C2020" s="14">
        <f>730.8*(2/3*10)</f>
        <v>4871.9999999999991</v>
      </c>
      <c r="D2020" s="14">
        <f>65.5*(2/3*10)</f>
        <v>436.66666666666663</v>
      </c>
      <c r="E2020" s="14">
        <f>819.3*(2/3*10)</f>
        <v>5461.9999999999991</v>
      </c>
      <c r="F2020" s="14">
        <f>14.9*(2/3*10)</f>
        <v>99.333333333333329</v>
      </c>
      <c r="G2020" s="14">
        <f>114.1*(2/3*10)</f>
        <v>760.66666666666663</v>
      </c>
      <c r="H2020" s="14">
        <f>23.9*(2/3*10)</f>
        <v>159.33333333333331</v>
      </c>
      <c r="I2020" s="14">
        <f>60.8*(2/3*10)</f>
        <v>405.33333333333326</v>
      </c>
      <c r="K2020">
        <v>2017</v>
      </c>
      <c r="L2020">
        <f t="shared" si="31"/>
        <v>1</v>
      </c>
    </row>
    <row r="2021" spans="1:12" ht="16.5" x14ac:dyDescent="0.2">
      <c r="A2021" s="4" t="s">
        <v>100</v>
      </c>
      <c r="B2021">
        <v>2010</v>
      </c>
      <c r="C2021" s="14">
        <f>731*(2/3*10)</f>
        <v>4873.333333333333</v>
      </c>
      <c r="D2021" s="14">
        <f>65.4*(2/3*10)</f>
        <v>436</v>
      </c>
      <c r="E2021" s="14">
        <f>818.9*(2/3*10)</f>
        <v>5459.333333333333</v>
      </c>
      <c r="F2021" s="14">
        <f>14.9*(2/3*10)</f>
        <v>99.333333333333329</v>
      </c>
      <c r="G2021" s="14">
        <f>114.7*(2/3*10)</f>
        <v>764.66666666666652</v>
      </c>
      <c r="H2021" s="14">
        <f>24.8*(2/3*10)</f>
        <v>165.33333333333331</v>
      </c>
      <c r="I2021" s="14">
        <f>60.7*(2/3*10)</f>
        <v>404.66666666666663</v>
      </c>
      <c r="K2021" s="15">
        <v>2018</v>
      </c>
      <c r="L2021">
        <f t="shared" si="31"/>
        <v>2</v>
      </c>
    </row>
    <row r="2022" spans="1:12" ht="16.5" x14ac:dyDescent="0.2">
      <c r="A2022" s="4" t="s">
        <v>100</v>
      </c>
      <c r="B2022">
        <v>2011</v>
      </c>
      <c r="C2022" s="14">
        <f>731.5*(2/3*10)</f>
        <v>4876.6666666666661</v>
      </c>
      <c r="D2022" s="14">
        <f>65.1*(2/3*10)</f>
        <v>433.99999999999994</v>
      </c>
      <c r="E2022" s="14">
        <f>818.7*(2/3*10)</f>
        <v>5458</v>
      </c>
      <c r="F2022" s="14">
        <f>14.9*(2/3*10)</f>
        <v>99.333333333333329</v>
      </c>
      <c r="G2022" s="14">
        <f>116.6*(2/3*10)</f>
        <v>777.33333333333326</v>
      </c>
      <c r="H2022" s="14">
        <f>24.8*(2/3*10)</f>
        <v>165.33333333333331</v>
      </c>
      <c r="I2022" s="14">
        <f>60.6*(2/3*10)</f>
        <v>404</v>
      </c>
      <c r="K2022">
        <v>2019</v>
      </c>
      <c r="L2022">
        <f t="shared" si="31"/>
        <v>3</v>
      </c>
    </row>
    <row r="2023" spans="1:12" ht="16.5" x14ac:dyDescent="0.2">
      <c r="A2023" s="4" t="s">
        <v>100</v>
      </c>
      <c r="B2023">
        <v>2012</v>
      </c>
      <c r="C2023" s="14">
        <f>732.3*(2/3*10)</f>
        <v>4881.9999999999991</v>
      </c>
      <c r="D2023" s="14">
        <f>65*(2/3*10)</f>
        <v>433.33333333333331</v>
      </c>
      <c r="E2023" s="14">
        <f>818.4*(2/3*10)</f>
        <v>5455.9999999999991</v>
      </c>
      <c r="F2023" s="14">
        <f>14.8*(2/3*10)</f>
        <v>98.666666666666657</v>
      </c>
      <c r="G2023" s="14">
        <f>118.2*(2/3*10)</f>
        <v>788</v>
      </c>
      <c r="H2023" s="14">
        <f>25*(2/3*10)</f>
        <v>166.66666666666666</v>
      </c>
      <c r="I2023" s="14">
        <f>60.6*(2/3*10)</f>
        <v>404</v>
      </c>
      <c r="K2023" s="15">
        <v>2020</v>
      </c>
      <c r="L2023">
        <f t="shared" si="31"/>
        <v>4</v>
      </c>
    </row>
    <row r="2024" spans="1:12" ht="16.5" x14ac:dyDescent="0.2">
      <c r="A2024" s="4" t="s">
        <v>100</v>
      </c>
      <c r="B2024">
        <v>2013</v>
      </c>
      <c r="C2024" s="14">
        <f>732.7*(2/3*10)</f>
        <v>4884.666666666667</v>
      </c>
      <c r="D2024" s="14">
        <f>64.8*(2/3*10)</f>
        <v>431.99999999999994</v>
      </c>
      <c r="E2024" s="14">
        <f>818.1*(2/3*10)</f>
        <v>5454</v>
      </c>
      <c r="F2024" s="14">
        <f>14.8*(2/3*10)</f>
        <v>98.666666666666657</v>
      </c>
      <c r="G2024" s="14">
        <f>119.4*(2/3*10)</f>
        <v>795.99999999999989</v>
      </c>
      <c r="H2024" s="14">
        <f>25.4*(2/3*10)</f>
        <v>169.33333333333331</v>
      </c>
      <c r="I2024" s="14">
        <f>60.5*(2/3*10)</f>
        <v>403.33333333333331</v>
      </c>
      <c r="K2024">
        <v>2021</v>
      </c>
      <c r="L2024">
        <f t="shared" si="31"/>
        <v>5</v>
      </c>
    </row>
    <row r="2025" spans="1:12" ht="16.5" x14ac:dyDescent="0.2">
      <c r="A2025" s="4" t="s">
        <v>100</v>
      </c>
      <c r="B2025">
        <v>2014</v>
      </c>
      <c r="C2025" s="14">
        <f>731.9*(2/3*10)</f>
        <v>4879.333333333333</v>
      </c>
      <c r="D2025" s="14">
        <f>64.6*(2/3*10)</f>
        <v>430.66666666666657</v>
      </c>
      <c r="E2025" s="14">
        <f>817.2*(2/3*10)</f>
        <v>5448</v>
      </c>
      <c r="F2025" s="14">
        <f>14.7*(2/3*10)</f>
        <v>97.999999999999986</v>
      </c>
      <c r="G2025" s="14">
        <f>122.3*(2/3*10)</f>
        <v>815.33333333333326</v>
      </c>
      <c r="H2025" s="14">
        <f>26.6*(2/3*10)</f>
        <v>177.33333333333331</v>
      </c>
      <c r="I2025" s="14">
        <f>60.4*(2/3*10)</f>
        <v>402.66666666666663</v>
      </c>
      <c r="K2025">
        <v>2022</v>
      </c>
      <c r="L2025">
        <f t="shared" si="31"/>
        <v>6</v>
      </c>
    </row>
    <row r="2026" spans="1:12" ht="16.5" x14ac:dyDescent="0.2">
      <c r="A2026" s="4" t="s">
        <v>100</v>
      </c>
      <c r="B2026">
        <v>2015</v>
      </c>
      <c r="C2026" s="14">
        <f>731.1*(2/3*10)</f>
        <v>4874</v>
      </c>
      <c r="D2026" s="14">
        <f>64.5*(2/3*10)</f>
        <v>429.99999999999994</v>
      </c>
      <c r="E2026" s="14">
        <f>816.9*(2/3*10)</f>
        <v>5445.9999999999991</v>
      </c>
      <c r="F2026" s="14">
        <f>14.7*(2/3*10)</f>
        <v>97.999999999999986</v>
      </c>
      <c r="G2026" s="14">
        <f>123.8*(2/3*10)</f>
        <v>825.33333333333337</v>
      </c>
      <c r="H2026" s="14">
        <f>26.9*(2/3*10)</f>
        <v>179.33333333333331</v>
      </c>
      <c r="I2026" s="14">
        <f>60.3*(2/3*10)</f>
        <v>401.99999999999994</v>
      </c>
      <c r="K2026" s="15">
        <v>2023</v>
      </c>
      <c r="L2026">
        <f t="shared" si="31"/>
        <v>7</v>
      </c>
    </row>
    <row r="2027" spans="1:12" ht="16.5" x14ac:dyDescent="0.2">
      <c r="A2027" s="4" t="s">
        <v>100</v>
      </c>
      <c r="B2027">
        <v>2016</v>
      </c>
      <c r="C2027" s="14">
        <f>731.6*(2/3*10)</f>
        <v>4877.333333333333</v>
      </c>
      <c r="D2027" s="14">
        <f>64.5*(2/3*10)</f>
        <v>429.99999999999994</v>
      </c>
      <c r="E2027" s="14">
        <f>816.6*(2/3*10)</f>
        <v>5444</v>
      </c>
      <c r="F2027" s="14">
        <f>14.4*(2/3*10)</f>
        <v>96</v>
      </c>
      <c r="G2027" s="14">
        <f>124.9*(2/3*10)</f>
        <v>832.66666666666652</v>
      </c>
      <c r="H2027" s="14">
        <f>27.3*(2/3*10)</f>
        <v>182</v>
      </c>
      <c r="I2027" s="14">
        <f>60.3*(2/3*10)</f>
        <v>401.99999999999994</v>
      </c>
      <c r="K2027">
        <v>2024</v>
      </c>
      <c r="L2027">
        <f t="shared" si="31"/>
        <v>0</v>
      </c>
    </row>
    <row r="2028" spans="1:12" ht="16.5" x14ac:dyDescent="0.2">
      <c r="A2028" s="4" t="s">
        <v>99</v>
      </c>
      <c r="B2028">
        <v>2009</v>
      </c>
      <c r="C2028" s="14">
        <f>463.3*(2/3*10)</f>
        <v>3088.6666666666665</v>
      </c>
      <c r="D2028" s="14">
        <f>26.1*(2/3*10)</f>
        <v>174</v>
      </c>
      <c r="E2028" s="14">
        <f>200.4*(2/3*10)</f>
        <v>1336</v>
      </c>
      <c r="F2028" s="14">
        <f>13.3*(2/3*10)</f>
        <v>88.666666666666657</v>
      </c>
      <c r="G2028" s="14">
        <f>98.1*(2/3*10)</f>
        <v>654</v>
      </c>
      <c r="H2028" s="14">
        <f>14.1*(2/3*10)</f>
        <v>93.999999999999986</v>
      </c>
      <c r="I2028" s="14">
        <f>42.5*(2/3*10)</f>
        <v>283.33333333333331</v>
      </c>
      <c r="K2028" s="15">
        <v>2025</v>
      </c>
      <c r="L2028">
        <f t="shared" si="31"/>
        <v>1</v>
      </c>
    </row>
    <row r="2029" spans="1:12" ht="16.5" x14ac:dyDescent="0.2">
      <c r="A2029" s="4" t="s">
        <v>99</v>
      </c>
      <c r="B2029">
        <v>2010</v>
      </c>
      <c r="C2029" s="14">
        <f>463.7*(2/3*10)</f>
        <v>3091.333333333333</v>
      </c>
      <c r="D2029" s="14">
        <f>26*(2/3*10)</f>
        <v>173.33333333333331</v>
      </c>
      <c r="E2029" s="14">
        <f>200.2*(2/3*10)</f>
        <v>1334.6666666666665</v>
      </c>
      <c r="F2029" s="14">
        <f>13.3*(2/3*10)</f>
        <v>88.666666666666657</v>
      </c>
      <c r="G2029" s="14">
        <f>99.1*(2/3*10)</f>
        <v>660.66666666666663</v>
      </c>
      <c r="H2029" s="14">
        <f>14.6*(2/3*10)</f>
        <v>97.333333333333329</v>
      </c>
      <c r="I2029" s="14">
        <f>42.5*(2/3*10)</f>
        <v>283.33333333333331</v>
      </c>
      <c r="K2029">
        <v>2026</v>
      </c>
      <c r="L2029">
        <f t="shared" si="31"/>
        <v>2</v>
      </c>
    </row>
    <row r="2030" spans="1:12" ht="16.5" x14ac:dyDescent="0.2">
      <c r="A2030" s="4" t="s">
        <v>99</v>
      </c>
      <c r="B2030">
        <v>2011</v>
      </c>
      <c r="C2030" s="14">
        <f>464.1*(2/3*10)</f>
        <v>3094</v>
      </c>
      <c r="D2030" s="14">
        <f>26*(2/3*10)</f>
        <v>173.33333333333331</v>
      </c>
      <c r="E2030" s="14">
        <f>200.1*(2/3*10)</f>
        <v>1333.9999999999998</v>
      </c>
      <c r="F2030" s="14">
        <f>13.3*(2/3*10)</f>
        <v>88.666666666666657</v>
      </c>
      <c r="G2030" s="14">
        <f>99.8*(2/3*10)</f>
        <v>665.33333333333326</v>
      </c>
      <c r="H2030" s="14">
        <f>14.7*(2/3*10)</f>
        <v>97.999999999999986</v>
      </c>
      <c r="I2030" s="14">
        <f>42.5*(2/3*10)</f>
        <v>283.33333333333331</v>
      </c>
      <c r="K2030">
        <v>2027</v>
      </c>
      <c r="L2030">
        <f t="shared" si="31"/>
        <v>3</v>
      </c>
    </row>
    <row r="2031" spans="1:12" ht="16.5" x14ac:dyDescent="0.2">
      <c r="A2031" s="4" t="s">
        <v>99</v>
      </c>
      <c r="B2031">
        <v>2012</v>
      </c>
      <c r="C2031" s="14">
        <f>463.6*(2/3*10)</f>
        <v>3090.6666666666665</v>
      </c>
      <c r="D2031" s="14">
        <f>26*(2/3*10)</f>
        <v>173.33333333333331</v>
      </c>
      <c r="E2031" s="14">
        <f>200*(2/3*10)</f>
        <v>1333.3333333333333</v>
      </c>
      <c r="F2031" s="14">
        <f>13.3*(2/3*10)</f>
        <v>88.666666666666657</v>
      </c>
      <c r="G2031" s="14">
        <f>101.4*(2/3*10)</f>
        <v>675.99999999999989</v>
      </c>
      <c r="H2031" s="14">
        <f>14.8*(2/3*10)</f>
        <v>98.666666666666657</v>
      </c>
      <c r="I2031" s="14">
        <f>42.5*(2/3*10)</f>
        <v>283.33333333333331</v>
      </c>
      <c r="K2031" s="15">
        <v>2028</v>
      </c>
      <c r="L2031">
        <f t="shared" si="31"/>
        <v>4</v>
      </c>
    </row>
    <row r="2032" spans="1:12" ht="16.5" x14ac:dyDescent="0.2">
      <c r="A2032" s="4" t="s">
        <v>99</v>
      </c>
      <c r="B2032">
        <v>2013</v>
      </c>
      <c r="C2032" s="14">
        <f>462.9*(2/3*10)</f>
        <v>3085.9999999999995</v>
      </c>
      <c r="D2032" s="14">
        <f>25.8*(2/3*10)</f>
        <v>172</v>
      </c>
      <c r="E2032" s="14">
        <f>199.8*(2/3*10)</f>
        <v>1332</v>
      </c>
      <c r="F2032" s="14">
        <f>13.3*(2/3*10)</f>
        <v>88.666666666666657</v>
      </c>
      <c r="G2032" s="14">
        <f>102.7*(2/3*10)</f>
        <v>684.66666666666652</v>
      </c>
      <c r="H2032" s="14">
        <f>15.6*(2/3*10)</f>
        <v>103.99999999999999</v>
      </c>
      <c r="I2032" s="14">
        <f>42.4*(2/3*10)</f>
        <v>282.66666666666663</v>
      </c>
      <c r="K2032">
        <v>2029</v>
      </c>
      <c r="L2032">
        <f t="shared" si="31"/>
        <v>5</v>
      </c>
    </row>
    <row r="2033" spans="1:12" ht="16.5" x14ac:dyDescent="0.2">
      <c r="A2033" s="4" t="s">
        <v>99</v>
      </c>
      <c r="B2033">
        <v>2014</v>
      </c>
      <c r="C2033" s="14">
        <f>461.2*(2/3*10)</f>
        <v>3074.6666666666665</v>
      </c>
      <c r="D2033" s="14">
        <f>25.3*(2/3*10)</f>
        <v>168.66666666666666</v>
      </c>
      <c r="E2033" s="14">
        <f>198.2*(2/3*10)</f>
        <v>1321.333333333333</v>
      </c>
      <c r="F2033" s="14">
        <f>12.2*(2/3*10)</f>
        <v>81.333333333333314</v>
      </c>
      <c r="G2033" s="14">
        <f>108.9*(2/3*10)</f>
        <v>725.99999999999989</v>
      </c>
      <c r="H2033" s="14">
        <f>16.4*(2/3*10)</f>
        <v>109.33333333333331</v>
      </c>
      <c r="I2033" s="14">
        <f>42.1*(2/3*10)</f>
        <v>280.66666666666663</v>
      </c>
      <c r="K2033" s="15">
        <v>2030</v>
      </c>
      <c r="L2033">
        <f t="shared" si="31"/>
        <v>6</v>
      </c>
    </row>
    <row r="2034" spans="1:12" ht="16.5" x14ac:dyDescent="0.2">
      <c r="A2034" s="4" t="s">
        <v>99</v>
      </c>
      <c r="B2034">
        <v>2015</v>
      </c>
      <c r="C2034" s="14">
        <f>461*(2/3*10)</f>
        <v>3073.333333333333</v>
      </c>
      <c r="D2034" s="14">
        <f>25.2*(2/3*10)</f>
        <v>167.99999999999997</v>
      </c>
      <c r="E2034" s="14">
        <f>197.9*(2/3*10)</f>
        <v>1319.3333333333333</v>
      </c>
      <c r="F2034" s="14">
        <f>12.2*(2/3*10)</f>
        <v>81.333333333333314</v>
      </c>
      <c r="G2034" s="14">
        <f>111.1*(2/3*10)</f>
        <v>740.66666666666652</v>
      </c>
      <c r="H2034" s="14">
        <f>16.8*(2/3*10)</f>
        <v>112</v>
      </c>
      <c r="I2034" s="14">
        <f>42*(2/3*10)</f>
        <v>280</v>
      </c>
      <c r="K2034">
        <v>2031</v>
      </c>
      <c r="L2034">
        <f t="shared" si="31"/>
        <v>7</v>
      </c>
    </row>
    <row r="2035" spans="1:12" ht="16.5" x14ac:dyDescent="0.2">
      <c r="A2035" s="4" t="s">
        <v>99</v>
      </c>
      <c r="B2035">
        <v>2016</v>
      </c>
      <c r="C2035" s="14">
        <f>461.5*(2/3*10)</f>
        <v>3076.6666666666665</v>
      </c>
      <c r="D2035" s="14">
        <f>25.1*(2/3*10)</f>
        <v>167.33333333333331</v>
      </c>
      <c r="E2035" s="14">
        <f>197.8*(2/3*10)</f>
        <v>1318.6666666666665</v>
      </c>
      <c r="F2035" s="14">
        <f>12.2*(2/3*10)</f>
        <v>81.333333333333314</v>
      </c>
      <c r="G2035" s="14">
        <f>111.4*(2/3*10)</f>
        <v>742.66666666666652</v>
      </c>
      <c r="H2035" s="14">
        <f>17.1*(2/3*10)</f>
        <v>114</v>
      </c>
      <c r="I2035" s="14">
        <f>42*(2/3*10)</f>
        <v>280</v>
      </c>
      <c r="K2035">
        <v>2032</v>
      </c>
      <c r="L2035">
        <f t="shared" si="31"/>
        <v>0</v>
      </c>
    </row>
    <row r="2036" spans="1:12" ht="16.5" x14ac:dyDescent="0.2">
      <c r="A2036" s="4" t="s">
        <v>98</v>
      </c>
      <c r="B2036">
        <v>2009</v>
      </c>
      <c r="C2036" s="14">
        <f>823*(2/3*10)</f>
        <v>5486.6666666666661</v>
      </c>
      <c r="D2036" s="14">
        <f>25.2*(2/3*10)</f>
        <v>167.99999999999997</v>
      </c>
      <c r="E2036" s="14">
        <f>1215.8*(2/3*10)</f>
        <v>8105.3333333333321</v>
      </c>
      <c r="F2036" s="14">
        <f>27.3*(2/3*10)</f>
        <v>182</v>
      </c>
      <c r="G2036" s="14">
        <f>127.8*(2/3*10)</f>
        <v>851.99999999999989</v>
      </c>
      <c r="H2036" s="14">
        <f>27.4*(2/3*10)</f>
        <v>182.66666666666663</v>
      </c>
      <c r="I2036" s="14">
        <f>67.9*(2/3*10)</f>
        <v>452.66666666666669</v>
      </c>
      <c r="K2036" s="15">
        <v>2033</v>
      </c>
      <c r="L2036">
        <f t="shared" si="31"/>
        <v>1</v>
      </c>
    </row>
    <row r="2037" spans="1:12" ht="16.5" x14ac:dyDescent="0.2">
      <c r="A2037" s="4" t="s">
        <v>98</v>
      </c>
      <c r="B2037">
        <v>2010</v>
      </c>
      <c r="C2037" s="14">
        <f>822.4*(2/3*10)</f>
        <v>5482.6666666666661</v>
      </c>
      <c r="D2037" s="14">
        <f>25.2*(2/3*10)</f>
        <v>167.99999999999997</v>
      </c>
      <c r="E2037" s="14">
        <f>1215.6*(2/3*10)</f>
        <v>8103.9999999999991</v>
      </c>
      <c r="F2037" s="14">
        <f>27.3*(2/3*10)</f>
        <v>182</v>
      </c>
      <c r="G2037" s="14">
        <f>128.3*(2/3*10)</f>
        <v>855.33333333333337</v>
      </c>
      <c r="H2037" s="14">
        <f>27.9*(2/3*10)</f>
        <v>185.99999999999997</v>
      </c>
      <c r="I2037" s="14">
        <f>68*(2/3*10)</f>
        <v>453.33333333333331</v>
      </c>
      <c r="K2037">
        <v>2034</v>
      </c>
      <c r="L2037">
        <f t="shared" si="31"/>
        <v>2</v>
      </c>
    </row>
    <row r="2038" spans="1:12" ht="16.5" x14ac:dyDescent="0.2">
      <c r="A2038" s="4" t="s">
        <v>98</v>
      </c>
      <c r="B2038">
        <v>2011</v>
      </c>
      <c r="C2038" s="14">
        <f>823*(2/3*10)</f>
        <v>5486.6666666666661</v>
      </c>
      <c r="D2038" s="14">
        <f>25.2*(2/3*10)</f>
        <v>167.99999999999997</v>
      </c>
      <c r="E2038" s="14">
        <f>1215.5*(2/3*10)</f>
        <v>8103.333333333333</v>
      </c>
      <c r="F2038" s="14">
        <f>27.3*(2/3*10)</f>
        <v>182</v>
      </c>
      <c r="G2038" s="14">
        <f>128.3*(2/3*10)</f>
        <v>855.33333333333337</v>
      </c>
      <c r="H2038" s="14">
        <f>28.4*(2/3*10)</f>
        <v>189.33333333333331</v>
      </c>
      <c r="I2038" s="14">
        <f>67.9*(2/3*10)</f>
        <v>452.66666666666669</v>
      </c>
      <c r="K2038" s="15">
        <v>2035</v>
      </c>
      <c r="L2038">
        <f t="shared" si="31"/>
        <v>3</v>
      </c>
    </row>
    <row r="2039" spans="1:12" ht="16.5" x14ac:dyDescent="0.2">
      <c r="A2039" s="4" t="s">
        <v>98</v>
      </c>
      <c r="B2039">
        <v>2012</v>
      </c>
      <c r="C2039" s="14">
        <f>822.4*(2/3*10)</f>
        <v>5482.6666666666661</v>
      </c>
      <c r="D2039" s="14">
        <f>25.1*(2/3*10)</f>
        <v>167.33333333333331</v>
      </c>
      <c r="E2039" s="14">
        <f>1215*(2/3*10)</f>
        <v>8099.9999999999991</v>
      </c>
      <c r="F2039" s="14">
        <f>27.3*(2/3*10)</f>
        <v>182</v>
      </c>
      <c r="G2039" s="14">
        <f>130.1*(2/3*10)</f>
        <v>867.33333333333326</v>
      </c>
      <c r="H2039" s="14">
        <f>29*(2/3*10)</f>
        <v>193.33333333333331</v>
      </c>
      <c r="I2039" s="14">
        <f>68*(2/3*10)</f>
        <v>453.33333333333331</v>
      </c>
      <c r="K2039">
        <v>2036</v>
      </c>
      <c r="L2039">
        <f t="shared" si="31"/>
        <v>4</v>
      </c>
    </row>
    <row r="2040" spans="1:12" ht="16.5" x14ac:dyDescent="0.2">
      <c r="A2040" s="4" t="s">
        <v>98</v>
      </c>
      <c r="B2040">
        <v>2013</v>
      </c>
      <c r="C2040" s="14">
        <f>822*(2/3*10)</f>
        <v>5479.9999999999991</v>
      </c>
      <c r="D2040" s="14">
        <f>24.8*(2/3*10)</f>
        <v>165.33333333333331</v>
      </c>
      <c r="E2040" s="14">
        <f>1214.8*(2/3*10)</f>
        <v>8098.6666666666661</v>
      </c>
      <c r="F2040" s="14">
        <f>27.3*(2/3*10)</f>
        <v>182</v>
      </c>
      <c r="G2040" s="14">
        <f>131.3*(2/3*10)</f>
        <v>875.33333333333337</v>
      </c>
      <c r="H2040" s="14">
        <f>29.1*(2/3*10)</f>
        <v>194</v>
      </c>
      <c r="I2040" s="14">
        <f>68*(2/3*10)</f>
        <v>453.33333333333331</v>
      </c>
      <c r="K2040">
        <v>2037</v>
      </c>
      <c r="L2040">
        <f t="shared" si="31"/>
        <v>5</v>
      </c>
    </row>
    <row r="2041" spans="1:12" ht="16.5" x14ac:dyDescent="0.2">
      <c r="A2041" s="4" t="s">
        <v>98</v>
      </c>
      <c r="B2041">
        <v>2014</v>
      </c>
      <c r="C2041" s="14">
        <f>823.8*(2/3*10)</f>
        <v>5491.9999999999991</v>
      </c>
      <c r="D2041" s="14">
        <f>24.7*(2/3*10)</f>
        <v>164.66666666666666</v>
      </c>
      <c r="E2041" s="14">
        <f>1214.6*(2/3*10)</f>
        <v>8097.3333333333321</v>
      </c>
      <c r="F2041" s="14">
        <f>27.3*(2/3*10)</f>
        <v>182</v>
      </c>
      <c r="G2041" s="14">
        <f>132.2*(2/3*10)</f>
        <v>881.33333333333314</v>
      </c>
      <c r="H2041" s="14">
        <f>29.4*(2/3*10)</f>
        <v>195.99999999999997</v>
      </c>
      <c r="I2041" s="14">
        <f>67.9*(2/3*10)</f>
        <v>452.66666666666669</v>
      </c>
      <c r="K2041" s="15">
        <v>2038</v>
      </c>
      <c r="L2041">
        <f t="shared" si="31"/>
        <v>6</v>
      </c>
    </row>
    <row r="2042" spans="1:12" ht="16.5" x14ac:dyDescent="0.2">
      <c r="A2042" s="4" t="s">
        <v>98</v>
      </c>
      <c r="B2042">
        <v>2015</v>
      </c>
      <c r="C2042" s="14">
        <f>824.8*(2/3*10)</f>
        <v>5498.6666666666661</v>
      </c>
      <c r="D2042" s="14">
        <f>24.7*(2/3*10)</f>
        <v>164.66666666666666</v>
      </c>
      <c r="E2042" s="14">
        <f>1214.5*(2/3*10)</f>
        <v>8096.6666666666661</v>
      </c>
      <c r="F2042" s="14">
        <f>27.3*(2/3*10)</f>
        <v>182</v>
      </c>
      <c r="G2042" s="14">
        <f>133*(2/3*10)</f>
        <v>886.66666666666663</v>
      </c>
      <c r="H2042" s="14">
        <f>29.5*(2/3*10)</f>
        <v>196.66666666666666</v>
      </c>
      <c r="I2042" s="14">
        <f>67.9*(2/3*10)</f>
        <v>452.66666666666669</v>
      </c>
      <c r="K2042">
        <v>2039</v>
      </c>
      <c r="L2042">
        <f t="shared" si="31"/>
        <v>7</v>
      </c>
    </row>
    <row r="2043" spans="1:12" ht="16.5" x14ac:dyDescent="0.2">
      <c r="A2043" s="4" t="s">
        <v>98</v>
      </c>
      <c r="B2043">
        <v>2016</v>
      </c>
      <c r="C2043" s="14">
        <f>825.5*(2/3*10)</f>
        <v>5503.333333333333</v>
      </c>
      <c r="D2043" s="14">
        <f>24.6*(2/3*10)</f>
        <v>164</v>
      </c>
      <c r="E2043" s="14">
        <f>1214.3*(2/3*10)</f>
        <v>8095.3333333333321</v>
      </c>
      <c r="F2043" s="14">
        <f>27.3*(2/3*10)</f>
        <v>182</v>
      </c>
      <c r="G2043" s="14">
        <f>134.1*(2/3*10)</f>
        <v>893.99999999999989</v>
      </c>
      <c r="H2043" s="14">
        <f>29.9*(2/3*10)</f>
        <v>199.33333333333331</v>
      </c>
      <c r="I2043" s="14">
        <f>67.8*(2/3*10)</f>
        <v>451.99999999999994</v>
      </c>
      <c r="K2043" s="15">
        <v>2040</v>
      </c>
      <c r="L2043">
        <f t="shared" si="31"/>
        <v>0</v>
      </c>
    </row>
    <row r="2044" spans="1:12" ht="16.5" x14ac:dyDescent="0.2">
      <c r="A2044" s="4" t="s">
        <v>97</v>
      </c>
      <c r="B2044">
        <v>2009</v>
      </c>
      <c r="C2044" s="14">
        <f>147*(2/3*10)</f>
        <v>979.99999999999989</v>
      </c>
      <c r="D2044" s="14">
        <f>68.6*(2/3*10)</f>
        <v>457.33333333333326</v>
      </c>
      <c r="E2044" s="14">
        <f>1730.4*(2/3*10)</f>
        <v>11536</v>
      </c>
      <c r="F2044" s="14">
        <f>126*(2/3*10)</f>
        <v>839.99999999999989</v>
      </c>
      <c r="G2044" s="14">
        <f>38.2*(2/3*10)</f>
        <v>254.66666666666666</v>
      </c>
      <c r="H2044" s="14">
        <f>10.7*(2/3*10)</f>
        <v>71.333333333333329</v>
      </c>
      <c r="I2044" s="14">
        <f>67*(2/3*10)</f>
        <v>446.66666666666663</v>
      </c>
      <c r="K2044">
        <v>2041</v>
      </c>
      <c r="L2044">
        <f t="shared" si="31"/>
        <v>1</v>
      </c>
    </row>
    <row r="2045" spans="1:12" ht="16.5" x14ac:dyDescent="0.2">
      <c r="A2045" s="4" t="s">
        <v>97</v>
      </c>
      <c r="B2045">
        <v>2010</v>
      </c>
      <c r="C2045" s="14">
        <f>153*(2/3*10)</f>
        <v>1019.9999999999999</v>
      </c>
      <c r="D2045" s="14">
        <f>61.3*(2/3*10)</f>
        <v>408.66666666666663</v>
      </c>
      <c r="E2045" s="14">
        <f>1730.3*(2/3*10)</f>
        <v>11535.333333333332</v>
      </c>
      <c r="F2045" s="14">
        <f>126*(2/3*10)</f>
        <v>839.99999999999989</v>
      </c>
      <c r="G2045" s="14">
        <f>38.3*(2/3*10)</f>
        <v>255.33333333333334</v>
      </c>
      <c r="H2045" s="14">
        <f>10.9*(2/3*10)</f>
        <v>72.666666666666657</v>
      </c>
      <c r="I2045" s="14">
        <f>67*(2/3*10)</f>
        <v>446.66666666666663</v>
      </c>
      <c r="K2045">
        <v>2042</v>
      </c>
      <c r="L2045">
        <f t="shared" si="31"/>
        <v>2</v>
      </c>
    </row>
    <row r="2046" spans="1:12" ht="16.5" x14ac:dyDescent="0.2">
      <c r="A2046" s="4" t="s">
        <v>97</v>
      </c>
      <c r="B2046">
        <v>2011</v>
      </c>
      <c r="C2046" s="14">
        <f>153.1*(2/3*10)</f>
        <v>1020.6666666666665</v>
      </c>
      <c r="D2046" s="14">
        <f>61.2*(2/3*10)</f>
        <v>408</v>
      </c>
      <c r="E2046" s="14">
        <f>1730.2*(2/3*10)</f>
        <v>11534.666666666666</v>
      </c>
      <c r="F2046" s="14">
        <f>125.7*(2/3*10)</f>
        <v>838</v>
      </c>
      <c r="G2046" s="14">
        <f>38.7*(2/3*10)</f>
        <v>258</v>
      </c>
      <c r="H2046" s="14">
        <f>10.9*(2/3*10)</f>
        <v>72.666666666666657</v>
      </c>
      <c r="I2046" s="14">
        <f>66.9*(2/3*10)</f>
        <v>446</v>
      </c>
      <c r="K2046" s="15">
        <v>2043</v>
      </c>
      <c r="L2046">
        <f t="shared" si="31"/>
        <v>3</v>
      </c>
    </row>
    <row r="2047" spans="1:12" ht="16.5" x14ac:dyDescent="0.2">
      <c r="A2047" s="4" t="s">
        <v>97</v>
      </c>
      <c r="B2047">
        <v>2012</v>
      </c>
      <c r="C2047" s="14">
        <f>152.7*(2/3*10)</f>
        <v>1017.9999999999999</v>
      </c>
      <c r="D2047" s="14">
        <f>61.2*(2/3*10)</f>
        <v>408</v>
      </c>
      <c r="E2047" s="14">
        <f>1730*(2/3*10)</f>
        <v>11533.333333333332</v>
      </c>
      <c r="F2047" s="14">
        <f>125.7*(2/3*10)</f>
        <v>838</v>
      </c>
      <c r="G2047" s="14">
        <f>39.3*(2/3*10)</f>
        <v>262</v>
      </c>
      <c r="H2047" s="14">
        <f>10.9*(2/3*10)</f>
        <v>72.666666666666657</v>
      </c>
      <c r="I2047" s="14">
        <f>67.1*(2/3*10)</f>
        <v>447.33333333333326</v>
      </c>
      <c r="K2047">
        <v>2044</v>
      </c>
      <c r="L2047">
        <f t="shared" si="31"/>
        <v>4</v>
      </c>
    </row>
    <row r="2048" spans="1:12" ht="16.5" x14ac:dyDescent="0.2">
      <c r="A2048" s="4" t="s">
        <v>97</v>
      </c>
      <c r="B2048">
        <v>2013</v>
      </c>
      <c r="C2048" s="14">
        <f>152.6*(2/3*10)</f>
        <v>1017.3333333333333</v>
      </c>
      <c r="D2048" s="14">
        <f>61.2*(2/3*10)</f>
        <v>408</v>
      </c>
      <c r="E2048" s="14">
        <f>1730*(2/3*10)</f>
        <v>11533.333333333332</v>
      </c>
      <c r="F2048" s="14">
        <f>125.7*(2/3*10)</f>
        <v>838</v>
      </c>
      <c r="G2048" s="14">
        <f>39.5*(2/3*10)</f>
        <v>263.33333333333331</v>
      </c>
      <c r="H2048" s="14">
        <f>10.9*(2/3*10)</f>
        <v>72.666666666666657</v>
      </c>
      <c r="I2048" s="14">
        <f>67*(2/3*10)</f>
        <v>446.66666666666663</v>
      </c>
      <c r="K2048" s="15">
        <v>2045</v>
      </c>
      <c r="L2048">
        <f t="shared" ref="L2048:L2111" si="32">MOD(K2048,8)</f>
        <v>5</v>
      </c>
    </row>
    <row r="2049" spans="1:12" ht="16.5" x14ac:dyDescent="0.2">
      <c r="A2049" s="4" t="s">
        <v>97</v>
      </c>
      <c r="B2049">
        <v>2014</v>
      </c>
      <c r="C2049" s="14">
        <f>152.1*(2/3*10)</f>
        <v>1013.9999999999999</v>
      </c>
      <c r="D2049" s="14">
        <f>60.1*(2/3*10)</f>
        <v>400.66666666666663</v>
      </c>
      <c r="E2049" s="14">
        <f>1729.7*(2/3*10)</f>
        <v>11531.333333333332</v>
      </c>
      <c r="F2049" s="14">
        <f>125.6*(2/3*10)</f>
        <v>837.33333333333326</v>
      </c>
      <c r="G2049" s="14">
        <f>41.4*(2/3*10)</f>
        <v>276</v>
      </c>
      <c r="H2049" s="14">
        <f>11.3*(2/3*10)</f>
        <v>75.333333333333329</v>
      </c>
      <c r="I2049" s="14">
        <f>67*(2/3*10)</f>
        <v>446.66666666666663</v>
      </c>
      <c r="K2049">
        <v>2046</v>
      </c>
      <c r="L2049">
        <f t="shared" si="32"/>
        <v>6</v>
      </c>
    </row>
    <row r="2050" spans="1:12" ht="16.5" x14ac:dyDescent="0.2">
      <c r="A2050" s="4" t="s">
        <v>97</v>
      </c>
      <c r="B2050">
        <v>2015</v>
      </c>
      <c r="C2050" s="14">
        <f>151.5*(2/3*10)</f>
        <v>1009.9999999999999</v>
      </c>
      <c r="D2050" s="14">
        <f>59.9*(2/3*10)</f>
        <v>399.33333333333331</v>
      </c>
      <c r="E2050" s="14">
        <f>1729.5*(2/3*10)</f>
        <v>11529.999999999998</v>
      </c>
      <c r="F2050" s="14">
        <f>125.6*(2/3*10)</f>
        <v>837.33333333333326</v>
      </c>
      <c r="G2050" s="14">
        <f>42.2*(2/3*10)</f>
        <v>281.33333333333331</v>
      </c>
      <c r="H2050" s="14">
        <f>11.5*(2/3*10)</f>
        <v>76.666666666666657</v>
      </c>
      <c r="I2050" s="14">
        <f>67*(2/3*10)</f>
        <v>446.66666666666663</v>
      </c>
      <c r="K2050">
        <v>2047</v>
      </c>
      <c r="L2050">
        <f t="shared" si="32"/>
        <v>7</v>
      </c>
    </row>
    <row r="2051" spans="1:12" ht="16.5" x14ac:dyDescent="0.2">
      <c r="A2051" s="4" t="s">
        <v>97</v>
      </c>
      <c r="B2051">
        <v>2016</v>
      </c>
      <c r="C2051" s="14">
        <f>151.6*(2/3*10)</f>
        <v>1010.6666666666665</v>
      </c>
      <c r="D2051" s="14">
        <f>59.9*(2/3*10)</f>
        <v>399.33333333333331</v>
      </c>
      <c r="E2051" s="14">
        <f>1729.4*(2/3*10)</f>
        <v>11529.333333333332</v>
      </c>
      <c r="F2051" s="14">
        <f>125.6*(2/3*10)</f>
        <v>837.33333333333326</v>
      </c>
      <c r="G2051" s="14">
        <f>42.5*(2/3*10)</f>
        <v>283.33333333333331</v>
      </c>
      <c r="H2051" s="14">
        <f>11.7*(2/3*10)</f>
        <v>77.999999999999986</v>
      </c>
      <c r="I2051" s="14">
        <f>66.9*(2/3*10)</f>
        <v>446</v>
      </c>
      <c r="K2051" s="15">
        <v>2048</v>
      </c>
      <c r="L2051">
        <f t="shared" si="32"/>
        <v>0</v>
      </c>
    </row>
    <row r="2052" spans="1:12" ht="16.5" x14ac:dyDescent="0.2">
      <c r="A2052" s="4" t="s">
        <v>96</v>
      </c>
      <c r="B2052">
        <v>2009</v>
      </c>
      <c r="C2052" s="14">
        <f>488.7*(2/3*10)</f>
        <v>3257.9999999999995</v>
      </c>
      <c r="D2052" s="14">
        <f>14.1*(2/3*10)</f>
        <v>93.999999999999986</v>
      </c>
      <c r="E2052" s="14">
        <f>1083.6*(2/3*10)</f>
        <v>7223.9999999999991</v>
      </c>
      <c r="F2052" s="14">
        <f>8.8*(2/3*10)</f>
        <v>58.666666666666664</v>
      </c>
      <c r="G2052" s="14">
        <f>71.7*(2/3*10)</f>
        <v>478</v>
      </c>
      <c r="H2052" s="14">
        <f>20.5*(2/3*10)</f>
        <v>136.66666666666666</v>
      </c>
      <c r="I2052" s="14">
        <f>45.9*(2/3*10)</f>
        <v>305.99999999999994</v>
      </c>
      <c r="K2052">
        <v>2049</v>
      </c>
      <c r="L2052">
        <f t="shared" si="32"/>
        <v>1</v>
      </c>
    </row>
    <row r="2053" spans="1:12" ht="16.5" x14ac:dyDescent="0.2">
      <c r="A2053" s="4" t="s">
        <v>96</v>
      </c>
      <c r="B2053">
        <v>2010</v>
      </c>
      <c r="C2053" s="14">
        <f>488*(2/3*10)</f>
        <v>3253.333333333333</v>
      </c>
      <c r="D2053" s="14">
        <f>13.9*(2/3*10)</f>
        <v>92.666666666666657</v>
      </c>
      <c r="E2053" s="14">
        <f>1083.1*(2/3*10)</f>
        <v>7220.6666666666652</v>
      </c>
      <c r="F2053" s="14">
        <f>8.8*(2/3*10)</f>
        <v>58.666666666666664</v>
      </c>
      <c r="G2053" s="14">
        <f>71.8*(2/3*10)</f>
        <v>478.66666666666663</v>
      </c>
      <c r="H2053" s="14">
        <f>21.6*(2/3*10)</f>
        <v>144</v>
      </c>
      <c r="I2053" s="14">
        <f>45.9*(2/3*10)</f>
        <v>305.99999999999994</v>
      </c>
      <c r="K2053" s="15">
        <v>2050</v>
      </c>
      <c r="L2053">
        <f t="shared" si="32"/>
        <v>2</v>
      </c>
    </row>
    <row r="2054" spans="1:12" ht="16.5" x14ac:dyDescent="0.2">
      <c r="A2054" s="4" t="s">
        <v>96</v>
      </c>
      <c r="B2054">
        <v>2011</v>
      </c>
      <c r="C2054" s="14">
        <f>487.8*(2/3*10)</f>
        <v>3252</v>
      </c>
      <c r="D2054" s="14">
        <f>13.9*(2/3*10)</f>
        <v>92.666666666666657</v>
      </c>
      <c r="E2054" s="14">
        <f>1083*(2/3*10)</f>
        <v>7219.9999999999991</v>
      </c>
      <c r="F2054" s="14">
        <f>8.8*(2/3*10)</f>
        <v>58.666666666666664</v>
      </c>
      <c r="G2054" s="14">
        <f>72*(2/3*10)</f>
        <v>479.99999999999994</v>
      </c>
      <c r="H2054" s="14">
        <f>21.7*(2/3*10)</f>
        <v>144.66666666666666</v>
      </c>
      <c r="I2054" s="14">
        <f>45.9*(2/3*10)</f>
        <v>305.99999999999994</v>
      </c>
      <c r="K2054">
        <v>2051</v>
      </c>
      <c r="L2054">
        <f t="shared" si="32"/>
        <v>3</v>
      </c>
    </row>
    <row r="2055" spans="1:12" ht="16.5" x14ac:dyDescent="0.2">
      <c r="A2055" s="4" t="s">
        <v>96</v>
      </c>
      <c r="B2055">
        <v>2012</v>
      </c>
      <c r="C2055" s="14">
        <f>487.2*(2/3*10)</f>
        <v>3247.9999999999995</v>
      </c>
      <c r="D2055" s="14">
        <f>13.8*(2/3*10)</f>
        <v>92</v>
      </c>
      <c r="E2055" s="14">
        <f>1082.7*(2/3*10)</f>
        <v>7218</v>
      </c>
      <c r="F2055" s="14">
        <f>8.7*(2/3*10)</f>
        <v>57.999999999999993</v>
      </c>
      <c r="G2055" s="14">
        <f>73.1*(2/3*10)</f>
        <v>487.33333333333326</v>
      </c>
      <c r="H2055" s="14">
        <f>22.1*(2/3*10)</f>
        <v>147.33333333333334</v>
      </c>
      <c r="I2055" s="14">
        <f>45.8*(2/3*10)</f>
        <v>305.33333333333331</v>
      </c>
      <c r="K2055">
        <v>2052</v>
      </c>
      <c r="L2055">
        <f t="shared" si="32"/>
        <v>4</v>
      </c>
    </row>
    <row r="2056" spans="1:12" ht="16.5" x14ac:dyDescent="0.2">
      <c r="A2056" s="4" t="s">
        <v>96</v>
      </c>
      <c r="B2056">
        <v>2013</v>
      </c>
      <c r="C2056" s="14">
        <f>487.6*(2/3*10)</f>
        <v>3250.6666666666665</v>
      </c>
      <c r="D2056" s="14">
        <f>13.8*(2/3*10)</f>
        <v>92</v>
      </c>
      <c r="E2056" s="14">
        <f>1082.2*(2/3*10)</f>
        <v>7214.6666666666661</v>
      </c>
      <c r="F2056" s="14">
        <f>8.7*(2/3*10)</f>
        <v>57.999999999999993</v>
      </c>
      <c r="G2056" s="14">
        <f>74.2*(2/3*10)</f>
        <v>494.66666666666663</v>
      </c>
      <c r="H2056" s="14">
        <f>22.5*(2/3*10)</f>
        <v>150</v>
      </c>
      <c r="I2056" s="14">
        <f>45.8*(2/3*10)</f>
        <v>305.33333333333331</v>
      </c>
      <c r="K2056" s="15">
        <v>2053</v>
      </c>
      <c r="L2056">
        <f t="shared" si="32"/>
        <v>5</v>
      </c>
    </row>
    <row r="2057" spans="1:12" ht="16.5" x14ac:dyDescent="0.2">
      <c r="A2057" s="4" t="s">
        <v>96</v>
      </c>
      <c r="B2057">
        <v>2014</v>
      </c>
      <c r="C2057" s="14">
        <f>487.8*(2/3*10)</f>
        <v>3252</v>
      </c>
      <c r="D2057" s="14">
        <f>13.7*(2/3*10)</f>
        <v>91.333333333333314</v>
      </c>
      <c r="E2057" s="14">
        <f>1081.9*(2/3*10)</f>
        <v>7212.666666666667</v>
      </c>
      <c r="F2057" s="14">
        <f>8.7*(2/3*10)</f>
        <v>57.999999999999993</v>
      </c>
      <c r="G2057" s="14">
        <f>75.3*(2/3*10)</f>
        <v>501.99999999999994</v>
      </c>
      <c r="H2057" s="14">
        <f>22.9*(2/3*10)</f>
        <v>152.66666666666666</v>
      </c>
      <c r="I2057" s="14">
        <f>45.7*(2/3*10)</f>
        <v>304.66666666666669</v>
      </c>
      <c r="K2057">
        <v>2054</v>
      </c>
      <c r="L2057">
        <f t="shared" si="32"/>
        <v>6</v>
      </c>
    </row>
    <row r="2058" spans="1:12" ht="16.5" x14ac:dyDescent="0.2">
      <c r="A2058" s="4" t="s">
        <v>96</v>
      </c>
      <c r="B2058">
        <v>2015</v>
      </c>
      <c r="C2058" s="14">
        <f>486.8*(2/3*10)</f>
        <v>3245.333333333333</v>
      </c>
      <c r="D2058" s="14">
        <f>13.7*(2/3*10)</f>
        <v>91.333333333333314</v>
      </c>
      <c r="E2058" s="14">
        <f>1081.1*(2/3*10)</f>
        <v>7207.3333333333321</v>
      </c>
      <c r="F2058" s="14">
        <f>8.7*(2/3*10)</f>
        <v>57.999999999999993</v>
      </c>
      <c r="G2058" s="14">
        <f>78.2*(2/3*10)</f>
        <v>521.33333333333326</v>
      </c>
      <c r="H2058" s="14">
        <f>23.1*(2/3*10)</f>
        <v>154</v>
      </c>
      <c r="I2058" s="14">
        <f>45.7*(2/3*10)</f>
        <v>304.66666666666669</v>
      </c>
      <c r="K2058" s="15">
        <v>2055</v>
      </c>
      <c r="L2058">
        <f t="shared" si="32"/>
        <v>7</v>
      </c>
    </row>
    <row r="2059" spans="1:12" ht="16.5" x14ac:dyDescent="0.2">
      <c r="A2059" s="4" t="s">
        <v>96</v>
      </c>
      <c r="B2059">
        <v>2016</v>
      </c>
      <c r="C2059" s="14">
        <f>489*(2/3*10)</f>
        <v>3259.9999999999995</v>
      </c>
      <c r="D2059" s="14">
        <f>13.6*(2/3*10)</f>
        <v>90.666666666666657</v>
      </c>
      <c r="E2059" s="14">
        <f>1080.3*(2/3*10)</f>
        <v>7201.9999999999991</v>
      </c>
      <c r="F2059" s="14">
        <f>8.7*(2/3*10)</f>
        <v>57.999999999999993</v>
      </c>
      <c r="G2059" s="14">
        <f>80.4*(2/3*10)</f>
        <v>535.99999999999989</v>
      </c>
      <c r="H2059" s="14">
        <f>23.6*(2/3*10)</f>
        <v>157.33333333333334</v>
      </c>
      <c r="I2059" s="14">
        <f>45.6*(2/3*10)</f>
        <v>304</v>
      </c>
      <c r="K2059">
        <v>2056</v>
      </c>
      <c r="L2059">
        <f t="shared" si="32"/>
        <v>0</v>
      </c>
    </row>
    <row r="2060" spans="1:12" ht="16.5" x14ac:dyDescent="0.2">
      <c r="A2060" s="4" t="s">
        <v>95</v>
      </c>
      <c r="B2060">
        <v>2009</v>
      </c>
      <c r="C2060" s="14">
        <f>646.7*(2/3*10)</f>
        <v>4311.333333333333</v>
      </c>
      <c r="D2060" s="14">
        <f>75.9*(2/3*10)</f>
        <v>506</v>
      </c>
      <c r="E2060" s="14">
        <f>157.4*(2/3*10)</f>
        <v>1049.3333333333333</v>
      </c>
      <c r="F2060" s="14">
        <f>3.4*(2/3*10)</f>
        <v>22.666666666666664</v>
      </c>
      <c r="G2060" s="14">
        <f>114.9*(2/3*10)</f>
        <v>765.99999999999989</v>
      </c>
      <c r="H2060" s="14">
        <f>18.9*(2/3*10)</f>
        <v>125.99999999999999</v>
      </c>
      <c r="I2060" s="14">
        <f>52.4*(2/3*10)</f>
        <v>349.33333333333331</v>
      </c>
      <c r="K2060">
        <v>2057</v>
      </c>
      <c r="L2060">
        <f t="shared" si="32"/>
        <v>1</v>
      </c>
    </row>
    <row r="2061" spans="1:12" ht="16.5" x14ac:dyDescent="0.2">
      <c r="A2061" s="4" t="s">
        <v>95</v>
      </c>
      <c r="B2061">
        <v>2010</v>
      </c>
      <c r="C2061" s="14">
        <f>646.1*(2/3*10)</f>
        <v>4307.333333333333</v>
      </c>
      <c r="D2061" s="14">
        <f>75.6*(2/3*10)</f>
        <v>503.99999999999994</v>
      </c>
      <c r="E2061" s="14">
        <f>156.7*(2/3*10)</f>
        <v>1044.6666666666665</v>
      </c>
      <c r="F2061" s="14">
        <f>3.4*(2/3*10)</f>
        <v>22.666666666666664</v>
      </c>
      <c r="G2061" s="14">
        <f>116.4*(2/3*10)</f>
        <v>775.99999999999989</v>
      </c>
      <c r="H2061" s="14">
        <f>22*(2/3*10)</f>
        <v>146.66666666666666</v>
      </c>
      <c r="I2061" s="14">
        <f>52.3*(2/3*10)</f>
        <v>348.66666666666663</v>
      </c>
      <c r="K2061" s="15">
        <v>2058</v>
      </c>
      <c r="L2061">
        <f t="shared" si="32"/>
        <v>2</v>
      </c>
    </row>
    <row r="2062" spans="1:12" ht="16.5" x14ac:dyDescent="0.2">
      <c r="A2062" s="4" t="s">
        <v>95</v>
      </c>
      <c r="B2062">
        <v>2011</v>
      </c>
      <c r="C2062" s="14">
        <f>645.1*(2/3*10)</f>
        <v>4300.6666666666661</v>
      </c>
      <c r="D2062" s="14">
        <f>75.4*(2/3*10)</f>
        <v>502.66666666666669</v>
      </c>
      <c r="E2062" s="14">
        <f>156.3*(2/3*10)</f>
        <v>1042</v>
      </c>
      <c r="F2062" s="14">
        <f>3.4*(2/3*10)</f>
        <v>22.666666666666664</v>
      </c>
      <c r="G2062" s="14">
        <f>118.1*(2/3*10)</f>
        <v>787.33333333333326</v>
      </c>
      <c r="H2062" s="14">
        <f>23*(2/3*10)</f>
        <v>153.33333333333331</v>
      </c>
      <c r="I2062" s="14">
        <f>52.2*(2/3*10)</f>
        <v>348</v>
      </c>
      <c r="K2062">
        <v>2059</v>
      </c>
      <c r="L2062">
        <f t="shared" si="32"/>
        <v>3</v>
      </c>
    </row>
    <row r="2063" spans="1:12" ht="16.5" x14ac:dyDescent="0.2">
      <c r="A2063" s="4" t="s">
        <v>95</v>
      </c>
      <c r="B2063">
        <v>2012</v>
      </c>
      <c r="C2063" s="14">
        <f>646*(2/3*10)</f>
        <v>4306.6666666666661</v>
      </c>
      <c r="D2063" s="14">
        <f>75.3*(2/3*10)</f>
        <v>501.99999999999994</v>
      </c>
      <c r="E2063" s="14">
        <f>156*(2/3*10)</f>
        <v>1040</v>
      </c>
      <c r="F2063" s="14">
        <f>3.5*(2/3*10)</f>
        <v>23.333333333333332</v>
      </c>
      <c r="G2063" s="14">
        <f>119.3*(2/3*10)</f>
        <v>795.33333333333326</v>
      </c>
      <c r="H2063" s="14">
        <f>23.6*(2/3*10)</f>
        <v>157.33333333333334</v>
      </c>
      <c r="I2063" s="14">
        <f>52.2*(2/3*10)</f>
        <v>348</v>
      </c>
      <c r="K2063" s="15">
        <v>2060</v>
      </c>
      <c r="L2063">
        <f t="shared" si="32"/>
        <v>4</v>
      </c>
    </row>
    <row r="2064" spans="1:12" ht="16.5" x14ac:dyDescent="0.2">
      <c r="A2064" s="4" t="s">
        <v>95</v>
      </c>
      <c r="B2064">
        <v>2013</v>
      </c>
      <c r="C2064" s="14">
        <f>645.6*(2/3*10)</f>
        <v>4304</v>
      </c>
      <c r="D2064" s="14">
        <f>75*(2/3*10)</f>
        <v>499.99999999999994</v>
      </c>
      <c r="E2064" s="14">
        <f>155.4*(2/3*10)</f>
        <v>1036</v>
      </c>
      <c r="F2064" s="14">
        <f>3.5*(2/3*10)</f>
        <v>23.333333333333332</v>
      </c>
      <c r="G2064" s="14">
        <f>120.5*(2/3*10)</f>
        <v>803.33333333333326</v>
      </c>
      <c r="H2064" s="14">
        <f>23.7*(2/3*10)</f>
        <v>157.99999999999997</v>
      </c>
      <c r="I2064" s="14">
        <f>52.2*(2/3*10)</f>
        <v>348</v>
      </c>
      <c r="K2064">
        <v>2061</v>
      </c>
      <c r="L2064">
        <f t="shared" si="32"/>
        <v>5</v>
      </c>
    </row>
    <row r="2065" spans="1:12" ht="16.5" x14ac:dyDescent="0.2">
      <c r="A2065" s="4" t="s">
        <v>95</v>
      </c>
      <c r="B2065">
        <v>2014</v>
      </c>
      <c r="C2065" s="14">
        <f>646.1*(2/3*10)</f>
        <v>4307.333333333333</v>
      </c>
      <c r="D2065" s="14">
        <f>74.7*(2/3*10)</f>
        <v>498</v>
      </c>
      <c r="E2065" s="14">
        <f>155.1*(2/3*10)</f>
        <v>1033.9999999999998</v>
      </c>
      <c r="F2065" s="14">
        <f>3.5*(2/3*10)</f>
        <v>23.333333333333332</v>
      </c>
      <c r="G2065" s="14">
        <f>121.3*(2/3*10)</f>
        <v>808.66666666666663</v>
      </c>
      <c r="H2065" s="14">
        <f>24.3*(2/3*10)</f>
        <v>162</v>
      </c>
      <c r="I2065" s="14">
        <f>52.1*(2/3*10)</f>
        <v>347.33333333333331</v>
      </c>
      <c r="K2065">
        <v>2062</v>
      </c>
      <c r="L2065">
        <f t="shared" si="32"/>
        <v>6</v>
      </c>
    </row>
    <row r="2066" spans="1:12" ht="16.5" x14ac:dyDescent="0.2">
      <c r="A2066" s="4" t="s">
        <v>95</v>
      </c>
      <c r="B2066">
        <v>2015</v>
      </c>
      <c r="C2066" s="14">
        <f>645.3*(2/3*10)</f>
        <v>4301.9999999999991</v>
      </c>
      <c r="D2066" s="14">
        <f>74.5*(2/3*10)</f>
        <v>496.66666666666663</v>
      </c>
      <c r="E2066" s="14">
        <f>154.9*(2/3*10)</f>
        <v>1032.6666666666665</v>
      </c>
      <c r="F2066" s="14">
        <f>3.4*(2/3*10)</f>
        <v>22.666666666666664</v>
      </c>
      <c r="G2066" s="14">
        <f>122.6*(2/3*10)</f>
        <v>817.33333333333337</v>
      </c>
      <c r="H2066" s="14">
        <f>24.3*(2/3*10)</f>
        <v>162</v>
      </c>
      <c r="I2066" s="14">
        <f>52.1*(2/3*10)</f>
        <v>347.33333333333331</v>
      </c>
      <c r="K2066" s="15">
        <v>2063</v>
      </c>
      <c r="L2066">
        <f t="shared" si="32"/>
        <v>7</v>
      </c>
    </row>
    <row r="2067" spans="1:12" ht="16.5" x14ac:dyDescent="0.2">
      <c r="A2067" s="4" t="s">
        <v>95</v>
      </c>
      <c r="B2067">
        <v>2016</v>
      </c>
      <c r="C2067" s="14">
        <f>644.6*(2/3*10)</f>
        <v>4297.333333333333</v>
      </c>
      <c r="D2067" s="14">
        <f>74.3*(2/3*10)</f>
        <v>495.33333333333326</v>
      </c>
      <c r="E2067" s="14">
        <f>154.4*(2/3*10)</f>
        <v>1029.3333333333333</v>
      </c>
      <c r="F2067" s="14">
        <f>3.3*(2/3*10)</f>
        <v>21.999999999999996</v>
      </c>
      <c r="G2067" s="14">
        <f>124.2*(2/3*10)</f>
        <v>828</v>
      </c>
      <c r="H2067" s="14">
        <f>24.6*(2/3*10)</f>
        <v>164</v>
      </c>
      <c r="I2067" s="14">
        <f>52.2*(2/3*10)</f>
        <v>348</v>
      </c>
      <c r="K2067">
        <v>2064</v>
      </c>
      <c r="L2067">
        <f t="shared" si="32"/>
        <v>0</v>
      </c>
    </row>
    <row r="2068" spans="1:12" ht="16.5" x14ac:dyDescent="0.2">
      <c r="A2068" s="4" t="s">
        <v>94</v>
      </c>
      <c r="B2068">
        <v>2009</v>
      </c>
      <c r="C2068" s="14">
        <f>113.3*(2/3*10)</f>
        <v>755.33333333333326</v>
      </c>
      <c r="D2068" s="14">
        <f>29.5*(2/3*10)</f>
        <v>196.66666666666666</v>
      </c>
      <c r="E2068" s="14">
        <f>5640.7*(2/3*10)</f>
        <v>37604.666666666664</v>
      </c>
      <c r="F2068" s="14">
        <f>5551.1*(2/3*10)</f>
        <v>37007.333333333336</v>
      </c>
      <c r="G2068" s="14">
        <f>31.7*(2/3*10)</f>
        <v>211.33333333333329</v>
      </c>
      <c r="H2068" s="14">
        <f>19*(2/3*10)</f>
        <v>126.66666666666666</v>
      </c>
      <c r="I2068" s="14">
        <f>98.2*(2/3*10)</f>
        <v>654.66666666666663</v>
      </c>
      <c r="K2068" s="15">
        <v>2065</v>
      </c>
      <c r="L2068">
        <f t="shared" si="32"/>
        <v>1</v>
      </c>
    </row>
    <row r="2069" spans="1:12" ht="16.5" x14ac:dyDescent="0.2">
      <c r="A2069" s="4" t="s">
        <v>94</v>
      </c>
      <c r="B2069">
        <v>2010</v>
      </c>
      <c r="C2069" s="14">
        <f>123*(2/3*10)</f>
        <v>819.99999999999989</v>
      </c>
      <c r="D2069" s="14">
        <f>17.4*(2/3*10)</f>
        <v>115.99999999999999</v>
      </c>
      <c r="E2069" s="14">
        <f>5640.5*(2/3*10)</f>
        <v>37603.333333333328</v>
      </c>
      <c r="F2069" s="14">
        <f>5550.6*(2/3*10)</f>
        <v>37004</v>
      </c>
      <c r="G2069" s="14">
        <f>32.1*(2/3*10)</f>
        <v>214</v>
      </c>
      <c r="H2069" s="14">
        <f>19.2*(2/3*10)</f>
        <v>127.99999999999999</v>
      </c>
      <c r="I2069" s="14">
        <f>98.2*(2/3*10)</f>
        <v>654.66666666666663</v>
      </c>
      <c r="K2069">
        <v>2066</v>
      </c>
      <c r="L2069">
        <f t="shared" si="32"/>
        <v>2</v>
      </c>
    </row>
    <row r="2070" spans="1:12" ht="16.5" x14ac:dyDescent="0.2">
      <c r="A2070" s="4" t="s">
        <v>94</v>
      </c>
      <c r="B2070">
        <v>2011</v>
      </c>
      <c r="C2070" s="14">
        <f>125.9*(2/3*10)</f>
        <v>839.33333333333326</v>
      </c>
      <c r="D2070" s="14">
        <f>17.4*(2/3*10)</f>
        <v>115.99999999999999</v>
      </c>
      <c r="E2070" s="14">
        <f>5640.4*(2/3*10)</f>
        <v>37602.666666666664</v>
      </c>
      <c r="F2070" s="14">
        <f>5550.4*(2/3*10)</f>
        <v>37002.666666666664</v>
      </c>
      <c r="G2070" s="14">
        <f>32.3*(2/3*10)</f>
        <v>215.33333333333329</v>
      </c>
      <c r="H2070" s="14">
        <f>19.3*(2/3*10)</f>
        <v>128.66666666666666</v>
      </c>
      <c r="I2070" s="14">
        <f>98.2*(2/3*10)</f>
        <v>654.66666666666663</v>
      </c>
      <c r="K2070">
        <v>2067</v>
      </c>
      <c r="L2070">
        <f t="shared" si="32"/>
        <v>3</v>
      </c>
    </row>
    <row r="2071" spans="1:12" ht="16.5" x14ac:dyDescent="0.2">
      <c r="A2071" s="4" t="s">
        <v>94</v>
      </c>
      <c r="B2071">
        <v>2012</v>
      </c>
      <c r="C2071" s="14">
        <f>125.8*(2/3*10)</f>
        <v>838.66666666666663</v>
      </c>
      <c r="D2071" s="14">
        <f>17.3*(2/3*10)</f>
        <v>115.33333333333333</v>
      </c>
      <c r="E2071" s="14">
        <f>5640.1*(2/3*10)</f>
        <v>37600.666666666664</v>
      </c>
      <c r="F2071" s="14">
        <f>5550*(2/3*10)</f>
        <v>37000</v>
      </c>
      <c r="G2071" s="14">
        <f>32.9*(2/3*10)</f>
        <v>219.33333333333331</v>
      </c>
      <c r="H2071" s="14">
        <f>19.5*(2/3*10)</f>
        <v>130</v>
      </c>
      <c r="I2071" s="14">
        <f>98.4*(2/3*10)</f>
        <v>656</v>
      </c>
      <c r="K2071" s="15">
        <v>2068</v>
      </c>
      <c r="L2071">
        <f t="shared" si="32"/>
        <v>4</v>
      </c>
    </row>
    <row r="2072" spans="1:12" ht="16.5" x14ac:dyDescent="0.2">
      <c r="A2072" s="4" t="s">
        <v>94</v>
      </c>
      <c r="B2072">
        <v>2013</v>
      </c>
      <c r="C2072" s="14">
        <f>125.7*(2/3*10)</f>
        <v>838</v>
      </c>
      <c r="D2072" s="14">
        <f>17.2*(2/3*10)</f>
        <v>114.66666666666666</v>
      </c>
      <c r="E2072" s="14">
        <f>5640*(2/3*10)</f>
        <v>37600</v>
      </c>
      <c r="F2072" s="14">
        <f>5549.8*(2/3*10)</f>
        <v>36998.666666666664</v>
      </c>
      <c r="G2072" s="14">
        <f>33.1*(2/3*10)</f>
        <v>220.6666666666666</v>
      </c>
      <c r="H2072" s="14">
        <f>19.7*(2/3*10)</f>
        <v>131.33333333333331</v>
      </c>
      <c r="I2072" s="14">
        <f>98.3*(2/3*10)</f>
        <v>655.33333333333326</v>
      </c>
      <c r="K2072">
        <v>2069</v>
      </c>
      <c r="L2072">
        <f t="shared" si="32"/>
        <v>5</v>
      </c>
    </row>
    <row r="2073" spans="1:12" ht="16.5" x14ac:dyDescent="0.2">
      <c r="A2073" s="4" t="s">
        <v>94</v>
      </c>
      <c r="B2073">
        <v>2014</v>
      </c>
      <c r="C2073" s="14">
        <f>125.6*(2/3*10)</f>
        <v>837.33333333333326</v>
      </c>
      <c r="D2073" s="14">
        <f>17.2*(2/3*10)</f>
        <v>114.66666666666666</v>
      </c>
      <c r="E2073" s="14">
        <f>5639.9*(2/3*10)</f>
        <v>37599.333333333328</v>
      </c>
      <c r="F2073" s="14">
        <f>5549.6*(2/3*10)</f>
        <v>36997.333333333336</v>
      </c>
      <c r="G2073" s="14">
        <f>33.4*(2/3*10)</f>
        <v>222.66666666666663</v>
      </c>
      <c r="H2073" s="14">
        <f>19.8*(2/3*10)</f>
        <v>132</v>
      </c>
      <c r="I2073" s="14">
        <f>98.3*(2/3*10)</f>
        <v>655.33333333333326</v>
      </c>
      <c r="K2073" s="15">
        <v>2070</v>
      </c>
      <c r="L2073">
        <f t="shared" si="32"/>
        <v>6</v>
      </c>
    </row>
    <row r="2074" spans="1:12" ht="16.5" x14ac:dyDescent="0.2">
      <c r="A2074" s="4" t="s">
        <v>94</v>
      </c>
      <c r="B2074">
        <v>2015</v>
      </c>
      <c r="C2074" s="14">
        <f>125.6*(2/3*10)</f>
        <v>837.33333333333326</v>
      </c>
      <c r="D2074" s="14">
        <f>17.2*(2/3*10)</f>
        <v>114.66666666666666</v>
      </c>
      <c r="E2074" s="14">
        <f>5639.8*(2/3*10)</f>
        <v>37598.666666666664</v>
      </c>
      <c r="F2074" s="14">
        <f>5549.1*(2/3*10)</f>
        <v>36994</v>
      </c>
      <c r="G2074" s="14">
        <f>33.8*(2/3*10)</f>
        <v>225.33333333333329</v>
      </c>
      <c r="H2074" s="14">
        <f>20*(2/3*10)</f>
        <v>133.33333333333331</v>
      </c>
      <c r="I2074" s="14">
        <f>98.3*(2/3*10)</f>
        <v>655.33333333333326</v>
      </c>
      <c r="K2074">
        <v>2071</v>
      </c>
      <c r="L2074">
        <f t="shared" si="32"/>
        <v>7</v>
      </c>
    </row>
    <row r="2075" spans="1:12" ht="16.5" x14ac:dyDescent="0.2">
      <c r="A2075" s="4" t="s">
        <v>94</v>
      </c>
      <c r="B2075">
        <v>2016</v>
      </c>
      <c r="C2075" s="14">
        <f>125.6*(2/3*10)</f>
        <v>837.33333333333326</v>
      </c>
      <c r="D2075" s="14">
        <f>17.2*(2/3*10)</f>
        <v>114.66666666666666</v>
      </c>
      <c r="E2075" s="14">
        <f>5639.8*(2/3*10)</f>
        <v>37598.666666666664</v>
      </c>
      <c r="F2075" s="14">
        <f>5548.7*(2/3*10)</f>
        <v>36991.333333333328</v>
      </c>
      <c r="G2075" s="14">
        <f>34.3*(2/3*10)</f>
        <v>228.66666666666663</v>
      </c>
      <c r="H2075" s="14">
        <f>20*(2/3*10)</f>
        <v>133.33333333333331</v>
      </c>
      <c r="I2075" s="14">
        <f>98.3*(2/3*10)</f>
        <v>655.33333333333326</v>
      </c>
      <c r="K2075">
        <v>2072</v>
      </c>
      <c r="L2075">
        <f t="shared" si="32"/>
        <v>0</v>
      </c>
    </row>
    <row r="2076" spans="1:12" ht="16.5" x14ac:dyDescent="0.2">
      <c r="A2076" s="4" t="s">
        <v>93</v>
      </c>
      <c r="B2076">
        <v>2009</v>
      </c>
      <c r="C2076" s="14">
        <f>155.2*(2/3*10)</f>
        <v>1034.6666666666665</v>
      </c>
      <c r="D2076" s="14">
        <f>11.5*(2/3*10)</f>
        <v>76.666666666666657</v>
      </c>
      <c r="E2076" s="14">
        <f>8806*(2/3*10)</f>
        <v>58706.666666666664</v>
      </c>
      <c r="F2076" s="14">
        <f>10383.9*(2/3*10)</f>
        <v>69225.999999999985</v>
      </c>
      <c r="G2076" s="14">
        <f>35.1*(2/3*10)</f>
        <v>234</v>
      </c>
      <c r="H2076" s="14">
        <f>24.1*(2/3*10)</f>
        <v>160.66666666666666</v>
      </c>
      <c r="I2076" s="14">
        <f>251.8*(2/3*10)</f>
        <v>1678.6666666666665</v>
      </c>
      <c r="K2076" s="15">
        <v>2073</v>
      </c>
      <c r="L2076">
        <f t="shared" si="32"/>
        <v>1</v>
      </c>
    </row>
    <row r="2077" spans="1:12" ht="16.5" x14ac:dyDescent="0.2">
      <c r="A2077" s="4" t="s">
        <v>93</v>
      </c>
      <c r="B2077">
        <v>2010</v>
      </c>
      <c r="C2077" s="14">
        <f>155.1*(2/3*10)</f>
        <v>1033.9999999999998</v>
      </c>
      <c r="D2077" s="14">
        <f>11.5*(2/3*10)</f>
        <v>76.666666666666657</v>
      </c>
      <c r="E2077" s="14">
        <f>8805.8*(2/3*10)</f>
        <v>58705.333333333321</v>
      </c>
      <c r="F2077" s="14">
        <f>10383.1*(2/3*10)</f>
        <v>69220.666666666657</v>
      </c>
      <c r="G2077" s="14">
        <f>35.7*(2/3*10)</f>
        <v>237.99999999999994</v>
      </c>
      <c r="H2077" s="14">
        <f>24.3*(2/3*10)</f>
        <v>162</v>
      </c>
      <c r="I2077" s="14">
        <f>251.7*(2/3*10)</f>
        <v>1677.9999999999998</v>
      </c>
      <c r="K2077">
        <v>2074</v>
      </c>
      <c r="L2077">
        <f t="shared" si="32"/>
        <v>2</v>
      </c>
    </row>
    <row r="2078" spans="1:12" ht="16.5" x14ac:dyDescent="0.2">
      <c r="A2078" s="4" t="s">
        <v>93</v>
      </c>
      <c r="B2078">
        <v>2011</v>
      </c>
      <c r="C2078" s="14">
        <f>154.9*(2/3*10)</f>
        <v>1032.6666666666665</v>
      </c>
      <c r="D2078" s="14">
        <f>11.5*(2/3*10)</f>
        <v>76.666666666666657</v>
      </c>
      <c r="E2078" s="14">
        <f>8805.5*(2/3*10)</f>
        <v>58703.333333333328</v>
      </c>
      <c r="F2078" s="14">
        <f>10382.9*(2/3*10)</f>
        <v>69219.333333333328</v>
      </c>
      <c r="G2078" s="14">
        <f>36.1*(2/3*10)</f>
        <v>240.6666666666666</v>
      </c>
      <c r="H2078" s="14">
        <f>24.4*(2/3*10)</f>
        <v>162.66666666666663</v>
      </c>
      <c r="I2078" s="14">
        <f>252.1*(2/3*10)</f>
        <v>1680.6666666666665</v>
      </c>
      <c r="K2078" s="15">
        <v>2075</v>
      </c>
      <c r="L2078">
        <f t="shared" si="32"/>
        <v>3</v>
      </c>
    </row>
    <row r="2079" spans="1:12" ht="16.5" x14ac:dyDescent="0.2">
      <c r="A2079" s="4" t="s">
        <v>93</v>
      </c>
      <c r="B2079">
        <v>2012</v>
      </c>
      <c r="C2079" s="14">
        <f>155*(2/3*10)</f>
        <v>1033.3333333333333</v>
      </c>
      <c r="D2079" s="14">
        <f>11.5*(2/3*10)</f>
        <v>76.666666666666657</v>
      </c>
      <c r="E2079" s="14">
        <f>8805.3*(2/3*10)</f>
        <v>58701.999999999993</v>
      </c>
      <c r="F2079" s="14">
        <f>10382.6*(2/3*10)</f>
        <v>69217.333333333328</v>
      </c>
      <c r="G2079" s="14">
        <f>36.3*(2/3*10)</f>
        <v>241.99999999999997</v>
      </c>
      <c r="H2079" s="14">
        <f>24.7*(2/3*10)</f>
        <v>164.66666666666666</v>
      </c>
      <c r="I2079" s="14">
        <f>252.1*(2/3*10)</f>
        <v>1680.6666666666665</v>
      </c>
      <c r="K2079">
        <v>2076</v>
      </c>
      <c r="L2079">
        <f t="shared" si="32"/>
        <v>4</v>
      </c>
    </row>
    <row r="2080" spans="1:12" ht="16.5" x14ac:dyDescent="0.2">
      <c r="A2080" s="4" t="s">
        <v>93</v>
      </c>
      <c r="B2080">
        <v>2013</v>
      </c>
      <c r="C2080" s="14">
        <f>154.8*(2/3*10)</f>
        <v>1032</v>
      </c>
      <c r="D2080" s="14">
        <f>11.5*(2/3*10)</f>
        <v>76.666666666666657</v>
      </c>
      <c r="E2080" s="14">
        <f>8805.2*(2/3*10)</f>
        <v>58701.333333333336</v>
      </c>
      <c r="F2080" s="14">
        <f>10382.4*(2/3*10)</f>
        <v>69215.999999999985</v>
      </c>
      <c r="G2080" s="14">
        <f>36.7*(2/3*10)</f>
        <v>244.66666666666663</v>
      </c>
      <c r="H2080" s="14">
        <f>24.7*(2/3*10)</f>
        <v>164.66666666666666</v>
      </c>
      <c r="I2080" s="14">
        <f>252.1*(2/3*10)</f>
        <v>1680.6666666666665</v>
      </c>
      <c r="K2080">
        <v>2077</v>
      </c>
      <c r="L2080">
        <f t="shared" si="32"/>
        <v>5</v>
      </c>
    </row>
    <row r="2081" spans="1:12" ht="16.5" x14ac:dyDescent="0.2">
      <c r="A2081" s="4" t="s">
        <v>93</v>
      </c>
      <c r="B2081">
        <v>2014</v>
      </c>
      <c r="C2081" s="14">
        <f>154.9*(2/3*10)</f>
        <v>1032.6666666666665</v>
      </c>
      <c r="D2081" s="14">
        <f>11.4*(2/3*10)</f>
        <v>76</v>
      </c>
      <c r="E2081" s="14">
        <f>8804*(2/3*10)</f>
        <v>58693.333333333328</v>
      </c>
      <c r="F2081" s="14">
        <f>10381.8*(2/3*10)</f>
        <v>69211.999999999985</v>
      </c>
      <c r="G2081" s="14">
        <f>37.5*(2/3*10)</f>
        <v>249.99999999999997</v>
      </c>
      <c r="H2081" s="14">
        <f>25.5*(2/3*10)</f>
        <v>169.99999999999997</v>
      </c>
      <c r="I2081" s="14">
        <f>252.2*(2/3*10)</f>
        <v>1681.333333333333</v>
      </c>
      <c r="K2081" s="15">
        <v>2078</v>
      </c>
      <c r="L2081">
        <f t="shared" si="32"/>
        <v>6</v>
      </c>
    </row>
    <row r="2082" spans="1:12" ht="16.5" x14ac:dyDescent="0.2">
      <c r="A2082" s="4" t="s">
        <v>93</v>
      </c>
      <c r="B2082">
        <v>2015</v>
      </c>
      <c r="C2082" s="14">
        <f>154.8*(2/3*10)</f>
        <v>1032</v>
      </c>
      <c r="D2082" s="14">
        <f>11.4*(2/3*10)</f>
        <v>76</v>
      </c>
      <c r="E2082" s="14">
        <f>8803.7*(2/3*10)</f>
        <v>58691.333333333336</v>
      </c>
      <c r="F2082" s="14">
        <f>10380.8*(2/3*10)</f>
        <v>69205.333333333328</v>
      </c>
      <c r="G2082" s="14">
        <f>38*(2/3*10)</f>
        <v>253.33333333333331</v>
      </c>
      <c r="H2082" s="14">
        <f>26.4*(2/3*10)</f>
        <v>175.99999999999997</v>
      </c>
      <c r="I2082" s="14">
        <f>252.2*(2/3*10)</f>
        <v>1681.333333333333</v>
      </c>
      <c r="K2082">
        <v>2079</v>
      </c>
      <c r="L2082">
        <f t="shared" si="32"/>
        <v>7</v>
      </c>
    </row>
    <row r="2083" spans="1:12" ht="16.5" x14ac:dyDescent="0.2">
      <c r="A2083" s="4" t="s">
        <v>93</v>
      </c>
      <c r="B2083">
        <v>2016</v>
      </c>
      <c r="C2083" s="14">
        <f>154.8*(2/3*10)</f>
        <v>1032</v>
      </c>
      <c r="D2083" s="14">
        <f>11.4*(2/3*10)</f>
        <v>76</v>
      </c>
      <c r="E2083" s="14">
        <f>8803.6*(2/3*10)</f>
        <v>58690.666666666664</v>
      </c>
      <c r="F2083" s="14">
        <f>10380.4*(2/3*10)</f>
        <v>69202.666666666657</v>
      </c>
      <c r="G2083" s="14">
        <f>38.5*(2/3*10)</f>
        <v>256.66666666666663</v>
      </c>
      <c r="H2083" s="14">
        <f>26.5*(2/3*10)</f>
        <v>176.66666666666666</v>
      </c>
      <c r="I2083" s="14">
        <f>252.1*(2/3*10)</f>
        <v>1680.6666666666665</v>
      </c>
      <c r="K2083" s="15">
        <v>2080</v>
      </c>
      <c r="L2083">
        <f t="shared" si="32"/>
        <v>0</v>
      </c>
    </row>
    <row r="2084" spans="1:12" ht="16.5" x14ac:dyDescent="0.2">
      <c r="A2084" s="4" t="s">
        <v>92</v>
      </c>
      <c r="B2084">
        <v>2009</v>
      </c>
      <c r="C2084" s="14">
        <f>874.3*(2/3*10)</f>
        <v>5828.6666666666661</v>
      </c>
      <c r="D2084" s="14">
        <f>164.9*(2/3*10)</f>
        <v>1099.3333333333333</v>
      </c>
      <c r="E2084" s="14">
        <f>5444.7*(2/3*10)</f>
        <v>36297.999999999993</v>
      </c>
      <c r="F2084" s="14">
        <f>1947.9*(2/3*10)</f>
        <v>12986</v>
      </c>
      <c r="G2084" s="14">
        <f>105.7*(2/3*10)</f>
        <v>704.66666666666663</v>
      </c>
      <c r="H2084" s="14">
        <f>45.4*(2/3*10)</f>
        <v>302.66666666666663</v>
      </c>
      <c r="I2084" s="14">
        <f>143.9*(2/3*10)</f>
        <v>959.33333333333326</v>
      </c>
      <c r="K2084">
        <v>2081</v>
      </c>
      <c r="L2084">
        <f t="shared" si="32"/>
        <v>1</v>
      </c>
    </row>
    <row r="2085" spans="1:12" ht="16.5" x14ac:dyDescent="0.2">
      <c r="A2085" s="4" t="s">
        <v>92</v>
      </c>
      <c r="B2085">
        <v>2010</v>
      </c>
      <c r="C2085" s="14">
        <f>874.2*(2/3*10)</f>
        <v>5828</v>
      </c>
      <c r="D2085" s="14">
        <f>164.8*(2/3*10)</f>
        <v>1098.6666666666667</v>
      </c>
      <c r="E2085" s="14">
        <f>5444.4*(2/3*10)</f>
        <v>36295.999999999993</v>
      </c>
      <c r="F2085" s="14">
        <f>1947.5*(2/3*10)</f>
        <v>12983.333333333332</v>
      </c>
      <c r="G2085" s="14">
        <f>106.3*(2/3*10)</f>
        <v>708.66666666666663</v>
      </c>
      <c r="H2085" s="14">
        <f>45.5*(2/3*10)</f>
        <v>303.33333333333331</v>
      </c>
      <c r="I2085" s="14">
        <f>144*(2/3*10)</f>
        <v>959.99999999999989</v>
      </c>
      <c r="K2085">
        <v>2082</v>
      </c>
      <c r="L2085">
        <f t="shared" si="32"/>
        <v>2</v>
      </c>
    </row>
    <row r="2086" spans="1:12" ht="16.5" x14ac:dyDescent="0.2">
      <c r="A2086" s="4" t="s">
        <v>92</v>
      </c>
      <c r="B2086">
        <v>2011</v>
      </c>
      <c r="C2086" s="14">
        <f>873.9*(2/3*10)</f>
        <v>5825.9999999999991</v>
      </c>
      <c r="D2086" s="14">
        <f>164.6*(2/3*10)</f>
        <v>1097.3333333333333</v>
      </c>
      <c r="E2086" s="14">
        <f>5443.7*(2/3*10)</f>
        <v>36291.333333333328</v>
      </c>
      <c r="F2086" s="14">
        <f>1946.7*(2/3*10)</f>
        <v>12978</v>
      </c>
      <c r="G2086" s="14">
        <f>107.1*(2/3*10)</f>
        <v>713.99999999999989</v>
      </c>
      <c r="H2086" s="14">
        <f>45.5*(2/3*10)</f>
        <v>303.33333333333331</v>
      </c>
      <c r="I2086" s="14">
        <f>145.2*(2/3*10)</f>
        <v>967.99999999999989</v>
      </c>
      <c r="K2086" s="15">
        <v>2083</v>
      </c>
      <c r="L2086">
        <f t="shared" si="32"/>
        <v>3</v>
      </c>
    </row>
    <row r="2087" spans="1:12" ht="16.5" x14ac:dyDescent="0.2">
      <c r="A2087" s="4" t="s">
        <v>92</v>
      </c>
      <c r="B2087">
        <v>2012</v>
      </c>
      <c r="C2087" s="14">
        <f>872.8*(2/3*10)</f>
        <v>5818.6666666666661</v>
      </c>
      <c r="D2087" s="14">
        <f>164.4*(2/3*10)</f>
        <v>1096</v>
      </c>
      <c r="E2087" s="14">
        <f>5443.3*(2/3*10)</f>
        <v>36288.666666666664</v>
      </c>
      <c r="F2087" s="14">
        <f>1945.5*(2/3*10)</f>
        <v>12969.999999999998</v>
      </c>
      <c r="G2087" s="14">
        <f>107.6*(2/3*10)</f>
        <v>717.33333333333337</v>
      </c>
      <c r="H2087" s="14">
        <f>45.6*(2/3*10)</f>
        <v>304</v>
      </c>
      <c r="I2087" s="14">
        <f>144.8*(2/3*10)</f>
        <v>965.33333333333337</v>
      </c>
      <c r="K2087">
        <v>2084</v>
      </c>
      <c r="L2087">
        <f t="shared" si="32"/>
        <v>4</v>
      </c>
    </row>
    <row r="2088" spans="1:12" ht="16.5" x14ac:dyDescent="0.2">
      <c r="A2088" s="4" t="s">
        <v>92</v>
      </c>
      <c r="B2088">
        <v>2013</v>
      </c>
      <c r="C2088" s="14">
        <f>872.8*(2/3*10)</f>
        <v>5818.6666666666661</v>
      </c>
      <c r="D2088" s="14">
        <f>164.2*(2/3*10)</f>
        <v>1094.6666666666665</v>
      </c>
      <c r="E2088" s="14">
        <f>5443.3*(2/3*10)</f>
        <v>36288.666666666664</v>
      </c>
      <c r="F2088" s="14">
        <f>1944.7*(2/3*10)</f>
        <v>12964.666666666666</v>
      </c>
      <c r="G2088" s="14">
        <f>108.6*(2/3*10)</f>
        <v>723.99999999999989</v>
      </c>
      <c r="H2088" s="14">
        <f>45.7*(2/3*10)</f>
        <v>304.66666666666669</v>
      </c>
      <c r="I2088" s="14">
        <f>144.8*(2/3*10)</f>
        <v>965.33333333333337</v>
      </c>
      <c r="K2088" s="15">
        <v>2085</v>
      </c>
      <c r="L2088">
        <f t="shared" si="32"/>
        <v>5</v>
      </c>
    </row>
    <row r="2089" spans="1:12" ht="16.5" x14ac:dyDescent="0.2">
      <c r="A2089" s="4" t="s">
        <v>92</v>
      </c>
      <c r="B2089">
        <v>2014</v>
      </c>
      <c r="C2089" s="14">
        <f>871*(2/3*10)</f>
        <v>5806.6666666666661</v>
      </c>
      <c r="D2089" s="14">
        <f>164*(2/3*10)</f>
        <v>1093.3333333333333</v>
      </c>
      <c r="E2089" s="14">
        <f>5440.3*(2/3*10)</f>
        <v>36268.666666666664</v>
      </c>
      <c r="F2089" s="14">
        <f>1942.6*(2/3*10)</f>
        <v>12950.666666666664</v>
      </c>
      <c r="G2089" s="14">
        <f>110.8*(2/3*10)</f>
        <v>738.66666666666652</v>
      </c>
      <c r="H2089" s="14">
        <f>45.8*(2/3*10)</f>
        <v>305.33333333333331</v>
      </c>
      <c r="I2089" s="14">
        <f>149.9*(2/3*10)</f>
        <v>999.33333333333326</v>
      </c>
      <c r="K2089">
        <v>2086</v>
      </c>
      <c r="L2089">
        <f t="shared" si="32"/>
        <v>6</v>
      </c>
    </row>
    <row r="2090" spans="1:12" ht="16.5" x14ac:dyDescent="0.2">
      <c r="A2090" s="4" t="s">
        <v>92</v>
      </c>
      <c r="B2090">
        <v>2015</v>
      </c>
      <c r="C2090" s="14">
        <f>870.8*(2/3*10)</f>
        <v>5805.3333333333321</v>
      </c>
      <c r="D2090" s="14">
        <f>163.8*(2/3*10)</f>
        <v>1092</v>
      </c>
      <c r="E2090" s="14">
        <f>5440.1*(2/3*10)</f>
        <v>36267.333333333336</v>
      </c>
      <c r="F2090" s="14">
        <f>1942.4*(2/3*10)</f>
        <v>12949.333333333332</v>
      </c>
      <c r="G2090" s="14">
        <f>112.3*(2/3*10)</f>
        <v>748.66666666666663</v>
      </c>
      <c r="H2090" s="14">
        <f>46*(2/3*10)</f>
        <v>306.66666666666663</v>
      </c>
      <c r="I2090" s="14">
        <f>149.9*(2/3*10)</f>
        <v>999.33333333333326</v>
      </c>
      <c r="K2090">
        <v>2087</v>
      </c>
      <c r="L2090">
        <f t="shared" si="32"/>
        <v>7</v>
      </c>
    </row>
    <row r="2091" spans="1:12" ht="16.5" x14ac:dyDescent="0.2">
      <c r="A2091" s="4" t="s">
        <v>92</v>
      </c>
      <c r="B2091">
        <v>2016</v>
      </c>
      <c r="C2091" s="14">
        <f>868.5*(2/3*10)</f>
        <v>5789.9999999999991</v>
      </c>
      <c r="D2091" s="14">
        <f>163.4*(2/3*10)</f>
        <v>1089.3333333333333</v>
      </c>
      <c r="E2091" s="14">
        <f>5437.1*(2/3*10)</f>
        <v>36247.333333333336</v>
      </c>
      <c r="F2091" s="14">
        <f>1937.8*(2/3*10)</f>
        <v>12918.666666666666</v>
      </c>
      <c r="G2091" s="14">
        <f>118*(2/3*10)</f>
        <v>786.66666666666652</v>
      </c>
      <c r="H2091" s="14">
        <f>46.4*(2/3*10)</f>
        <v>309.33333333333331</v>
      </c>
      <c r="I2091" s="14">
        <f>154.7*(2/3*10)</f>
        <v>1031.3333333333333</v>
      </c>
      <c r="K2091" s="15">
        <v>2088</v>
      </c>
      <c r="L2091">
        <f t="shared" si="32"/>
        <v>0</v>
      </c>
    </row>
    <row r="2092" spans="1:12" ht="16.5" x14ac:dyDescent="0.2">
      <c r="A2092" s="4" t="s">
        <v>91</v>
      </c>
      <c r="B2092">
        <v>2009</v>
      </c>
      <c r="C2092" s="14">
        <f>410.7*(2/3*10)</f>
        <v>2737.9999999999995</v>
      </c>
      <c r="D2092" s="14">
        <f>18.7*(2/3*10)</f>
        <v>124.66666666666666</v>
      </c>
      <c r="E2092" s="14">
        <f>511.9*(2/3*10)</f>
        <v>3412.6666666666661</v>
      </c>
      <c r="F2092" s="14">
        <f>87*(2/3*10)</f>
        <v>580</v>
      </c>
      <c r="G2092" s="14">
        <f>71*(2/3*10)</f>
        <v>473.33333333333331</v>
      </c>
      <c r="H2092" s="14">
        <f>16.3*(2/3*10)</f>
        <v>108.66666666666666</v>
      </c>
      <c r="I2092" s="14">
        <f>27.9*(2/3*10)</f>
        <v>185.99999999999997</v>
      </c>
      <c r="K2092">
        <v>2089</v>
      </c>
      <c r="L2092">
        <f t="shared" si="32"/>
        <v>1</v>
      </c>
    </row>
    <row r="2093" spans="1:12" ht="16.5" x14ac:dyDescent="0.2">
      <c r="A2093" s="4" t="s">
        <v>91</v>
      </c>
      <c r="B2093">
        <v>2010</v>
      </c>
      <c r="C2093" s="14">
        <f>407.2*(2/3*10)</f>
        <v>2714.6666666666665</v>
      </c>
      <c r="D2093" s="14">
        <f>18.3*(2/3*10)</f>
        <v>122</v>
      </c>
      <c r="E2093" s="14">
        <f>510.7*(2/3*10)</f>
        <v>3404.6666666666665</v>
      </c>
      <c r="F2093" s="14">
        <f>86.4*(2/3*10)</f>
        <v>576</v>
      </c>
      <c r="G2093" s="14">
        <f>75.5*(2/3*10)</f>
        <v>503.33333333333331</v>
      </c>
      <c r="H2093" s="14">
        <f>17.7*(2/3*10)</f>
        <v>117.99999999999999</v>
      </c>
      <c r="I2093" s="14">
        <f>27.9*(2/3*10)</f>
        <v>185.99999999999997</v>
      </c>
      <c r="K2093" s="15">
        <v>2090</v>
      </c>
      <c r="L2093">
        <f t="shared" si="32"/>
        <v>2</v>
      </c>
    </row>
    <row r="2094" spans="1:12" ht="16.5" x14ac:dyDescent="0.2">
      <c r="A2094" s="4" t="s">
        <v>91</v>
      </c>
      <c r="B2094">
        <v>2011</v>
      </c>
      <c r="C2094" s="14">
        <f>404.4*(2/3*10)</f>
        <v>2695.9999999999995</v>
      </c>
      <c r="D2094" s="14">
        <f>17.7*(2/3*10)</f>
        <v>117.99999999999999</v>
      </c>
      <c r="E2094" s="14">
        <f>509.2*(2/3*10)</f>
        <v>3394.6666666666665</v>
      </c>
      <c r="F2094" s="14">
        <f>86.7*(2/3*10)</f>
        <v>578</v>
      </c>
      <c r="G2094" s="14">
        <f>78.8*(2/3*10)</f>
        <v>525.33333333333326</v>
      </c>
      <c r="H2094" s="14">
        <f>19*(2/3*10)</f>
        <v>126.66666666666666</v>
      </c>
      <c r="I2094" s="14">
        <f>27.9*(2/3*10)</f>
        <v>185.99999999999997</v>
      </c>
      <c r="K2094">
        <v>2091</v>
      </c>
      <c r="L2094">
        <f t="shared" si="32"/>
        <v>3</v>
      </c>
    </row>
    <row r="2095" spans="1:12" ht="16.5" x14ac:dyDescent="0.2">
      <c r="A2095" s="4" t="s">
        <v>91</v>
      </c>
      <c r="B2095">
        <v>2012</v>
      </c>
      <c r="C2095" s="14">
        <f>400.6*(2/3*10)</f>
        <v>2670.6666666666665</v>
      </c>
      <c r="D2095" s="14">
        <f>17.3*(2/3*10)</f>
        <v>115.33333333333333</v>
      </c>
      <c r="E2095" s="14">
        <f>508*(2/3*10)</f>
        <v>3386.6666666666665</v>
      </c>
      <c r="F2095" s="14">
        <f>86.4*(2/3*10)</f>
        <v>576</v>
      </c>
      <c r="G2095" s="14">
        <f>83.8*(2/3*10)</f>
        <v>558.66666666666663</v>
      </c>
      <c r="H2095" s="14">
        <f>19.9*(2/3*10)</f>
        <v>132.66666666666666</v>
      </c>
      <c r="I2095" s="14">
        <f>27.8*(2/3*10)</f>
        <v>185.33333333333331</v>
      </c>
      <c r="K2095">
        <v>2092</v>
      </c>
      <c r="L2095">
        <f t="shared" si="32"/>
        <v>4</v>
      </c>
    </row>
    <row r="2096" spans="1:12" ht="16.5" x14ac:dyDescent="0.2">
      <c r="A2096" s="4" t="s">
        <v>91</v>
      </c>
      <c r="B2096">
        <v>2013</v>
      </c>
      <c r="C2096" s="14">
        <f>398.1*(2/3*10)</f>
        <v>2654</v>
      </c>
      <c r="D2096" s="14">
        <f>17.2*(2/3*10)</f>
        <v>114.66666666666666</v>
      </c>
      <c r="E2096" s="14">
        <f>507.3*(2/3*10)</f>
        <v>3382</v>
      </c>
      <c r="F2096" s="14">
        <f>85.9*(2/3*10)</f>
        <v>572.66666666666663</v>
      </c>
      <c r="G2096" s="14">
        <f>86.3*(2/3*10)</f>
        <v>575.33333333333337</v>
      </c>
      <c r="H2096" s="14">
        <f>21.4*(2/3*10)</f>
        <v>142.66666666666666</v>
      </c>
      <c r="I2096" s="14">
        <f>27.8*(2/3*10)</f>
        <v>185.33333333333331</v>
      </c>
      <c r="K2096" s="15">
        <v>2093</v>
      </c>
      <c r="L2096">
        <f t="shared" si="32"/>
        <v>5</v>
      </c>
    </row>
    <row r="2097" spans="1:12" ht="16.5" x14ac:dyDescent="0.2">
      <c r="A2097" s="4" t="s">
        <v>91</v>
      </c>
      <c r="B2097">
        <v>2014</v>
      </c>
      <c r="C2097" s="14">
        <f>393.3*(2/3*10)</f>
        <v>2622</v>
      </c>
      <c r="D2097" s="14">
        <f>16.9*(2/3*10)</f>
        <v>112.66666666666664</v>
      </c>
      <c r="E2097" s="14">
        <f>505.8*(2/3*10)</f>
        <v>3372</v>
      </c>
      <c r="F2097" s="14">
        <f>85.1*(2/3*10)</f>
        <v>567.33333333333326</v>
      </c>
      <c r="G2097" s="14">
        <f>90.9*(2/3*10)</f>
        <v>606</v>
      </c>
      <c r="H2097" s="14">
        <f>24.3*(2/3*10)</f>
        <v>162</v>
      </c>
      <c r="I2097" s="14">
        <f>27.8*(2/3*10)</f>
        <v>185.33333333333331</v>
      </c>
      <c r="K2097">
        <v>2094</v>
      </c>
      <c r="L2097">
        <f t="shared" si="32"/>
        <v>6</v>
      </c>
    </row>
    <row r="2098" spans="1:12" ht="16.5" x14ac:dyDescent="0.2">
      <c r="A2098" s="4" t="s">
        <v>91</v>
      </c>
      <c r="B2098">
        <v>2015</v>
      </c>
      <c r="C2098" s="14">
        <f>391.1*(2/3*10)</f>
        <v>2607.333333333333</v>
      </c>
      <c r="D2098" s="14">
        <f>16.6*(2/3*10)</f>
        <v>110.66666666666667</v>
      </c>
      <c r="E2098" s="14">
        <f>504.8*(2/3*10)</f>
        <v>3365.333333333333</v>
      </c>
      <c r="F2098" s="14">
        <f>84.4*(2/3*10)</f>
        <v>562.66666666666663</v>
      </c>
      <c r="G2098" s="14">
        <f>94.4*(2/3*10)</f>
        <v>629.33333333333337</v>
      </c>
      <c r="H2098" s="14">
        <f>25.1*(2/3*10)</f>
        <v>167.33333333333331</v>
      </c>
      <c r="I2098" s="14">
        <f>27.9*(2/3*10)</f>
        <v>185.99999999999997</v>
      </c>
      <c r="K2098" s="15">
        <v>2095</v>
      </c>
      <c r="L2098">
        <f t="shared" si="32"/>
        <v>7</v>
      </c>
    </row>
    <row r="2099" spans="1:12" ht="16.5" x14ac:dyDescent="0.2">
      <c r="A2099" s="4" t="s">
        <v>91</v>
      </c>
      <c r="B2099">
        <v>2016</v>
      </c>
      <c r="C2099" s="14">
        <f>388.2*(2/3*10)</f>
        <v>2587.9999999999995</v>
      </c>
      <c r="D2099" s="14">
        <f>16.5*(2/3*10)</f>
        <v>109.99999999999999</v>
      </c>
      <c r="E2099" s="14">
        <f>503.8*(2/3*10)</f>
        <v>3358.6666666666665</v>
      </c>
      <c r="F2099" s="14">
        <f>84.1*(2/3*10)</f>
        <v>560.66666666666663</v>
      </c>
      <c r="G2099" s="14">
        <f>97.6*(2/3*10)</f>
        <v>650.66666666666652</v>
      </c>
      <c r="H2099" s="14">
        <f>26.4*(2/3*10)</f>
        <v>175.99999999999997</v>
      </c>
      <c r="I2099" s="14">
        <f>27.8*(2/3*10)</f>
        <v>185.33333333333331</v>
      </c>
      <c r="K2099">
        <v>2096</v>
      </c>
      <c r="L2099">
        <f t="shared" si="32"/>
        <v>0</v>
      </c>
    </row>
    <row r="2100" spans="1:12" ht="16.5" x14ac:dyDescent="0.2">
      <c r="A2100" s="4" t="s">
        <v>90</v>
      </c>
      <c r="B2100">
        <v>2009</v>
      </c>
      <c r="C2100" s="14">
        <f>466.8*(2/3*10)</f>
        <v>3112</v>
      </c>
      <c r="D2100" s="14">
        <f>6.9*(2/3*10)</f>
        <v>46</v>
      </c>
      <c r="E2100" s="14">
        <f>565.5*(2/3*10)</f>
        <v>3769.9999999999995</v>
      </c>
      <c r="F2100" s="14">
        <f>162.8*(2/3*10)</f>
        <v>1085.3333333333333</v>
      </c>
      <c r="G2100" s="14">
        <f>57.6*(2/3*10)</f>
        <v>384</v>
      </c>
      <c r="H2100" s="14">
        <f>16.7*(2/3*10)</f>
        <v>111.33333333333331</v>
      </c>
      <c r="I2100" s="14">
        <f>14.3*(2/3*10)</f>
        <v>95.333333333333329</v>
      </c>
      <c r="K2100">
        <v>2097</v>
      </c>
      <c r="L2100">
        <f t="shared" si="32"/>
        <v>1</v>
      </c>
    </row>
    <row r="2101" spans="1:12" ht="16.5" x14ac:dyDescent="0.2">
      <c r="A2101" s="4" t="s">
        <v>90</v>
      </c>
      <c r="B2101">
        <v>2010</v>
      </c>
      <c r="C2101" s="14">
        <f>466*(2/3*10)</f>
        <v>3106.6666666666665</v>
      </c>
      <c r="D2101" s="14">
        <f>6.9*(2/3*10)</f>
        <v>46</v>
      </c>
      <c r="E2101" s="14">
        <f>564.6*(2/3*10)</f>
        <v>3764</v>
      </c>
      <c r="F2101" s="14">
        <f>163.2*(2/3*10)</f>
        <v>1087.9999999999998</v>
      </c>
      <c r="G2101" s="14">
        <f>58.4*(2/3*10)</f>
        <v>389.33333333333331</v>
      </c>
      <c r="H2101" s="14">
        <f>17*(2/3*10)</f>
        <v>113.33333333333333</v>
      </c>
      <c r="I2101" s="14">
        <f>14.4*(2/3*10)</f>
        <v>96</v>
      </c>
      <c r="K2101" s="15">
        <v>2098</v>
      </c>
      <c r="L2101">
        <f t="shared" si="32"/>
        <v>2</v>
      </c>
    </row>
    <row r="2102" spans="1:12" ht="16.5" x14ac:dyDescent="0.2">
      <c r="A2102" s="4" t="s">
        <v>90</v>
      </c>
      <c r="B2102">
        <v>2011</v>
      </c>
      <c r="C2102" s="14">
        <f>465.6*(2/3*10)</f>
        <v>3104</v>
      </c>
      <c r="D2102" s="14">
        <f>6.9*(2/3*10)</f>
        <v>46</v>
      </c>
      <c r="E2102" s="14">
        <f>563.4*(2/3*10)</f>
        <v>3755.9999999999995</v>
      </c>
      <c r="F2102" s="14">
        <f>162*(2/3*10)</f>
        <v>1080</v>
      </c>
      <c r="G2102" s="14">
        <f>60.3*(2/3*10)</f>
        <v>401.99999999999994</v>
      </c>
      <c r="H2102" s="14">
        <f>17.7*(2/3*10)</f>
        <v>117.99999999999999</v>
      </c>
      <c r="I2102" s="14">
        <f>15.1*(2/3*10)</f>
        <v>100.66666666666666</v>
      </c>
      <c r="K2102">
        <v>2099</v>
      </c>
      <c r="L2102">
        <f t="shared" si="32"/>
        <v>3</v>
      </c>
    </row>
    <row r="2103" spans="1:12" ht="16.5" x14ac:dyDescent="0.2">
      <c r="A2103" s="4" t="s">
        <v>90</v>
      </c>
      <c r="B2103">
        <v>2012</v>
      </c>
      <c r="C2103" s="14">
        <f>464.6*(2/3*10)</f>
        <v>3097.333333333333</v>
      </c>
      <c r="D2103" s="14">
        <f>6.9*(2/3*10)</f>
        <v>46</v>
      </c>
      <c r="E2103" s="14">
        <f>563.1*(2/3*10)</f>
        <v>3754</v>
      </c>
      <c r="F2103" s="14">
        <f>161.5*(2/3*10)</f>
        <v>1076.6666666666665</v>
      </c>
      <c r="G2103" s="14">
        <f>62.1*(2/3*10)</f>
        <v>414</v>
      </c>
      <c r="H2103" s="14">
        <f>18*(2/3*10)</f>
        <v>119.99999999999999</v>
      </c>
      <c r="I2103" s="14">
        <f>15.1*(2/3*10)</f>
        <v>100.66666666666666</v>
      </c>
      <c r="K2103" s="15">
        <v>2100</v>
      </c>
      <c r="L2103">
        <f t="shared" si="32"/>
        <v>4</v>
      </c>
    </row>
    <row r="2104" spans="1:12" ht="16.5" x14ac:dyDescent="0.2">
      <c r="A2104" s="4" t="s">
        <v>90</v>
      </c>
      <c r="B2104">
        <v>2013</v>
      </c>
      <c r="C2104" s="14">
        <f>463.4*(2/3*10)</f>
        <v>3089.333333333333</v>
      </c>
      <c r="D2104" s="14">
        <f>7.3*(2/3*10)</f>
        <v>48.666666666666664</v>
      </c>
      <c r="E2104" s="14">
        <f>562.7*(2/3*10)</f>
        <v>3751.3333333333335</v>
      </c>
      <c r="F2104" s="14">
        <f>161.3*(2/3*10)</f>
        <v>1075.3333333333333</v>
      </c>
      <c r="G2104" s="14">
        <f>63.2*(2/3*10)</f>
        <v>421.33333333333331</v>
      </c>
      <c r="H2104" s="14">
        <f>18.6*(2/3*10)</f>
        <v>124</v>
      </c>
      <c r="I2104" s="14">
        <f>15*(2/3*10)</f>
        <v>99.999999999999986</v>
      </c>
      <c r="K2104">
        <v>2101</v>
      </c>
      <c r="L2104">
        <f t="shared" si="32"/>
        <v>5</v>
      </c>
    </row>
    <row r="2105" spans="1:12" ht="16.5" x14ac:dyDescent="0.2">
      <c r="A2105" s="4" t="s">
        <v>90</v>
      </c>
      <c r="B2105">
        <v>2014</v>
      </c>
      <c r="C2105" s="14">
        <f>461.9*(2/3*10)</f>
        <v>3079.333333333333</v>
      </c>
      <c r="D2105" s="14">
        <f>7.2*(2/3*10)</f>
        <v>48</v>
      </c>
      <c r="E2105" s="14">
        <f>562.2*(2/3*10)</f>
        <v>3748</v>
      </c>
      <c r="F2105" s="14">
        <f>161*(2/3*10)</f>
        <v>1073.3333333333333</v>
      </c>
      <c r="G2105" s="14">
        <f>64.8*(2/3*10)</f>
        <v>431.99999999999994</v>
      </c>
      <c r="H2105" s="14">
        <f>19.6*(2/3*10)</f>
        <v>130.66666666666666</v>
      </c>
      <c r="I2105" s="14">
        <f>15*(2/3*10)</f>
        <v>99.999999999999986</v>
      </c>
      <c r="K2105">
        <v>2102</v>
      </c>
      <c r="L2105">
        <f t="shared" si="32"/>
        <v>6</v>
      </c>
    </row>
    <row r="2106" spans="1:12" ht="16.5" x14ac:dyDescent="0.2">
      <c r="A2106" s="4" t="s">
        <v>90</v>
      </c>
      <c r="B2106">
        <v>2015</v>
      </c>
      <c r="C2106" s="14">
        <f>461.3*(2/3*10)</f>
        <v>3075.333333333333</v>
      </c>
      <c r="D2106" s="14">
        <f>7.2*(2/3*10)</f>
        <v>48</v>
      </c>
      <c r="E2106" s="14">
        <f>561.9*(2/3*10)</f>
        <v>3745.9999999999995</v>
      </c>
      <c r="F2106" s="14">
        <f>160.8*(2/3*10)</f>
        <v>1072</v>
      </c>
      <c r="G2106" s="14">
        <f>65.8*(2/3*10)</f>
        <v>438.66666666666663</v>
      </c>
      <c r="H2106" s="14">
        <f>20*(2/3*10)</f>
        <v>133.33333333333331</v>
      </c>
      <c r="I2106" s="14">
        <f>15*(2/3*10)</f>
        <v>99.999999999999986</v>
      </c>
      <c r="K2106" s="15">
        <v>2103</v>
      </c>
      <c r="L2106">
        <f t="shared" si="32"/>
        <v>7</v>
      </c>
    </row>
    <row r="2107" spans="1:12" ht="16.5" x14ac:dyDescent="0.2">
      <c r="A2107" s="4" t="s">
        <v>90</v>
      </c>
      <c r="B2107">
        <v>2016</v>
      </c>
      <c r="C2107" s="14">
        <f>459.6*(2/3*10)</f>
        <v>3064</v>
      </c>
      <c r="D2107" s="14">
        <f>7.1*(2/3*10)</f>
        <v>47.333333333333329</v>
      </c>
      <c r="E2107" s="14">
        <f>561.1*(2/3*10)</f>
        <v>3740.6666666666665</v>
      </c>
      <c r="F2107" s="14">
        <f>160.4*(2/3*10)</f>
        <v>1069.3333333333333</v>
      </c>
      <c r="G2107" s="14">
        <f>68.2*(2/3*10)</f>
        <v>454.66666666666663</v>
      </c>
      <c r="H2107" s="14">
        <f>21*(2/3*10)</f>
        <v>140</v>
      </c>
      <c r="I2107" s="14">
        <f>15*(2/3*10)</f>
        <v>99.999999999999986</v>
      </c>
      <c r="K2107">
        <v>2104</v>
      </c>
      <c r="L2107">
        <f t="shared" si="32"/>
        <v>0</v>
      </c>
    </row>
    <row r="2108" spans="1:12" ht="16.5" x14ac:dyDescent="0.2">
      <c r="A2108" s="4" t="s">
        <v>89</v>
      </c>
      <c r="B2108">
        <v>2009</v>
      </c>
      <c r="C2108" s="14">
        <f>1271*(2/3*10)</f>
        <v>8473.3333333333321</v>
      </c>
      <c r="D2108" s="14">
        <f>41.7*(2/3*10)</f>
        <v>278</v>
      </c>
      <c r="E2108" s="14">
        <f>2457.7*(2/3*10)</f>
        <v>16384.666666666664</v>
      </c>
      <c r="F2108" s="14">
        <f>259.2*(2/3*10)</f>
        <v>1727.9999999999998</v>
      </c>
      <c r="G2108" s="14">
        <f>126.5*(2/3*10)</f>
        <v>843.33333333333337</v>
      </c>
      <c r="H2108" s="14">
        <f>35.5*(2/3*10)</f>
        <v>236.66666666666666</v>
      </c>
      <c r="I2108" s="14">
        <f>52.4*(2/3*10)</f>
        <v>349.33333333333331</v>
      </c>
      <c r="K2108" s="15">
        <v>2105</v>
      </c>
      <c r="L2108">
        <f t="shared" si="32"/>
        <v>1</v>
      </c>
    </row>
    <row r="2109" spans="1:12" ht="16.5" x14ac:dyDescent="0.2">
      <c r="A2109" s="4" t="s">
        <v>89</v>
      </c>
      <c r="B2109">
        <v>2010</v>
      </c>
      <c r="C2109" s="14">
        <f>1271.1*(2/3*10)</f>
        <v>8473.9999999999982</v>
      </c>
      <c r="D2109" s="14">
        <f>41.5*(2/3*10)</f>
        <v>276.66666666666663</v>
      </c>
      <c r="E2109" s="14">
        <f>2456.1*(2/3*10)</f>
        <v>16373.999999999998</v>
      </c>
      <c r="F2109" s="14">
        <f>257.9*(2/3*10)</f>
        <v>1719.333333333333</v>
      </c>
      <c r="G2109" s="14">
        <f>128*(2/3*10)</f>
        <v>853.33333333333326</v>
      </c>
      <c r="H2109" s="14">
        <f>36.9*(2/3*10)</f>
        <v>245.99999999999997</v>
      </c>
      <c r="I2109" s="14">
        <f>52.6*(2/3*10)</f>
        <v>350.66666666666663</v>
      </c>
      <c r="K2109">
        <v>2106</v>
      </c>
      <c r="L2109">
        <f t="shared" si="32"/>
        <v>2</v>
      </c>
    </row>
    <row r="2110" spans="1:12" ht="16.5" x14ac:dyDescent="0.2">
      <c r="A2110" s="4" t="s">
        <v>89</v>
      </c>
      <c r="B2110">
        <v>2011</v>
      </c>
      <c r="C2110" s="14">
        <f>1269.4*(2/3*10)</f>
        <v>8462.6666666666661</v>
      </c>
      <c r="D2110" s="14">
        <f>41.3*(2/3*10)</f>
        <v>275.33333333333331</v>
      </c>
      <c r="E2110" s="14">
        <f>2453.4*(2/3*10)</f>
        <v>16356</v>
      </c>
      <c r="F2110" s="14">
        <f>256*(2/3*10)</f>
        <v>1706.6666666666665</v>
      </c>
      <c r="G2110" s="14">
        <f>132*(2/3*10)</f>
        <v>879.99999999999989</v>
      </c>
      <c r="H2110" s="14">
        <f>39.8*(2/3*10)</f>
        <v>265.33333333333331</v>
      </c>
      <c r="I2110" s="14">
        <f>52.6*(2/3*10)</f>
        <v>350.66666666666663</v>
      </c>
      <c r="K2110">
        <v>2107</v>
      </c>
      <c r="L2110">
        <f t="shared" si="32"/>
        <v>3</v>
      </c>
    </row>
    <row r="2111" spans="1:12" ht="16.5" x14ac:dyDescent="0.2">
      <c r="A2111" s="4" t="s">
        <v>89</v>
      </c>
      <c r="B2111">
        <v>2012</v>
      </c>
      <c r="C2111" s="14">
        <f>1269*(2/3*10)</f>
        <v>8460</v>
      </c>
      <c r="D2111" s="14">
        <f>40.7*(2/3*10)</f>
        <v>271.33333333333331</v>
      </c>
      <c r="E2111" s="14">
        <f>2451.6*(2/3*10)</f>
        <v>16343.999999999998</v>
      </c>
      <c r="F2111" s="14">
        <f>253.4*(2/3*10)</f>
        <v>1689.3333333333333</v>
      </c>
      <c r="G2111" s="14">
        <f>136.5*(2/3*10)</f>
        <v>909.99999999999989</v>
      </c>
      <c r="H2111" s="14">
        <f>40.9*(2/3*10)</f>
        <v>272.66666666666663</v>
      </c>
      <c r="I2111" s="14">
        <f>52.6*(2/3*10)</f>
        <v>350.66666666666663</v>
      </c>
      <c r="K2111" s="15">
        <v>2108</v>
      </c>
      <c r="L2111">
        <f t="shared" si="32"/>
        <v>4</v>
      </c>
    </row>
    <row r="2112" spans="1:12" ht="16.5" x14ac:dyDescent="0.2">
      <c r="A2112" s="4" t="s">
        <v>89</v>
      </c>
      <c r="B2112">
        <v>2013</v>
      </c>
      <c r="C2112" s="14">
        <f>1268.5*(2/3*10)</f>
        <v>8456.6666666666661</v>
      </c>
      <c r="D2112" s="14">
        <f>40.5*(2/3*10)</f>
        <v>270</v>
      </c>
      <c r="E2112" s="14">
        <f>2450.4*(2/3*10)</f>
        <v>16336</v>
      </c>
      <c r="F2112" s="14">
        <f>251.3*(2/3*10)</f>
        <v>1675.3333333333333</v>
      </c>
      <c r="G2112" s="14">
        <f>139.4*(2/3*10)</f>
        <v>929.33333333333326</v>
      </c>
      <c r="H2112" s="14">
        <f>42.1*(2/3*10)</f>
        <v>280.66666666666663</v>
      </c>
      <c r="I2112" s="14">
        <f>52.6*(2/3*10)</f>
        <v>350.66666666666663</v>
      </c>
      <c r="K2112">
        <v>2109</v>
      </c>
      <c r="L2112">
        <f t="shared" ref="L2112:L2175" si="33">MOD(K2112,8)</f>
        <v>5</v>
      </c>
    </row>
    <row r="2113" spans="1:12" ht="16.5" x14ac:dyDescent="0.2">
      <c r="A2113" s="4" t="s">
        <v>89</v>
      </c>
      <c r="B2113">
        <v>2014</v>
      </c>
      <c r="C2113" s="14">
        <f>1265*(2/3*10)</f>
        <v>8433.3333333333321</v>
      </c>
      <c r="D2113" s="14">
        <f>40.2*(2/3*10)</f>
        <v>268</v>
      </c>
      <c r="E2113" s="14">
        <f>2448.3*(2/3*10)</f>
        <v>16322</v>
      </c>
      <c r="F2113" s="14">
        <f>250.1*(2/3*10)</f>
        <v>1667.3333333333333</v>
      </c>
      <c r="G2113" s="14">
        <f>144.5*(2/3*10)</f>
        <v>963.33333333333326</v>
      </c>
      <c r="H2113" s="14">
        <f>44.9*(2/3*10)</f>
        <v>299.33333333333331</v>
      </c>
      <c r="I2113" s="14">
        <f>52.5*(2/3*10)</f>
        <v>349.99999999999994</v>
      </c>
      <c r="K2113" s="15">
        <v>2110</v>
      </c>
      <c r="L2113">
        <f t="shared" si="33"/>
        <v>6</v>
      </c>
    </row>
    <row r="2114" spans="1:12" ht="16.5" x14ac:dyDescent="0.2">
      <c r="A2114" s="4" t="s">
        <v>89</v>
      </c>
      <c r="B2114">
        <v>2015</v>
      </c>
      <c r="C2114" s="14">
        <f>1264.1*(2/3*10)</f>
        <v>8427.3333333333321</v>
      </c>
      <c r="D2114" s="14">
        <f>40*(2/3*10)</f>
        <v>266.66666666666663</v>
      </c>
      <c r="E2114" s="14">
        <f>2447.2*(2/3*10)</f>
        <v>16314.666666666664</v>
      </c>
      <c r="F2114" s="14">
        <f>248.2*(2/3*10)</f>
        <v>1654.6666666666665</v>
      </c>
      <c r="G2114" s="14">
        <f>148.2*(2/3*10)</f>
        <v>987.99999999999989</v>
      </c>
      <c r="H2114" s="14">
        <f>45.6*(2/3*10)</f>
        <v>304</v>
      </c>
      <c r="I2114" s="14">
        <f>52.4*(2/3*10)</f>
        <v>349.33333333333331</v>
      </c>
      <c r="K2114">
        <v>2111</v>
      </c>
      <c r="L2114">
        <f t="shared" si="33"/>
        <v>7</v>
      </c>
    </row>
    <row r="2115" spans="1:12" ht="16.5" x14ac:dyDescent="0.2">
      <c r="A2115" s="4" t="s">
        <v>89</v>
      </c>
      <c r="B2115">
        <v>2016</v>
      </c>
      <c r="C2115" s="14">
        <f>1260.9*(2/3*10)</f>
        <v>8406</v>
      </c>
      <c r="D2115" s="14">
        <f>39.7*(2/3*10)</f>
        <v>264.66666666666669</v>
      </c>
      <c r="E2115" s="14">
        <f>2445.6*(2/3*10)</f>
        <v>16303.999999999998</v>
      </c>
      <c r="F2115" s="14">
        <f>247.5*(2/3*10)</f>
        <v>1649.9999999999998</v>
      </c>
      <c r="G2115" s="14">
        <f>152.6*(2/3*10)</f>
        <v>1017.3333333333333</v>
      </c>
      <c r="H2115" s="14">
        <f>47.6*(2/3*10)</f>
        <v>317.33333333333331</v>
      </c>
      <c r="I2115" s="14">
        <f>52.6*(2/3*10)</f>
        <v>350.66666666666663</v>
      </c>
      <c r="K2115">
        <v>2112</v>
      </c>
      <c r="L2115">
        <f t="shared" si="33"/>
        <v>0</v>
      </c>
    </row>
    <row r="2116" spans="1:12" ht="16.5" x14ac:dyDescent="0.2">
      <c r="A2116" s="4" t="s">
        <v>88</v>
      </c>
      <c r="B2116">
        <v>2009</v>
      </c>
      <c r="C2116" s="14">
        <f>443.1*(2/3*10)</f>
        <v>2954</v>
      </c>
      <c r="D2116" s="14">
        <f>10.9*(2/3*10)</f>
        <v>72.666666666666657</v>
      </c>
      <c r="E2116" s="14">
        <f>476.7*(2/3*10)</f>
        <v>3177.9999999999995</v>
      </c>
      <c r="F2116" s="14">
        <f>158.2*(2/3*10)</f>
        <v>1054.6666666666665</v>
      </c>
      <c r="G2116" s="14">
        <f>35.1*(2/3*10)</f>
        <v>234</v>
      </c>
      <c r="H2116" s="14">
        <f>12*(2/3*10)</f>
        <v>80</v>
      </c>
      <c r="I2116" s="14">
        <f>20.7*(2/3*10)</f>
        <v>137.99999999999997</v>
      </c>
      <c r="K2116" s="15">
        <v>2113</v>
      </c>
      <c r="L2116">
        <f t="shared" si="33"/>
        <v>1</v>
      </c>
    </row>
    <row r="2117" spans="1:12" ht="16.5" x14ac:dyDescent="0.2">
      <c r="A2117" s="4" t="s">
        <v>88</v>
      </c>
      <c r="B2117">
        <v>2010</v>
      </c>
      <c r="C2117" s="14">
        <f>443.5*(2/3*10)</f>
        <v>2956.6666666666665</v>
      </c>
      <c r="D2117" s="14">
        <f>10.9*(2/3*10)</f>
        <v>72.666666666666657</v>
      </c>
      <c r="E2117" s="14">
        <f>476.5*(2/3*10)</f>
        <v>3176.6666666666665</v>
      </c>
      <c r="F2117" s="14">
        <f>156.8*(2/3*10)</f>
        <v>1045.3333333333333</v>
      </c>
      <c r="G2117" s="14">
        <f>35.5*(2/3*10)</f>
        <v>236.66666666666666</v>
      </c>
      <c r="H2117" s="14">
        <f>12.6*(2/3*10)</f>
        <v>83.999999999999986</v>
      </c>
      <c r="I2117" s="14">
        <f>20.7*(2/3*10)</f>
        <v>137.99999999999997</v>
      </c>
      <c r="K2117">
        <v>2114</v>
      </c>
      <c r="L2117">
        <f t="shared" si="33"/>
        <v>2</v>
      </c>
    </row>
    <row r="2118" spans="1:12" ht="16.5" x14ac:dyDescent="0.2">
      <c r="A2118" s="4" t="s">
        <v>88</v>
      </c>
      <c r="B2118">
        <v>2011</v>
      </c>
      <c r="C2118" s="14">
        <f>444.6*(2/3*10)</f>
        <v>2964</v>
      </c>
      <c r="D2118" s="14">
        <f>10.9*(2/3*10)</f>
        <v>72.666666666666657</v>
      </c>
      <c r="E2118" s="14">
        <f>472.9*(2/3*10)</f>
        <v>3152.6666666666661</v>
      </c>
      <c r="F2118" s="14">
        <f>157.9*(2/3*10)</f>
        <v>1052.6666666666665</v>
      </c>
      <c r="G2118" s="14">
        <f>36.3*(2/3*10)</f>
        <v>241.99999999999997</v>
      </c>
      <c r="H2118" s="14">
        <f>13.2*(2/3*10)</f>
        <v>87.999999999999986</v>
      </c>
      <c r="I2118" s="14">
        <f>20.5*(2/3*10)</f>
        <v>136.66666666666666</v>
      </c>
      <c r="K2118" s="15">
        <v>2115</v>
      </c>
      <c r="L2118">
        <f t="shared" si="33"/>
        <v>3</v>
      </c>
    </row>
    <row r="2119" spans="1:12" ht="16.5" x14ac:dyDescent="0.2">
      <c r="A2119" s="4" t="s">
        <v>88</v>
      </c>
      <c r="B2119">
        <v>2012</v>
      </c>
      <c r="C2119" s="14">
        <f>444*(2/3*10)</f>
        <v>2959.9999999999995</v>
      </c>
      <c r="D2119" s="14">
        <f>10.7*(2/3*10)</f>
        <v>71.333333333333329</v>
      </c>
      <c r="E2119" s="14">
        <f>471.3*(2/3*10)</f>
        <v>3142</v>
      </c>
      <c r="F2119" s="14">
        <f>157*(2/3*10)</f>
        <v>1046.6666666666665</v>
      </c>
      <c r="G2119" s="14">
        <f>38.7*(2/3*10)</f>
        <v>257.99999999999994</v>
      </c>
      <c r="H2119" s="14">
        <f>14.1*(2/3*10)</f>
        <v>93.999999999999986</v>
      </c>
      <c r="I2119" s="14">
        <f>20.5*(2/3*10)</f>
        <v>136.66666666666666</v>
      </c>
      <c r="K2119">
        <v>2116</v>
      </c>
      <c r="L2119">
        <f t="shared" si="33"/>
        <v>4</v>
      </c>
    </row>
    <row r="2120" spans="1:12" ht="16.5" x14ac:dyDescent="0.2">
      <c r="A2120" s="4" t="s">
        <v>88</v>
      </c>
      <c r="B2120">
        <v>2013</v>
      </c>
      <c r="C2120" s="14">
        <f>445.1*(2/3*10)</f>
        <v>2967.333333333333</v>
      </c>
      <c r="D2120" s="14">
        <f>10.7*(2/3*10)</f>
        <v>71.333333333333329</v>
      </c>
      <c r="E2120" s="14">
        <f>470.6*(2/3*10)</f>
        <v>3137.333333333333</v>
      </c>
      <c r="F2120" s="14">
        <f>155.3*(2/3*10)</f>
        <v>1035.3333333333333</v>
      </c>
      <c r="G2120" s="14">
        <f>40.4*(2/3*10)</f>
        <v>269.33333333333331</v>
      </c>
      <c r="H2120" s="14">
        <f>14.5*(2/3*10)</f>
        <v>96.666666666666657</v>
      </c>
      <c r="I2120" s="14">
        <f>20.5*(2/3*10)</f>
        <v>136.66666666666666</v>
      </c>
      <c r="K2120">
        <v>2117</v>
      </c>
      <c r="L2120">
        <f t="shared" si="33"/>
        <v>5</v>
      </c>
    </row>
    <row r="2121" spans="1:12" ht="16.5" x14ac:dyDescent="0.2">
      <c r="A2121" s="4" t="s">
        <v>88</v>
      </c>
      <c r="B2121">
        <v>2014</v>
      </c>
      <c r="C2121" s="14">
        <f>443.6*(2/3*10)</f>
        <v>2957.333333333333</v>
      </c>
      <c r="D2121" s="14">
        <f>10.5*(2/3*10)</f>
        <v>70</v>
      </c>
      <c r="E2121" s="14">
        <f>470.2*(2/3*10)</f>
        <v>3134.6666666666665</v>
      </c>
      <c r="F2121" s="14">
        <f>153.4*(2/3*10)</f>
        <v>1022.6666666666666</v>
      </c>
      <c r="G2121" s="14">
        <f>43.2*(2/3*10)</f>
        <v>288</v>
      </c>
      <c r="H2121" s="14">
        <f>15.8*(2/3*10)</f>
        <v>105.33333333333333</v>
      </c>
      <c r="I2121" s="14">
        <f>20.6*(2/3*10)</f>
        <v>137.33333333333334</v>
      </c>
      <c r="K2121" s="15">
        <v>2118</v>
      </c>
      <c r="L2121">
        <f t="shared" si="33"/>
        <v>6</v>
      </c>
    </row>
    <row r="2122" spans="1:12" ht="16.5" x14ac:dyDescent="0.2">
      <c r="A2122" s="4" t="s">
        <v>88</v>
      </c>
      <c r="B2122">
        <v>2015</v>
      </c>
      <c r="C2122" s="14">
        <f>442*(2/3*10)</f>
        <v>2946.6666666666665</v>
      </c>
      <c r="D2122" s="14">
        <f>10.5*(2/3*10)</f>
        <v>70</v>
      </c>
      <c r="E2122" s="14">
        <f>470*(2/3*10)</f>
        <v>3133.333333333333</v>
      </c>
      <c r="F2122" s="14">
        <f>152.8*(2/3*10)</f>
        <v>1018.6666666666666</v>
      </c>
      <c r="G2122" s="14">
        <f>45.6*(2/3*10)</f>
        <v>304</v>
      </c>
      <c r="H2122" s="14">
        <f>16.3*(2/3*10)</f>
        <v>108.66666666666666</v>
      </c>
      <c r="I2122" s="14">
        <f>20.6*(2/3*10)</f>
        <v>137.33333333333334</v>
      </c>
      <c r="K2122">
        <v>2119</v>
      </c>
      <c r="L2122">
        <f t="shared" si="33"/>
        <v>7</v>
      </c>
    </row>
    <row r="2123" spans="1:12" ht="16.5" x14ac:dyDescent="0.2">
      <c r="A2123" s="4" t="s">
        <v>88</v>
      </c>
      <c r="B2123">
        <v>2016</v>
      </c>
      <c r="C2123" s="14">
        <f>440.8*(2/3*10)</f>
        <v>2938.6666666666665</v>
      </c>
      <c r="D2123" s="14">
        <f>10.4*(2/3*10)</f>
        <v>69.333333333333329</v>
      </c>
      <c r="E2123" s="14">
        <f>469.7*(2/3*10)</f>
        <v>3131.333333333333</v>
      </c>
      <c r="F2123" s="14">
        <f>152.1*(2/3*10)</f>
        <v>1013.9999999999999</v>
      </c>
      <c r="G2123" s="14">
        <f>47.5*(2/3*10)</f>
        <v>316.66666666666663</v>
      </c>
      <c r="H2123" s="14">
        <f>16.9*(2/3*10)</f>
        <v>112.66666666666664</v>
      </c>
      <c r="I2123" s="14">
        <f>20.5*(2/3*10)</f>
        <v>136.66666666666666</v>
      </c>
      <c r="K2123" s="15">
        <v>2120</v>
      </c>
      <c r="L2123">
        <f t="shared" si="33"/>
        <v>0</v>
      </c>
    </row>
    <row r="2124" spans="1:12" ht="16.5" x14ac:dyDescent="0.2">
      <c r="A2124" s="4" t="s">
        <v>87</v>
      </c>
      <c r="B2124">
        <v>2011</v>
      </c>
      <c r="C2124" s="14">
        <f>720.9*(2/3*10)</f>
        <v>4805.9999999999991</v>
      </c>
      <c r="D2124" s="14">
        <f>19.6*(2/3*10)</f>
        <v>130.66666666666666</v>
      </c>
      <c r="E2124" s="14">
        <f>1377.2*(2/3*10)</f>
        <v>9181.3333333333321</v>
      </c>
      <c r="F2124" s="14">
        <f>282.2*(2/3*10)</f>
        <v>1881.333333333333</v>
      </c>
      <c r="G2124" s="14">
        <f>74*(2/3*10)</f>
        <v>493.33333333333331</v>
      </c>
      <c r="H2124" s="14">
        <f>24.2*(2/3*10)</f>
        <v>161.33333333333331</v>
      </c>
      <c r="I2124" s="14">
        <f>35.8*(2/3*10)</f>
        <v>238.66666666666663</v>
      </c>
      <c r="K2124">
        <v>2121</v>
      </c>
      <c r="L2124">
        <f t="shared" si="33"/>
        <v>1</v>
      </c>
    </row>
    <row r="2125" spans="1:12" ht="16.5" x14ac:dyDescent="0.2">
      <c r="A2125" s="4" t="s">
        <v>87</v>
      </c>
      <c r="B2125">
        <v>2012</v>
      </c>
      <c r="C2125" s="14">
        <f>729.3*(2/3*10)</f>
        <v>4861.9999999999991</v>
      </c>
      <c r="D2125" s="14">
        <f>19.4*(2/3*10)</f>
        <v>129.33333333333331</v>
      </c>
      <c r="E2125" s="14">
        <f>1371.4*(2/3*10)</f>
        <v>9142.6666666666661</v>
      </c>
      <c r="F2125" s="14">
        <f>275.5*(2/3*10)</f>
        <v>1836.6666666666665</v>
      </c>
      <c r="G2125" s="14">
        <f>77.1*(2/3*10)</f>
        <v>513.99999999999989</v>
      </c>
      <c r="H2125" s="14">
        <f>24.4*(2/3*10)</f>
        <v>162.66666666666663</v>
      </c>
      <c r="I2125" s="14">
        <f>35.8*(2/3*10)</f>
        <v>238.66666666666663</v>
      </c>
      <c r="K2125">
        <v>2122</v>
      </c>
      <c r="L2125">
        <f t="shared" si="33"/>
        <v>2</v>
      </c>
    </row>
    <row r="2126" spans="1:12" ht="16.5" x14ac:dyDescent="0.2">
      <c r="A2126" s="4" t="s">
        <v>87</v>
      </c>
      <c r="B2126">
        <v>2013</v>
      </c>
      <c r="C2126" s="14">
        <f>729.3*(2/3*10)</f>
        <v>4861.9999999999991</v>
      </c>
      <c r="D2126" s="14">
        <f>19.3*(2/3*10)</f>
        <v>128.66666666666666</v>
      </c>
      <c r="E2126" s="14">
        <f>1370.1*(2/3*10)</f>
        <v>9133.9999999999982</v>
      </c>
      <c r="F2126" s="14">
        <f>274*(2/3*10)</f>
        <v>1826.6666666666665</v>
      </c>
      <c r="G2126" s="14">
        <f>79.2*(2/3*10)</f>
        <v>528</v>
      </c>
      <c r="H2126" s="14">
        <f>25*(2/3*10)</f>
        <v>166.66666666666666</v>
      </c>
      <c r="I2126" s="14">
        <f>35.7*(2/3*10)</f>
        <v>238</v>
      </c>
      <c r="K2126" s="15">
        <v>2123</v>
      </c>
      <c r="L2126">
        <f t="shared" si="33"/>
        <v>3</v>
      </c>
    </row>
    <row r="2127" spans="1:12" ht="16.5" x14ac:dyDescent="0.2">
      <c r="A2127" s="4" t="s">
        <v>87</v>
      </c>
      <c r="B2127">
        <v>2014</v>
      </c>
      <c r="C2127" s="14">
        <f>728.4*(2/3*10)</f>
        <v>4855.9999999999991</v>
      </c>
      <c r="D2127" s="14">
        <f>19.1*(2/3*10)</f>
        <v>127.33333333333333</v>
      </c>
      <c r="E2127" s="14">
        <f>1368.1*(2/3*10)</f>
        <v>9120.6666666666661</v>
      </c>
      <c r="F2127" s="14">
        <f>272.2*(2/3*10)</f>
        <v>1814.6666666666665</v>
      </c>
      <c r="G2127" s="14">
        <f>82.3*(2/3*10)</f>
        <v>548.66666666666674</v>
      </c>
      <c r="H2127" s="14">
        <f>27*(2/3*10)</f>
        <v>179.99999999999997</v>
      </c>
      <c r="I2127" s="14">
        <f>35.7*(2/3*10)</f>
        <v>238</v>
      </c>
      <c r="K2127">
        <v>2124</v>
      </c>
      <c r="L2127">
        <f t="shared" si="33"/>
        <v>4</v>
      </c>
    </row>
    <row r="2128" spans="1:12" ht="16.5" x14ac:dyDescent="0.2">
      <c r="A2128" s="4" t="s">
        <v>87</v>
      </c>
      <c r="B2128">
        <v>2015</v>
      </c>
      <c r="C2128" s="14">
        <f>727.5*(2/3*10)</f>
        <v>4850</v>
      </c>
      <c r="D2128" s="14">
        <f>19*(2/3*10)</f>
        <v>126.66666666666666</v>
      </c>
      <c r="E2128" s="14">
        <f>1367.3*(2/3*10)</f>
        <v>9115.3333333333321</v>
      </c>
      <c r="F2128" s="14">
        <f>270.8*(2/3*10)</f>
        <v>1805.3333333333333</v>
      </c>
      <c r="G2128" s="14">
        <f>85.2*(2/3*10)</f>
        <v>568</v>
      </c>
      <c r="H2128" s="14">
        <f>27.4*(2/3*10)</f>
        <v>182.66666666666663</v>
      </c>
      <c r="I2128" s="14">
        <f>35.6*(2/3*10)</f>
        <v>237.33333333333331</v>
      </c>
      <c r="K2128" s="15">
        <v>2125</v>
      </c>
      <c r="L2128">
        <f t="shared" si="33"/>
        <v>5</v>
      </c>
    </row>
    <row r="2129" spans="1:12" ht="16.5" x14ac:dyDescent="0.2">
      <c r="A2129" s="4" t="s">
        <v>87</v>
      </c>
      <c r="B2129">
        <v>2016</v>
      </c>
      <c r="C2129" s="14">
        <f>725.3*(2/3*10)</f>
        <v>4835.333333333333</v>
      </c>
      <c r="D2129" s="14">
        <f>18.8*(2/3*10)</f>
        <v>125.33333333333333</v>
      </c>
      <c r="E2129" s="14">
        <f>1366.2*(2/3*10)</f>
        <v>9108</v>
      </c>
      <c r="F2129" s="14">
        <f>269.9*(2/3*10)</f>
        <v>1799.333333333333</v>
      </c>
      <c r="G2129" s="14">
        <f>88.7*(2/3*10)</f>
        <v>591.33333333333337</v>
      </c>
      <c r="H2129" s="14">
        <f>27.9*(2/3*10)</f>
        <v>185.99999999999997</v>
      </c>
      <c r="I2129" s="14">
        <f>35.5*(2/3*10)</f>
        <v>236.66666666666666</v>
      </c>
      <c r="K2129">
        <v>2126</v>
      </c>
      <c r="L2129">
        <f t="shared" si="33"/>
        <v>6</v>
      </c>
    </row>
    <row r="2130" spans="1:12" ht="16.5" x14ac:dyDescent="0.2">
      <c r="A2130" s="4" t="s">
        <v>86</v>
      </c>
      <c r="B2130">
        <v>2009</v>
      </c>
      <c r="C2130" s="14">
        <f>714.3*(2/3*10)</f>
        <v>4761.9999999999991</v>
      </c>
      <c r="D2130" s="14">
        <f>19.9*(2/3*10)</f>
        <v>132.66666666666666</v>
      </c>
      <c r="E2130" s="14">
        <f>1389.9*(2/3*10)</f>
        <v>9266</v>
      </c>
      <c r="F2130" s="14">
        <f>283.7*(2/3*10)</f>
        <v>1891.333333333333</v>
      </c>
      <c r="G2130" s="14">
        <f>70.5*(2/3*10)</f>
        <v>469.99999999999994</v>
      </c>
      <c r="H2130" s="14">
        <f>20.8*(2/3*10)</f>
        <v>138.66666666666666</v>
      </c>
      <c r="I2130" s="14">
        <f>35.6*(2/3*10)</f>
        <v>237.33333333333331</v>
      </c>
      <c r="K2130">
        <v>2127</v>
      </c>
      <c r="L2130">
        <f t="shared" si="33"/>
        <v>7</v>
      </c>
    </row>
    <row r="2131" spans="1:12" ht="16.5" x14ac:dyDescent="0.2">
      <c r="A2131" s="4" t="s">
        <v>86</v>
      </c>
      <c r="B2131">
        <v>2010</v>
      </c>
      <c r="C2131" s="14">
        <f>718.6*(2/3*10)</f>
        <v>4790.6666666666661</v>
      </c>
      <c r="D2131" s="14">
        <f>19.7*(2/3*10)</f>
        <v>131.33333333333331</v>
      </c>
      <c r="E2131" s="14">
        <f>1382.9*(2/3*10)</f>
        <v>9219.3333333333339</v>
      </c>
      <c r="F2131" s="14">
        <f>284.3*(2/3*10)</f>
        <v>1895.3333333333333</v>
      </c>
      <c r="G2131" s="14">
        <f>71.4*(2/3*10)</f>
        <v>476</v>
      </c>
      <c r="H2131" s="14">
        <f>21.8*(2/3*10)</f>
        <v>145.33333333333331</v>
      </c>
      <c r="I2131" s="14">
        <f>35.7*(2/3*10)</f>
        <v>238</v>
      </c>
      <c r="K2131" s="15">
        <v>2128</v>
      </c>
      <c r="L2131">
        <f t="shared" si="33"/>
        <v>0</v>
      </c>
    </row>
    <row r="2132" spans="1:12" ht="16.5" x14ac:dyDescent="0.2">
      <c r="A2132" s="4" t="s">
        <v>85</v>
      </c>
      <c r="B2132">
        <v>2009</v>
      </c>
      <c r="C2132" s="14">
        <f>680.8*(2/3*10)</f>
        <v>4538.6666666666661</v>
      </c>
      <c r="D2132" s="14">
        <f>46.9*(2/3*10)</f>
        <v>312.66666666666663</v>
      </c>
      <c r="E2132" s="14">
        <f>1047.5*(2/3*10)</f>
        <v>6983.333333333333</v>
      </c>
      <c r="F2132" s="14">
        <f>398.3*(2/3*10)</f>
        <v>2655.333333333333</v>
      </c>
      <c r="G2132" s="14">
        <f>62.6*(2/3*10)</f>
        <v>417.33333333333326</v>
      </c>
      <c r="H2132" s="14">
        <f>21.5*(2/3*10)</f>
        <v>143.33333333333331</v>
      </c>
      <c r="I2132" s="14">
        <f>49.7*(2/3*10)</f>
        <v>331.33333333333331</v>
      </c>
      <c r="K2132">
        <v>2129</v>
      </c>
      <c r="L2132">
        <f t="shared" si="33"/>
        <v>1</v>
      </c>
    </row>
    <row r="2133" spans="1:12" ht="16.5" x14ac:dyDescent="0.2">
      <c r="A2133" s="4" t="s">
        <v>85</v>
      </c>
      <c r="B2133">
        <v>2010</v>
      </c>
      <c r="C2133" s="14">
        <f>681.5*(2/3*10)</f>
        <v>4543.333333333333</v>
      </c>
      <c r="D2133" s="14">
        <f>46.7*(2/3*10)</f>
        <v>311.33333333333331</v>
      </c>
      <c r="E2133" s="14">
        <f>1047*(2/3*10)</f>
        <v>6979.9999999999991</v>
      </c>
      <c r="F2133" s="14">
        <f>396.4*(2/3*10)</f>
        <v>2642.6666666666661</v>
      </c>
      <c r="G2133" s="14">
        <f>63.4*(2/3*10)</f>
        <v>422.66666666666663</v>
      </c>
      <c r="H2133" s="14">
        <f>22.7*(2/3*10)</f>
        <v>151.33333333333331</v>
      </c>
      <c r="I2133" s="14">
        <f>49.8*(2/3*10)</f>
        <v>331.99999999999994</v>
      </c>
      <c r="K2133" s="15">
        <v>2130</v>
      </c>
      <c r="L2133">
        <f t="shared" si="33"/>
        <v>2</v>
      </c>
    </row>
    <row r="2134" spans="1:12" ht="16.5" x14ac:dyDescent="0.2">
      <c r="A2134" s="4" t="s">
        <v>85</v>
      </c>
      <c r="B2134">
        <v>2011</v>
      </c>
      <c r="C2134" s="14">
        <f>678.9*(2/3*10)</f>
        <v>4525.9999999999991</v>
      </c>
      <c r="D2134" s="14">
        <f>46.4*(2/3*10)</f>
        <v>309.33333333333331</v>
      </c>
      <c r="E2134" s="14">
        <f>1046*(2/3*10)</f>
        <v>6973.333333333333</v>
      </c>
      <c r="F2134" s="14">
        <f>393.5*(2/3*10)</f>
        <v>2623.333333333333</v>
      </c>
      <c r="G2134" s="14">
        <f>66.1*(2/3*10)</f>
        <v>440.66666666666669</v>
      </c>
      <c r="H2134" s="14">
        <f>23.2*(2/3*10)</f>
        <v>154.66666666666666</v>
      </c>
      <c r="I2134" s="14">
        <f>52.4*(2/3*10)</f>
        <v>349.33333333333331</v>
      </c>
      <c r="K2134">
        <v>2131</v>
      </c>
      <c r="L2134">
        <f t="shared" si="33"/>
        <v>3</v>
      </c>
    </row>
    <row r="2135" spans="1:12" ht="16.5" x14ac:dyDescent="0.2">
      <c r="A2135" s="4" t="s">
        <v>85</v>
      </c>
      <c r="B2135">
        <v>2012</v>
      </c>
      <c r="C2135" s="14">
        <f>667.2*(2/3*10)</f>
        <v>4448</v>
      </c>
      <c r="D2135" s="14">
        <f>59.1*(2/3*10)</f>
        <v>394</v>
      </c>
      <c r="E2135" s="14">
        <f>1045.6*(2/3*10)</f>
        <v>6970.6666666666652</v>
      </c>
      <c r="F2135" s="14">
        <f>391.6*(2/3*10)</f>
        <v>2610.6666666666665</v>
      </c>
      <c r="G2135" s="14">
        <f>68.1*(2/3*10)</f>
        <v>454</v>
      </c>
      <c r="H2135" s="14">
        <f>24*(2/3*10)</f>
        <v>160</v>
      </c>
      <c r="I2135" s="14">
        <f>52.3*(2/3*10)</f>
        <v>348.66666666666663</v>
      </c>
      <c r="K2135">
        <v>2132</v>
      </c>
      <c r="L2135">
        <f t="shared" si="33"/>
        <v>4</v>
      </c>
    </row>
    <row r="2136" spans="1:12" ht="16.5" x14ac:dyDescent="0.2">
      <c r="A2136" s="4" t="s">
        <v>85</v>
      </c>
      <c r="B2136">
        <v>2013</v>
      </c>
      <c r="C2136" s="14">
        <f>665.9*(2/3*10)</f>
        <v>4439.333333333333</v>
      </c>
      <c r="D2136" s="14">
        <f>62.8*(2/3*10)</f>
        <v>418.66666666666663</v>
      </c>
      <c r="E2136" s="14">
        <f>1045.4*(2/3*10)</f>
        <v>6969.333333333333</v>
      </c>
      <c r="F2136" s="14">
        <f>388*(2/3*10)</f>
        <v>2586.6666666666665</v>
      </c>
      <c r="G2136" s="14">
        <f>69.1*(2/3*10)</f>
        <v>460.66666666666669</v>
      </c>
      <c r="H2136" s="14">
        <f>24.7*(2/3*10)</f>
        <v>164.66666666666666</v>
      </c>
      <c r="I2136" s="14">
        <f>52.3*(2/3*10)</f>
        <v>348.66666666666663</v>
      </c>
      <c r="K2136" s="15">
        <v>2133</v>
      </c>
      <c r="L2136">
        <f t="shared" si="33"/>
        <v>5</v>
      </c>
    </row>
    <row r="2137" spans="1:12" ht="16.5" x14ac:dyDescent="0.2">
      <c r="A2137" s="4" t="s">
        <v>85</v>
      </c>
      <c r="B2137">
        <v>2014</v>
      </c>
      <c r="C2137" s="14">
        <f>667.8*(2/3*10)</f>
        <v>4451.9999999999991</v>
      </c>
      <c r="D2137" s="14">
        <f>61.8*(2/3*10)</f>
        <v>411.99999999999994</v>
      </c>
      <c r="E2137" s="14">
        <f>1044.3*(2/3*10)</f>
        <v>6961.9999999999991</v>
      </c>
      <c r="F2137" s="14">
        <f>385.1*(2/3*10)</f>
        <v>2567.333333333333</v>
      </c>
      <c r="G2137" s="14">
        <f>71.3*(2/3*10)</f>
        <v>475.33333333333326</v>
      </c>
      <c r="H2137" s="14">
        <f>26.3*(2/3*10)</f>
        <v>175.33333333333331</v>
      </c>
      <c r="I2137" s="14">
        <f>52.2*(2/3*10)</f>
        <v>348</v>
      </c>
      <c r="K2137">
        <v>2134</v>
      </c>
      <c r="L2137">
        <f t="shared" si="33"/>
        <v>6</v>
      </c>
    </row>
    <row r="2138" spans="1:12" ht="16.5" x14ac:dyDescent="0.2">
      <c r="A2138" s="4" t="s">
        <v>85</v>
      </c>
      <c r="B2138">
        <v>2015</v>
      </c>
      <c r="C2138" s="14">
        <f>669.5*(2/3*10)</f>
        <v>4463.333333333333</v>
      </c>
      <c r="D2138" s="14">
        <f>61.3*(2/3*10)</f>
        <v>408.66666666666663</v>
      </c>
      <c r="E2138" s="14">
        <f>1044.1*(2/3*10)</f>
        <v>6960.6666666666652</v>
      </c>
      <c r="F2138" s="14">
        <f>383*(2/3*10)</f>
        <v>2553.333333333333</v>
      </c>
      <c r="G2138" s="14">
        <f>73*(2/3*10)</f>
        <v>486.66666666666663</v>
      </c>
      <c r="H2138" s="14">
        <f>26.5*(2/3*10)</f>
        <v>176.66666666666666</v>
      </c>
      <c r="I2138" s="14">
        <f>52*(2/3*10)</f>
        <v>346.66666666666663</v>
      </c>
      <c r="K2138" s="15">
        <v>2135</v>
      </c>
      <c r="L2138">
        <f t="shared" si="33"/>
        <v>7</v>
      </c>
    </row>
    <row r="2139" spans="1:12" ht="16.5" x14ac:dyDescent="0.2">
      <c r="A2139" s="4" t="s">
        <v>85</v>
      </c>
      <c r="B2139">
        <v>2016</v>
      </c>
      <c r="C2139" s="14">
        <f>671*(2/3*10)</f>
        <v>4473.333333333333</v>
      </c>
      <c r="D2139" s="14">
        <f>60.7*(2/3*10)</f>
        <v>404.66666666666663</v>
      </c>
      <c r="E2139" s="14">
        <f>1043.6*(2/3*10)</f>
        <v>6957.3333333333321</v>
      </c>
      <c r="F2139" s="14">
        <f>380.7*(2/3*10)</f>
        <v>2537.9999999999995</v>
      </c>
      <c r="G2139" s="14">
        <f>74.9*(2/3*10)</f>
        <v>499.33333333333331</v>
      </c>
      <c r="H2139" s="14">
        <f>27*(2/3*10)</f>
        <v>179.99999999999997</v>
      </c>
      <c r="I2139" s="14">
        <f>52*(2/3*10)</f>
        <v>346.66666666666663</v>
      </c>
      <c r="K2139">
        <v>2136</v>
      </c>
      <c r="L2139">
        <f t="shared" si="33"/>
        <v>0</v>
      </c>
    </row>
    <row r="2140" spans="1:12" ht="16.5" x14ac:dyDescent="0.2">
      <c r="A2140" s="4" t="s">
        <v>84</v>
      </c>
      <c r="B2140">
        <v>2009</v>
      </c>
      <c r="C2140" s="14">
        <f>1500.1*(2/3*10)</f>
        <v>10000.666666666666</v>
      </c>
      <c r="D2140" s="14">
        <f>10*(2/3*10)</f>
        <v>66.666666666666657</v>
      </c>
      <c r="E2140" s="14">
        <f>1752.6*(2/3*10)</f>
        <v>11683.999999999998</v>
      </c>
      <c r="F2140" s="14">
        <f>245.5*(2/3*10)</f>
        <v>1636.6666666666665</v>
      </c>
      <c r="G2140" s="14">
        <f>98.2*(2/3*10)</f>
        <v>654.66666666666663</v>
      </c>
      <c r="H2140" s="14">
        <f>36.8*(2/3*10)</f>
        <v>245.33333333333329</v>
      </c>
      <c r="I2140" s="14">
        <f>48.9*(2/3*10)</f>
        <v>325.99999999999994</v>
      </c>
      <c r="K2140">
        <v>2137</v>
      </c>
      <c r="L2140">
        <f t="shared" si="33"/>
        <v>1</v>
      </c>
    </row>
    <row r="2141" spans="1:12" ht="16.5" x14ac:dyDescent="0.2">
      <c r="A2141" s="4" t="s">
        <v>84</v>
      </c>
      <c r="B2141">
        <v>2010</v>
      </c>
      <c r="C2141" s="14">
        <f>1501.2*(2/3*10)</f>
        <v>10008</v>
      </c>
      <c r="D2141" s="14">
        <f>10*(2/3*10)</f>
        <v>66.666666666666657</v>
      </c>
      <c r="E2141" s="14">
        <f>1750.6*(2/3*10)</f>
        <v>11670.666666666664</v>
      </c>
      <c r="F2141" s="14">
        <f>242.7*(2/3*10)</f>
        <v>1617.9999999999998</v>
      </c>
      <c r="G2141" s="14">
        <f>99.4*(2/3*10)</f>
        <v>662.66666666666652</v>
      </c>
      <c r="H2141" s="14">
        <f>39*(2/3*10)</f>
        <v>260</v>
      </c>
      <c r="I2141" s="14">
        <f>48.9*(2/3*10)</f>
        <v>325.99999999999994</v>
      </c>
      <c r="K2141" s="15">
        <v>2138</v>
      </c>
      <c r="L2141">
        <f t="shared" si="33"/>
        <v>2</v>
      </c>
    </row>
    <row r="2142" spans="1:12" ht="16.5" x14ac:dyDescent="0.2">
      <c r="A2142" s="4" t="s">
        <v>83</v>
      </c>
      <c r="B2142">
        <v>2011</v>
      </c>
      <c r="C2142" s="14">
        <f>1498.8*(2/3*10)</f>
        <v>9991.9999999999982</v>
      </c>
      <c r="D2142" s="14">
        <f>9.9*(2/3*10)</f>
        <v>66</v>
      </c>
      <c r="E2142" s="14">
        <f>1747.1*(2/3*10)</f>
        <v>11647.333333333332</v>
      </c>
      <c r="F2142" s="14">
        <f>243.1*(2/3*10)</f>
        <v>1620.6666666666665</v>
      </c>
      <c r="G2142" s="14">
        <f>103.9*(2/3*10)</f>
        <v>692.66666666666663</v>
      </c>
      <c r="H2142" s="14">
        <f>40.7*(2/3*10)</f>
        <v>271.33333333333331</v>
      </c>
      <c r="I2142" s="14">
        <f>48.8*(2/3*10)</f>
        <v>325.33333333333326</v>
      </c>
      <c r="K2142">
        <v>2139</v>
      </c>
      <c r="L2142">
        <f t="shared" si="33"/>
        <v>3</v>
      </c>
    </row>
    <row r="2143" spans="1:12" ht="16.5" x14ac:dyDescent="0.2">
      <c r="A2143" s="4" t="s">
        <v>83</v>
      </c>
      <c r="B2143">
        <v>2012</v>
      </c>
      <c r="C2143" s="14">
        <f>1494.7*(2/3*10)</f>
        <v>9964.6666666666661</v>
      </c>
      <c r="D2143" s="14">
        <f>10.3*(2/3*10)</f>
        <v>68.666666666666671</v>
      </c>
      <c r="E2143" s="14">
        <f>1745.7*(2/3*10)</f>
        <v>11638</v>
      </c>
      <c r="F2143" s="14">
        <f>242.6*(2/3*10)</f>
        <v>1617.3333333333333</v>
      </c>
      <c r="G2143" s="14">
        <f>108*(2/3*10)</f>
        <v>719.99999999999989</v>
      </c>
      <c r="H2143" s="14">
        <f>42.2*(2/3*10)</f>
        <v>281.33333333333331</v>
      </c>
      <c r="I2143" s="14">
        <f>48.8*(2/3*10)</f>
        <v>325.33333333333326</v>
      </c>
      <c r="K2143" s="15">
        <v>2140</v>
      </c>
      <c r="L2143">
        <f t="shared" si="33"/>
        <v>4</v>
      </c>
    </row>
    <row r="2144" spans="1:12" ht="16.5" x14ac:dyDescent="0.2">
      <c r="A2144" s="4" t="s">
        <v>83</v>
      </c>
      <c r="B2144">
        <v>2013</v>
      </c>
      <c r="C2144" s="14">
        <f>1492.3*(2/3*10)</f>
        <v>9948.6666666666661</v>
      </c>
      <c r="D2144" s="14">
        <f>10.5*(2/3*10)</f>
        <v>70</v>
      </c>
      <c r="E2144" s="14">
        <f>1744.7*(2/3*10)</f>
        <v>11631.333333333332</v>
      </c>
      <c r="F2144" s="14">
        <f>242.2*(2/3*10)</f>
        <v>1614.6666666666665</v>
      </c>
      <c r="G2144" s="14">
        <f>110.6*(2/3*10)</f>
        <v>737.33333333333337</v>
      </c>
      <c r="H2144" s="14">
        <f>43.7*(2/3*10)</f>
        <v>291.33333333333331</v>
      </c>
      <c r="I2144" s="14">
        <f>48.8*(2/3*10)</f>
        <v>325.33333333333326</v>
      </c>
      <c r="K2144">
        <v>2141</v>
      </c>
      <c r="L2144">
        <f t="shared" si="33"/>
        <v>5</v>
      </c>
    </row>
    <row r="2145" spans="1:12" ht="16.5" x14ac:dyDescent="0.2">
      <c r="A2145" s="4" t="s">
        <v>83</v>
      </c>
      <c r="B2145">
        <v>2014</v>
      </c>
      <c r="C2145" s="14">
        <f>1489*(2/3*10)</f>
        <v>9926.6666666666661</v>
      </c>
      <c r="D2145" s="14">
        <f>10.3*(2/3*10)</f>
        <v>68.666666666666671</v>
      </c>
      <c r="E2145" s="14">
        <f>1742.9*(2/3*10)</f>
        <v>11619.333333333332</v>
      </c>
      <c r="F2145" s="14">
        <f>240.9*(2/3*10)</f>
        <v>1606</v>
      </c>
      <c r="G2145" s="14">
        <f>114.3*(2/3*10)</f>
        <v>761.99999999999989</v>
      </c>
      <c r="H2145" s="14">
        <f>45.6*(2/3*10)</f>
        <v>304</v>
      </c>
      <c r="I2145" s="14">
        <f>50.2*(2/3*10)</f>
        <v>334.66666666666663</v>
      </c>
      <c r="K2145">
        <v>2142</v>
      </c>
      <c r="L2145">
        <f t="shared" si="33"/>
        <v>6</v>
      </c>
    </row>
    <row r="2146" spans="1:12" ht="16.5" x14ac:dyDescent="0.2">
      <c r="A2146" s="4" t="s">
        <v>83</v>
      </c>
      <c r="B2146">
        <v>2015</v>
      </c>
      <c r="C2146" s="14">
        <f>1486.9*(2/3*10)</f>
        <v>9912.6666666666661</v>
      </c>
      <c r="D2146" s="14">
        <f>10.1*(2/3*10)</f>
        <v>67.333333333333329</v>
      </c>
      <c r="E2146" s="14">
        <f>1742.3*(2/3*10)</f>
        <v>11615.333333333332</v>
      </c>
      <c r="F2146" s="14">
        <f>240.4*(2/3*10)</f>
        <v>1602.6666666666665</v>
      </c>
      <c r="G2146" s="14">
        <f>117.3*(2/3*10)</f>
        <v>781.99999999999989</v>
      </c>
      <c r="H2146" s="14">
        <f>46.2*(2/3*10)</f>
        <v>308</v>
      </c>
      <c r="I2146" s="14">
        <f>50.2*(2/3*10)</f>
        <v>334.66666666666663</v>
      </c>
      <c r="K2146" s="15">
        <v>2143</v>
      </c>
      <c r="L2146">
        <f t="shared" si="33"/>
        <v>7</v>
      </c>
    </row>
    <row r="2147" spans="1:12" ht="16.5" x14ac:dyDescent="0.2">
      <c r="A2147" s="4" t="s">
        <v>83</v>
      </c>
      <c r="B2147">
        <v>2016</v>
      </c>
      <c r="C2147" s="14">
        <f>1486.4*(2/3*10)</f>
        <v>9909.3333333333339</v>
      </c>
      <c r="D2147" s="14">
        <f>10*(2/3*10)</f>
        <v>66.666666666666657</v>
      </c>
      <c r="E2147" s="14">
        <f>1739.7*(2/3*10)</f>
        <v>11598</v>
      </c>
      <c r="F2147" s="14">
        <f>239.7*(2/3*10)</f>
        <v>1597.9999999999998</v>
      </c>
      <c r="G2147" s="14">
        <f>119.7*(2/3*10)</f>
        <v>797.99999999999989</v>
      </c>
      <c r="H2147" s="14">
        <f>47.8*(2/3*10)</f>
        <v>318.66666666666663</v>
      </c>
      <c r="I2147" s="14">
        <f>50.2*(2/3*10)</f>
        <v>334.66666666666663</v>
      </c>
      <c r="K2147">
        <v>2144</v>
      </c>
      <c r="L2147">
        <f t="shared" si="33"/>
        <v>0</v>
      </c>
    </row>
    <row r="2148" spans="1:12" ht="16.5" x14ac:dyDescent="0.2">
      <c r="A2148" s="4" t="s">
        <v>82</v>
      </c>
      <c r="B2148">
        <v>2009</v>
      </c>
      <c r="C2148" s="14">
        <f>636.1*(2/3*10)</f>
        <v>4240.6666666666661</v>
      </c>
      <c r="D2148" s="14">
        <f>41.8*(2/3*10)</f>
        <v>278.66666666666663</v>
      </c>
      <c r="E2148" s="14">
        <f>3087*(2/3*10)</f>
        <v>20579.999999999996</v>
      </c>
      <c r="F2148" s="14">
        <f>334.2*(2/3*10)</f>
        <v>2227.9999999999995</v>
      </c>
      <c r="G2148" s="14">
        <f>71.4*(2/3*10)</f>
        <v>476</v>
      </c>
      <c r="H2148" s="14">
        <f>32.9*(2/3*10)</f>
        <v>219.33333333333331</v>
      </c>
      <c r="I2148" s="14">
        <f>68.6*(2/3*10)</f>
        <v>457.33333333333326</v>
      </c>
      <c r="K2148" s="15">
        <v>2145</v>
      </c>
      <c r="L2148">
        <f t="shared" si="33"/>
        <v>1</v>
      </c>
    </row>
    <row r="2149" spans="1:12" ht="16.5" x14ac:dyDescent="0.2">
      <c r="A2149" s="4" t="s">
        <v>82</v>
      </c>
      <c r="B2149">
        <v>2010</v>
      </c>
      <c r="C2149" s="14">
        <f>639.1*(2/3*10)</f>
        <v>4260.6666666666661</v>
      </c>
      <c r="D2149" s="14">
        <f>42.1*(2/3*10)</f>
        <v>280.66666666666663</v>
      </c>
      <c r="E2149" s="14">
        <f>3082.5*(2/3*10)</f>
        <v>20549.999999999996</v>
      </c>
      <c r="F2149" s="14">
        <f>332.2*(2/3*10)</f>
        <v>2214.6666666666665</v>
      </c>
      <c r="G2149" s="14">
        <f>72.5*(2/3*10)</f>
        <v>483.33333333333331</v>
      </c>
      <c r="H2149" s="14">
        <f>34.2*(2/3*10)</f>
        <v>228</v>
      </c>
      <c r="I2149" s="14">
        <f>68.7*(2/3*10)</f>
        <v>458</v>
      </c>
      <c r="K2149">
        <v>2146</v>
      </c>
      <c r="L2149">
        <f t="shared" si="33"/>
        <v>2</v>
      </c>
    </row>
    <row r="2150" spans="1:12" ht="16.5" x14ac:dyDescent="0.2">
      <c r="A2150" s="4" t="s">
        <v>82</v>
      </c>
      <c r="B2150">
        <v>2011</v>
      </c>
      <c r="C2150" s="14">
        <f>637.9*(2/3*10)</f>
        <v>4252.6666666666661</v>
      </c>
      <c r="D2150" s="14">
        <f>42.6*(2/3*10)</f>
        <v>284</v>
      </c>
      <c r="E2150" s="14">
        <f>3077.5*(2/3*10)</f>
        <v>20516.666666666664</v>
      </c>
      <c r="F2150" s="14">
        <f>333.1*(2/3*10)</f>
        <v>2220.6666666666665</v>
      </c>
      <c r="G2150" s="14">
        <f>76.3*(2/3*10)</f>
        <v>508.66666666666663</v>
      </c>
      <c r="H2150" s="14">
        <f>35*(2/3*10)</f>
        <v>233.33333333333331</v>
      </c>
      <c r="I2150" s="14">
        <f>69.2*(2/3*10)</f>
        <v>461.33333333333331</v>
      </c>
      <c r="K2150">
        <v>2147</v>
      </c>
      <c r="L2150">
        <f t="shared" si="33"/>
        <v>3</v>
      </c>
    </row>
    <row r="2151" spans="1:12" ht="16.5" x14ac:dyDescent="0.2">
      <c r="A2151" s="4" t="s">
        <v>82</v>
      </c>
      <c r="B2151">
        <v>2012</v>
      </c>
      <c r="C2151" s="14">
        <f>637.6*(2/3*10)</f>
        <v>4250.6666666666661</v>
      </c>
      <c r="D2151" s="14">
        <f>42.7*(2/3*10)</f>
        <v>284.66666666666669</v>
      </c>
      <c r="E2151" s="14">
        <f>3074.4*(2/3*10)</f>
        <v>20496</v>
      </c>
      <c r="F2151" s="14">
        <f>331.6*(2/3*10)</f>
        <v>2210.6666666666665</v>
      </c>
      <c r="G2151" s="14">
        <f>79.3*(2/3*10)</f>
        <v>528.66666666666663</v>
      </c>
      <c r="H2151" s="14">
        <f>36.6*(2/3*10)</f>
        <v>244</v>
      </c>
      <c r="I2151" s="14">
        <f>69.3*(2/3*10)</f>
        <v>461.99999999999994</v>
      </c>
      <c r="K2151" s="15">
        <v>2148</v>
      </c>
      <c r="L2151">
        <f t="shared" si="33"/>
        <v>4</v>
      </c>
    </row>
    <row r="2152" spans="1:12" ht="16.5" x14ac:dyDescent="0.2">
      <c r="A2152" s="4" t="s">
        <v>82</v>
      </c>
      <c r="B2152">
        <v>2013</v>
      </c>
      <c r="C2152" s="14">
        <f>638.8*(2/3*10)</f>
        <v>4258.6666666666661</v>
      </c>
      <c r="D2152" s="14">
        <f>42.3*(2/3*10)</f>
        <v>281.99999999999994</v>
      </c>
      <c r="E2152" s="14">
        <f>3070.7*(2/3*10)</f>
        <v>20471.333333333328</v>
      </c>
      <c r="F2152" s="14">
        <f>330.6*(2/3*10)</f>
        <v>2204</v>
      </c>
      <c r="G2152" s="14">
        <f>81.1*(2/3*10)</f>
        <v>540.66666666666663</v>
      </c>
      <c r="H2152" s="14">
        <f>38.5*(2/3*10)</f>
        <v>256.66666666666663</v>
      </c>
      <c r="I2152" s="14">
        <f>69.2*(2/3*10)</f>
        <v>461.33333333333331</v>
      </c>
      <c r="K2152">
        <v>2149</v>
      </c>
      <c r="L2152">
        <f t="shared" si="33"/>
        <v>5</v>
      </c>
    </row>
    <row r="2153" spans="1:12" ht="16.5" x14ac:dyDescent="0.2">
      <c r="A2153" s="4" t="s">
        <v>82</v>
      </c>
      <c r="B2153">
        <v>2014</v>
      </c>
      <c r="C2153" s="14">
        <f>640.3*(2/3*10)</f>
        <v>4268.6666666666661</v>
      </c>
      <c r="D2153" s="14">
        <f>41.6*(2/3*10)</f>
        <v>277.33333333333331</v>
      </c>
      <c r="E2153" s="14">
        <f>3067.6*(2/3*10)</f>
        <v>20450.666666666664</v>
      </c>
      <c r="F2153" s="14">
        <f>329.4*(2/3*10)</f>
        <v>2195.9999999999995</v>
      </c>
      <c r="G2153" s="14">
        <f>83.5*(2/3*10)</f>
        <v>556.66666666666663</v>
      </c>
      <c r="H2153" s="14">
        <f>39.4*(2/3*10)</f>
        <v>262.66666666666663</v>
      </c>
      <c r="I2153" s="14">
        <f>69.1*(2/3*10)</f>
        <v>460.66666666666657</v>
      </c>
      <c r="K2153" s="15">
        <v>2150</v>
      </c>
      <c r="L2153">
        <f t="shared" si="33"/>
        <v>6</v>
      </c>
    </row>
    <row r="2154" spans="1:12" ht="16.5" x14ac:dyDescent="0.2">
      <c r="A2154" s="4" t="s">
        <v>82</v>
      </c>
      <c r="B2154">
        <v>2015</v>
      </c>
      <c r="C2154" s="14">
        <f>641.7*(2/3*10)</f>
        <v>4278</v>
      </c>
      <c r="D2154" s="14">
        <f>41.2*(2/3*10)</f>
        <v>274.66666666666669</v>
      </c>
      <c r="E2154" s="14">
        <f>3064.7*(2/3*10)</f>
        <v>20431.333333333332</v>
      </c>
      <c r="F2154" s="14">
        <f>328.4*(2/3*10)</f>
        <v>2189.333333333333</v>
      </c>
      <c r="G2154" s="14">
        <f>85.5*(2/3*10)</f>
        <v>570</v>
      </c>
      <c r="H2154" s="14">
        <f>39.6*(2/3*10)</f>
        <v>264</v>
      </c>
      <c r="I2154" s="14">
        <f>69.1*(2/3*10)</f>
        <v>460.66666666666657</v>
      </c>
      <c r="K2154">
        <v>2151</v>
      </c>
      <c r="L2154">
        <f t="shared" si="33"/>
        <v>7</v>
      </c>
    </row>
    <row r="2155" spans="1:12" ht="16.5" x14ac:dyDescent="0.2">
      <c r="A2155" s="4" t="s">
        <v>82</v>
      </c>
      <c r="B2155">
        <v>2016</v>
      </c>
      <c r="C2155" s="14">
        <f>641.1*(2/3*10)</f>
        <v>4274</v>
      </c>
      <c r="D2155" s="14">
        <f>41*(2/3*10)</f>
        <v>273.33333333333331</v>
      </c>
      <c r="E2155" s="14">
        <f>3063.4*(2/3*10)</f>
        <v>20422.666666666664</v>
      </c>
      <c r="F2155" s="14">
        <f>328*(2/3*10)</f>
        <v>2186.6666666666665</v>
      </c>
      <c r="G2155" s="14">
        <f>87.4*(2/3*10)</f>
        <v>582.66666666666663</v>
      </c>
      <c r="H2155" s="14">
        <f>40.1*(2/3*10)</f>
        <v>267.33333333333331</v>
      </c>
      <c r="I2155" s="14">
        <f>69.1*(2/3*10)</f>
        <v>460.66666666666657</v>
      </c>
      <c r="K2155">
        <v>2152</v>
      </c>
      <c r="L2155">
        <f t="shared" si="33"/>
        <v>0</v>
      </c>
    </row>
    <row r="2156" spans="1:12" ht="16.5" x14ac:dyDescent="0.2">
      <c r="A2156" s="4" t="s">
        <v>81</v>
      </c>
      <c r="B2156">
        <v>2009</v>
      </c>
      <c r="C2156" s="14">
        <f>720.7*(2/3*10)</f>
        <v>4804.666666666667</v>
      </c>
      <c r="D2156" s="14">
        <f>39.9*(2/3*10)</f>
        <v>265.99999999999994</v>
      </c>
      <c r="E2156" s="14">
        <f>2224.1*(2/3*10)</f>
        <v>14827.333333333332</v>
      </c>
      <c r="F2156" s="14">
        <f>518.1*(2/3*10)</f>
        <v>3454</v>
      </c>
      <c r="G2156" s="14">
        <f>73.8*(2/3*10)</f>
        <v>491.99999999999994</v>
      </c>
      <c r="H2156" s="14">
        <f>30.5*(2/3*10)</f>
        <v>203.33333333333331</v>
      </c>
      <c r="I2156" s="14">
        <f>48.6*(2/3*10)</f>
        <v>324</v>
      </c>
      <c r="K2156" s="15">
        <v>2153</v>
      </c>
      <c r="L2156">
        <f t="shared" si="33"/>
        <v>1</v>
      </c>
    </row>
    <row r="2157" spans="1:12" ht="16.5" x14ac:dyDescent="0.2">
      <c r="A2157" s="4" t="s">
        <v>81</v>
      </c>
      <c r="B2157">
        <v>2010</v>
      </c>
      <c r="C2157" s="14">
        <f>721.1*(2/3*10)</f>
        <v>4807.333333333333</v>
      </c>
      <c r="D2157" s="14">
        <f>40.1*(2/3*10)</f>
        <v>267.33333333333331</v>
      </c>
      <c r="E2157" s="14">
        <f>2223*(2/3*10)</f>
        <v>14819.999999999998</v>
      </c>
      <c r="F2157" s="14">
        <f>516.9*(2/3*10)</f>
        <v>3445.9999999999995</v>
      </c>
      <c r="G2157" s="14">
        <f>74.6*(2/3*10)</f>
        <v>497.33333333333337</v>
      </c>
      <c r="H2157" s="14">
        <f>31.2*(2/3*10)</f>
        <v>207.99999999999997</v>
      </c>
      <c r="I2157" s="14">
        <f>48.6*(2/3*10)</f>
        <v>324</v>
      </c>
      <c r="K2157">
        <v>2154</v>
      </c>
      <c r="L2157">
        <f t="shared" si="33"/>
        <v>2</v>
      </c>
    </row>
    <row r="2158" spans="1:12" ht="16.5" x14ac:dyDescent="0.2">
      <c r="A2158" s="4" t="s">
        <v>81</v>
      </c>
      <c r="B2158">
        <v>2011</v>
      </c>
      <c r="C2158" s="14">
        <f>720.5*(2/3*10)</f>
        <v>4803.333333333333</v>
      </c>
      <c r="D2158" s="14">
        <f>41.3*(2/3*10)</f>
        <v>275.33333333333331</v>
      </c>
      <c r="E2158" s="14">
        <f>2213.4*(2/3*10)</f>
        <v>14756</v>
      </c>
      <c r="F2158" s="14">
        <f>522.9*(2/3*10)</f>
        <v>3485.9999999999995</v>
      </c>
      <c r="G2158" s="14">
        <f>76.2*(2/3*10)</f>
        <v>508</v>
      </c>
      <c r="H2158" s="14">
        <f>31.7*(2/3*10)</f>
        <v>211.33333333333331</v>
      </c>
      <c r="I2158" s="14">
        <f>48.7*(2/3*10)</f>
        <v>324.66666666666663</v>
      </c>
      <c r="K2158" s="15">
        <v>2155</v>
      </c>
      <c r="L2158">
        <f t="shared" si="33"/>
        <v>3</v>
      </c>
    </row>
    <row r="2159" spans="1:12" ht="16.5" x14ac:dyDescent="0.2">
      <c r="A2159" s="4" t="s">
        <v>81</v>
      </c>
      <c r="B2159">
        <v>2012</v>
      </c>
      <c r="C2159" s="14">
        <f>721.3*(2/3*10)</f>
        <v>4808.6666666666661</v>
      </c>
      <c r="D2159" s="14">
        <f>41.2*(2/3*10)</f>
        <v>274.66666666666669</v>
      </c>
      <c r="E2159" s="14">
        <f>2211.1*(2/3*10)</f>
        <v>14740.666666666664</v>
      </c>
      <c r="F2159" s="14">
        <f>520.8*(2/3*10)</f>
        <v>3471.9999999999995</v>
      </c>
      <c r="G2159" s="14">
        <f>79.4*(2/3*10)</f>
        <v>529.33333333333326</v>
      </c>
      <c r="H2159" s="14">
        <f>32.6*(2/3*10)</f>
        <v>217.33333333333331</v>
      </c>
      <c r="I2159" s="14">
        <f>48.6*(2/3*10)</f>
        <v>324</v>
      </c>
      <c r="K2159">
        <v>2156</v>
      </c>
      <c r="L2159">
        <f t="shared" si="33"/>
        <v>4</v>
      </c>
    </row>
    <row r="2160" spans="1:12" ht="16.5" x14ac:dyDescent="0.2">
      <c r="A2160" s="4" t="s">
        <v>81</v>
      </c>
      <c r="B2160">
        <v>2013</v>
      </c>
      <c r="C2160" s="14">
        <f>721.3*(2/3*10)</f>
        <v>4808.6666666666661</v>
      </c>
      <c r="D2160" s="14">
        <f>41.6*(2/3*10)</f>
        <v>277.33333333333331</v>
      </c>
      <c r="E2160" s="14">
        <f>2209.5*(2/3*10)</f>
        <v>14729.999999999998</v>
      </c>
      <c r="F2160" s="14">
        <f>518.7*(2/3*10)</f>
        <v>3458</v>
      </c>
      <c r="G2160" s="14">
        <f>81.8*(2/3*10)</f>
        <v>545.33333333333326</v>
      </c>
      <c r="H2160" s="14">
        <f>33.6*(2/3*10)</f>
        <v>224</v>
      </c>
      <c r="I2160" s="14">
        <f>48.6*(2/3*10)</f>
        <v>324</v>
      </c>
      <c r="K2160">
        <v>2157</v>
      </c>
      <c r="L2160">
        <f t="shared" si="33"/>
        <v>5</v>
      </c>
    </row>
    <row r="2161" spans="1:12" ht="16.5" x14ac:dyDescent="0.2">
      <c r="A2161" s="4" t="s">
        <v>81</v>
      </c>
      <c r="B2161">
        <v>2014</v>
      </c>
      <c r="C2161" s="14">
        <f>720.8*(2/3*10)</f>
        <v>4805.333333333333</v>
      </c>
      <c r="D2161" s="14">
        <f>41.3*(2/3*10)</f>
        <v>275.33333333333331</v>
      </c>
      <c r="E2161" s="14">
        <f>2207.9*(2/3*10)</f>
        <v>14719.333333333332</v>
      </c>
      <c r="F2161" s="14">
        <f>516.9*(2/3*10)</f>
        <v>3445.9999999999995</v>
      </c>
      <c r="G2161" s="14">
        <f>84.3*(2/3*10)</f>
        <v>561.99999999999989</v>
      </c>
      <c r="H2161" s="14">
        <f>35.3*(2/3*10)</f>
        <v>235.33333333333329</v>
      </c>
      <c r="I2161" s="14">
        <f>48.6*(2/3*10)</f>
        <v>324</v>
      </c>
      <c r="K2161" s="15">
        <v>2158</v>
      </c>
      <c r="L2161">
        <f t="shared" si="33"/>
        <v>6</v>
      </c>
    </row>
    <row r="2162" spans="1:12" ht="16.5" x14ac:dyDescent="0.2">
      <c r="A2162" s="4" t="s">
        <v>81</v>
      </c>
      <c r="B2162">
        <v>2015</v>
      </c>
      <c r="C2162" s="14">
        <f>722*(2/3*10)</f>
        <v>4813.333333333333</v>
      </c>
      <c r="D2162" s="14">
        <f>41.1*(2/3*10)</f>
        <v>274</v>
      </c>
      <c r="E2162" s="14">
        <f>2206.5*(2/3*10)</f>
        <v>14709.999999999998</v>
      </c>
      <c r="F2162" s="14">
        <f>514.4*(2/3*10)</f>
        <v>3429.333333333333</v>
      </c>
      <c r="G2162" s="14">
        <f>86.8*(2/3*10)</f>
        <v>578.66666666666663</v>
      </c>
      <c r="H2162" s="14">
        <f>35.7*(2/3*10)</f>
        <v>238</v>
      </c>
      <c r="I2162" s="14">
        <f>48.5*(2/3*10)</f>
        <v>323.33333333333331</v>
      </c>
      <c r="K2162">
        <v>2159</v>
      </c>
      <c r="L2162">
        <f t="shared" si="33"/>
        <v>7</v>
      </c>
    </row>
    <row r="2163" spans="1:12" ht="16.5" x14ac:dyDescent="0.2">
      <c r="A2163" s="4" t="s">
        <v>81</v>
      </c>
      <c r="B2163">
        <v>2016</v>
      </c>
      <c r="C2163" s="14">
        <f>722*(2/3*10)</f>
        <v>4813.333333333333</v>
      </c>
      <c r="D2163" s="14">
        <f>40.7*(2/3*10)</f>
        <v>271.33333333333331</v>
      </c>
      <c r="E2163" s="14">
        <f>2204.6*(2/3*10)</f>
        <v>14697.333333333332</v>
      </c>
      <c r="F2163" s="14">
        <f>512.2*(2/3*10)</f>
        <v>3414.6666666666665</v>
      </c>
      <c r="G2163" s="14">
        <f>90*(2/3*10)</f>
        <v>600</v>
      </c>
      <c r="H2163" s="14">
        <f>37*(2/3*10)</f>
        <v>246.66666666666666</v>
      </c>
      <c r="I2163" s="14">
        <f>48.4*(2/3*10)</f>
        <v>322.66666666666663</v>
      </c>
      <c r="K2163" s="15">
        <v>2160</v>
      </c>
      <c r="L2163">
        <f t="shared" si="33"/>
        <v>0</v>
      </c>
    </row>
    <row r="2164" spans="1:12" ht="16.5" x14ac:dyDescent="0.2">
      <c r="A2164" s="4" t="s">
        <v>80</v>
      </c>
      <c r="B2164">
        <v>2009</v>
      </c>
      <c r="C2164" s="14">
        <f>658.6*(2/3*10)</f>
        <v>4390.6666666666661</v>
      </c>
      <c r="D2164" s="14">
        <f>82.7*(2/3*10)</f>
        <v>551.33333333333326</v>
      </c>
      <c r="E2164" s="14">
        <f>1535.3*(2/3*10)</f>
        <v>10235.333333333332</v>
      </c>
      <c r="F2164" s="14">
        <f>359.2*(2/3*10)</f>
        <v>2394.6666666666665</v>
      </c>
      <c r="G2164" s="14">
        <f>160.2*(2/3*10)</f>
        <v>1067.9999999999998</v>
      </c>
      <c r="H2164" s="14">
        <f>50.8*(2/3*10)</f>
        <v>338.66666666666663</v>
      </c>
      <c r="I2164" s="14">
        <f>101*(2/3*10)</f>
        <v>673.33333333333326</v>
      </c>
      <c r="K2164">
        <v>2161</v>
      </c>
      <c r="L2164">
        <f t="shared" si="33"/>
        <v>1</v>
      </c>
    </row>
    <row r="2165" spans="1:12" ht="16.5" x14ac:dyDescent="0.2">
      <c r="A2165" s="4" t="s">
        <v>80</v>
      </c>
      <c r="B2165">
        <v>2010</v>
      </c>
      <c r="C2165" s="14">
        <f>655.1*(2/3*10)</f>
        <v>4367.333333333333</v>
      </c>
      <c r="D2165" s="14">
        <f>81.8*(2/3*10)</f>
        <v>545.33333333333326</v>
      </c>
      <c r="E2165" s="14">
        <f>1534.3*(2/3*10)</f>
        <v>10228.666666666666</v>
      </c>
      <c r="F2165" s="14">
        <f>358.7*(2/3*10)</f>
        <v>2391.333333333333</v>
      </c>
      <c r="G2165" s="14">
        <f>164.2*(2/3*10)</f>
        <v>1094.6666666666667</v>
      </c>
      <c r="H2165" s="14">
        <f>52.5*(2/3*10)</f>
        <v>349.99999999999994</v>
      </c>
      <c r="I2165" s="14">
        <f>100.9*(2/3*10)</f>
        <v>672.66666666666663</v>
      </c>
      <c r="K2165">
        <v>2162</v>
      </c>
      <c r="L2165">
        <f t="shared" si="33"/>
        <v>2</v>
      </c>
    </row>
    <row r="2166" spans="1:12" ht="16.5" x14ac:dyDescent="0.2">
      <c r="A2166" s="4" t="s">
        <v>80</v>
      </c>
      <c r="B2166">
        <v>2011</v>
      </c>
      <c r="C2166" s="14">
        <f>650.9*(2/3*10)</f>
        <v>4339.333333333333</v>
      </c>
      <c r="D2166" s="14">
        <f>81*(2/3*10)</f>
        <v>540</v>
      </c>
      <c r="E2166" s="14">
        <f>1532.8*(2/3*10)</f>
        <v>10218.666666666666</v>
      </c>
      <c r="F2166" s="14">
        <f>358.1*(2/3*10)</f>
        <v>2387.3333333333335</v>
      </c>
      <c r="G2166" s="14">
        <f>169*(2/3*10)</f>
        <v>1126.6666666666665</v>
      </c>
      <c r="H2166" s="14">
        <f>55*(2/3*10)</f>
        <v>366.66666666666663</v>
      </c>
      <c r="I2166" s="14">
        <f>100.6*(2/3*10)</f>
        <v>670.66666666666652</v>
      </c>
      <c r="K2166" s="15">
        <v>2163</v>
      </c>
      <c r="L2166">
        <f t="shared" si="33"/>
        <v>3</v>
      </c>
    </row>
    <row r="2167" spans="1:12" ht="16.5" x14ac:dyDescent="0.2">
      <c r="A2167" s="4" t="s">
        <v>80</v>
      </c>
      <c r="B2167">
        <v>2012</v>
      </c>
      <c r="C2167" s="14">
        <f>646.7*(2/3*10)</f>
        <v>4311.333333333333</v>
      </c>
      <c r="D2167" s="14">
        <f>80*(2/3*10)</f>
        <v>533.33333333333326</v>
      </c>
      <c r="E2167" s="14">
        <f>1531.5*(2/3*10)</f>
        <v>10210</v>
      </c>
      <c r="F2167" s="14">
        <f>357.6*(2/3*10)</f>
        <v>2384</v>
      </c>
      <c r="G2167" s="14">
        <f>175.6*(2/3*10)</f>
        <v>1170.6666666666665</v>
      </c>
      <c r="H2167" s="14">
        <f>55.7*(2/3*10)</f>
        <v>371.33333333333331</v>
      </c>
      <c r="I2167" s="14">
        <f>100.4*(2/3*10)</f>
        <v>669.33333333333326</v>
      </c>
      <c r="K2167">
        <v>2164</v>
      </c>
      <c r="L2167">
        <f t="shared" si="33"/>
        <v>4</v>
      </c>
    </row>
    <row r="2168" spans="1:12" ht="16.5" x14ac:dyDescent="0.2">
      <c r="A2168" s="4" t="s">
        <v>80</v>
      </c>
      <c r="B2168">
        <v>2013</v>
      </c>
      <c r="C2168" s="14">
        <f>643.3*(2/3*10)</f>
        <v>4288.6666666666661</v>
      </c>
      <c r="D2168" s="14">
        <f>79*(2/3*10)</f>
        <v>526.66666666666663</v>
      </c>
      <c r="E2168" s="14">
        <f>1530.3*(2/3*10)</f>
        <v>10201.999999999998</v>
      </c>
      <c r="F2168" s="14">
        <f>357.1*(2/3*10)</f>
        <v>2380.6666666666665</v>
      </c>
      <c r="G2168" s="14">
        <f>180.8*(2/3*10)</f>
        <v>1205.3333333333333</v>
      </c>
      <c r="H2168" s="14">
        <f>56.4*(2/3*10)</f>
        <v>375.99999999999994</v>
      </c>
      <c r="I2168" s="14">
        <f>100.3*(2/3*10)</f>
        <v>668.66666666666663</v>
      </c>
      <c r="K2168" s="15">
        <v>2165</v>
      </c>
      <c r="L2168">
        <f t="shared" si="33"/>
        <v>5</v>
      </c>
    </row>
    <row r="2169" spans="1:12" ht="16.5" x14ac:dyDescent="0.2">
      <c r="A2169" s="4" t="s">
        <v>80</v>
      </c>
      <c r="B2169">
        <v>2014</v>
      </c>
      <c r="C2169" s="14">
        <f>641.3*(2/3*10)</f>
        <v>4275.333333333333</v>
      </c>
      <c r="D2169" s="14">
        <f>78.1*(2/3*10)</f>
        <v>520.66666666666663</v>
      </c>
      <c r="E2169" s="14">
        <f>1529*(2/3*10)</f>
        <v>10193.333333333332</v>
      </c>
      <c r="F2169" s="14">
        <f>355.9*(2/3*10)</f>
        <v>2372.6666666666665</v>
      </c>
      <c r="G2169" s="14">
        <f>184.9*(2/3*10)</f>
        <v>1232.6666666666665</v>
      </c>
      <c r="H2169" s="14">
        <f>57.9*(2/3*10)</f>
        <v>385.99999999999994</v>
      </c>
      <c r="I2169" s="14">
        <f>100.4*(2/3*10)</f>
        <v>669.33333333333326</v>
      </c>
      <c r="K2169">
        <v>2166</v>
      </c>
      <c r="L2169">
        <f t="shared" si="33"/>
        <v>6</v>
      </c>
    </row>
    <row r="2170" spans="1:12" ht="16.5" x14ac:dyDescent="0.2">
      <c r="A2170" s="4" t="s">
        <v>80</v>
      </c>
      <c r="B2170">
        <v>2015</v>
      </c>
      <c r="C2170" s="14">
        <f>641.9*(2/3*10)</f>
        <v>4279.333333333333</v>
      </c>
      <c r="D2170" s="14">
        <f>77.5*(2/3*10)</f>
        <v>516.66666666666663</v>
      </c>
      <c r="E2170" s="14">
        <f>1527.3*(2/3*10)</f>
        <v>10181.999999999998</v>
      </c>
      <c r="F2170" s="14">
        <f>354*(2/3*10)</f>
        <v>2360</v>
      </c>
      <c r="G2170" s="14">
        <f>189.6*(2/3*10)</f>
        <v>1264</v>
      </c>
      <c r="H2170" s="14">
        <f>58.3*(2/3*10)</f>
        <v>388.66666666666663</v>
      </c>
      <c r="I2170" s="14">
        <f>100.1*(2/3*10)</f>
        <v>667.33333333333326</v>
      </c>
      <c r="K2170">
        <v>2167</v>
      </c>
      <c r="L2170">
        <f t="shared" si="33"/>
        <v>7</v>
      </c>
    </row>
    <row r="2171" spans="1:12" ht="16.5" x14ac:dyDescent="0.2">
      <c r="A2171" s="4" t="s">
        <v>80</v>
      </c>
      <c r="B2171">
        <v>2016</v>
      </c>
      <c r="C2171" s="14">
        <f>641.3*(2/3*10)</f>
        <v>4275.333333333333</v>
      </c>
      <c r="D2171" s="14">
        <f>76.6*(2/3*10)</f>
        <v>510.66666666666657</v>
      </c>
      <c r="E2171" s="14">
        <f>1525.7*(2/3*10)</f>
        <v>10171.333333333332</v>
      </c>
      <c r="F2171" s="14">
        <f>353.1*(2/3*10)</f>
        <v>2354</v>
      </c>
      <c r="G2171" s="14">
        <f>193.9*(2/3*10)</f>
        <v>1292.6666666666665</v>
      </c>
      <c r="H2171" s="14">
        <f>59.2*(2/3*10)</f>
        <v>394.66666666666663</v>
      </c>
      <c r="I2171" s="14">
        <f>100*(2/3*10)</f>
        <v>666.66666666666663</v>
      </c>
      <c r="K2171" s="15">
        <v>2168</v>
      </c>
      <c r="L2171">
        <f t="shared" si="33"/>
        <v>0</v>
      </c>
    </row>
    <row r="2172" spans="1:12" ht="16.5" x14ac:dyDescent="0.2">
      <c r="A2172" s="4" t="s">
        <v>79</v>
      </c>
      <c r="B2172">
        <v>2009</v>
      </c>
      <c r="C2172" s="14">
        <f>1248.3*(2/3*10)</f>
        <v>8321.9999999999982</v>
      </c>
      <c r="D2172" s="14">
        <f>48.9*(2/3*10)</f>
        <v>325.99999999999994</v>
      </c>
      <c r="E2172" s="14">
        <f>1996.7*(2/3*10)</f>
        <v>13311.333333333332</v>
      </c>
      <c r="F2172" s="14">
        <f>382.8*(2/3*10)</f>
        <v>2552</v>
      </c>
      <c r="G2172" s="14">
        <f>138.8*(2/3*10)</f>
        <v>925.33333333333314</v>
      </c>
      <c r="H2172" s="14">
        <f>56.9*(2/3*10)</f>
        <v>379.33333333333331</v>
      </c>
      <c r="I2172" s="14">
        <f>62.1*(2/3*10)</f>
        <v>414</v>
      </c>
      <c r="K2172">
        <v>2169</v>
      </c>
      <c r="L2172">
        <f t="shared" si="33"/>
        <v>1</v>
      </c>
    </row>
    <row r="2173" spans="1:12" ht="16.5" x14ac:dyDescent="0.2">
      <c r="A2173" s="4" t="s">
        <v>79</v>
      </c>
      <c r="B2173">
        <v>2010</v>
      </c>
      <c r="C2173" s="14">
        <f>1247*(2/3*10)</f>
        <v>8313.3333333333321</v>
      </c>
      <c r="D2173" s="14">
        <f>48.8*(2/3*10)</f>
        <v>325.33333333333326</v>
      </c>
      <c r="E2173" s="14">
        <f>1996.3*(2/3*10)</f>
        <v>13308.666666666666</v>
      </c>
      <c r="F2173" s="14">
        <f>382.6*(2/3*10)</f>
        <v>2550.6666666666665</v>
      </c>
      <c r="G2173" s="14">
        <f>140.4*(2/3*10)</f>
        <v>936</v>
      </c>
      <c r="H2173" s="14">
        <f>56.9*(2/3*10)</f>
        <v>379.33333333333331</v>
      </c>
      <c r="I2173" s="14">
        <f>62.1*(2/3*10)</f>
        <v>414</v>
      </c>
      <c r="K2173" s="15">
        <v>2170</v>
      </c>
      <c r="L2173">
        <f t="shared" si="33"/>
        <v>2</v>
      </c>
    </row>
    <row r="2174" spans="1:12" ht="16.5" x14ac:dyDescent="0.2">
      <c r="A2174" s="4" t="s">
        <v>79</v>
      </c>
      <c r="B2174">
        <v>2011</v>
      </c>
      <c r="C2174" s="14">
        <f>1245.9*(2/3*10)</f>
        <v>8306</v>
      </c>
      <c r="D2174" s="14">
        <f>48.7*(2/3*10)</f>
        <v>324.66666666666663</v>
      </c>
      <c r="E2174" s="14">
        <f>1995.3*(2/3*10)</f>
        <v>13301.999999999998</v>
      </c>
      <c r="F2174" s="14">
        <f>382.2*(2/3*10)</f>
        <v>2547.9999999999995</v>
      </c>
      <c r="G2174" s="14">
        <f>142.9*(2/3*10)</f>
        <v>952.66666666666663</v>
      </c>
      <c r="H2174" s="14">
        <f>57.2*(2/3*10)</f>
        <v>381.33333333333331</v>
      </c>
      <c r="I2174" s="14">
        <f>62.1*(2/3*10)</f>
        <v>414</v>
      </c>
      <c r="K2174">
        <v>2171</v>
      </c>
      <c r="L2174">
        <f t="shared" si="33"/>
        <v>3</v>
      </c>
    </row>
    <row r="2175" spans="1:12" ht="16.5" x14ac:dyDescent="0.2">
      <c r="A2175" s="4" t="s">
        <v>79</v>
      </c>
      <c r="B2175">
        <v>2012</v>
      </c>
      <c r="C2175" s="14">
        <f>1244.6*(2/3*10)</f>
        <v>8297.3333333333321</v>
      </c>
      <c r="D2175" s="14">
        <f>48.6*(2/3*10)</f>
        <v>324</v>
      </c>
      <c r="E2175" s="14">
        <f>1994.9*(2/3*10)</f>
        <v>13299.333333333332</v>
      </c>
      <c r="F2175" s="14">
        <f>382.2*(2/3*10)</f>
        <v>2547.9999999999995</v>
      </c>
      <c r="G2175" s="14">
        <f>144.6*(2/3*10)</f>
        <v>963.99999999999989</v>
      </c>
      <c r="H2175" s="14">
        <f>57.3*(2/3*10)</f>
        <v>381.99999999999994</v>
      </c>
      <c r="I2175" s="14">
        <f>62.1*(2/3*10)</f>
        <v>414</v>
      </c>
      <c r="K2175">
        <v>2172</v>
      </c>
      <c r="L2175">
        <f t="shared" si="33"/>
        <v>4</v>
      </c>
    </row>
    <row r="2176" spans="1:12" ht="16.5" x14ac:dyDescent="0.2">
      <c r="A2176" s="4" t="s">
        <v>79</v>
      </c>
      <c r="B2176">
        <v>2013</v>
      </c>
      <c r="C2176" s="14">
        <f>1244.6*(2/3*10)</f>
        <v>8297.3333333333321</v>
      </c>
      <c r="D2176" s="14">
        <f>48*(2/3*10)</f>
        <v>320</v>
      </c>
      <c r="E2176" s="14">
        <f>1994.6*(2/3*10)</f>
        <v>13297.333333333332</v>
      </c>
      <c r="F2176" s="14">
        <f>381.4*(2/3*10)</f>
        <v>2542.6666666666665</v>
      </c>
      <c r="G2176" s="14">
        <f>146*(2/3*10)</f>
        <v>973.33333333333326</v>
      </c>
      <c r="H2176" s="14">
        <f>57.8*(2/3*10)</f>
        <v>385.33333333333326</v>
      </c>
      <c r="I2176" s="14">
        <f>62.1*(2/3*10)</f>
        <v>414</v>
      </c>
      <c r="K2176" s="15">
        <v>2173</v>
      </c>
      <c r="L2176">
        <f t="shared" ref="L2176:L2239" si="34">MOD(K2176,8)</f>
        <v>5</v>
      </c>
    </row>
    <row r="2177" spans="1:12" ht="16.5" x14ac:dyDescent="0.2">
      <c r="A2177" s="4" t="s">
        <v>79</v>
      </c>
      <c r="B2177">
        <v>2014</v>
      </c>
      <c r="C2177" s="14">
        <f>1243.6*(2/3*10)</f>
        <v>8290.6666666666661</v>
      </c>
      <c r="D2177" s="14">
        <f>47.7*(2/3*10)</f>
        <v>318</v>
      </c>
      <c r="E2177" s="14">
        <f>1993.7*(2/3*10)</f>
        <v>13291.333333333332</v>
      </c>
      <c r="F2177" s="14">
        <f>381*(2/3*10)</f>
        <v>2540</v>
      </c>
      <c r="G2177" s="14">
        <f>147.6*(2/3*10)</f>
        <v>984.00000000000011</v>
      </c>
      <c r="H2177" s="14">
        <f>58.9*(2/3*10)</f>
        <v>392.66666666666663</v>
      </c>
      <c r="I2177" s="14">
        <f>62*(2/3*10)</f>
        <v>413.33333333333331</v>
      </c>
      <c r="K2177">
        <v>2174</v>
      </c>
      <c r="L2177">
        <f t="shared" si="34"/>
        <v>6</v>
      </c>
    </row>
    <row r="2178" spans="1:12" ht="16.5" x14ac:dyDescent="0.2">
      <c r="A2178" s="4" t="s">
        <v>79</v>
      </c>
      <c r="B2178">
        <v>2015</v>
      </c>
      <c r="C2178" s="14">
        <f>1242.2*(2/3*10)</f>
        <v>8281.3333333333321</v>
      </c>
      <c r="D2178" s="14">
        <f>47.4*(2/3*10)</f>
        <v>315.99999999999994</v>
      </c>
      <c r="E2178" s="14">
        <f>1993*(2/3*10)</f>
        <v>13286.666666666666</v>
      </c>
      <c r="F2178" s="14">
        <f>380.8*(2/3*10)</f>
        <v>2538.6666666666665</v>
      </c>
      <c r="G2178" s="14">
        <f>149*(2/3*10)</f>
        <v>993.33333333333326</v>
      </c>
      <c r="H2178" s="14">
        <f>59.9*(2/3*10)</f>
        <v>399.33333333333331</v>
      </c>
      <c r="I2178" s="14">
        <f>62*(2/3*10)</f>
        <v>413.33333333333331</v>
      </c>
      <c r="K2178" s="15">
        <v>2175</v>
      </c>
      <c r="L2178">
        <f t="shared" si="34"/>
        <v>7</v>
      </c>
    </row>
    <row r="2179" spans="1:12" ht="16.5" x14ac:dyDescent="0.2">
      <c r="A2179" s="4" t="s">
        <v>79</v>
      </c>
      <c r="B2179">
        <v>2016</v>
      </c>
      <c r="C2179" s="14">
        <f>1239.8*(2/3*10)</f>
        <v>8265.3333333333321</v>
      </c>
      <c r="D2179" s="14">
        <f>47.2*(2/3*10)</f>
        <v>314.66666666666669</v>
      </c>
      <c r="E2179" s="14">
        <f>1992.2*(2/3*10)</f>
        <v>13281.333333333332</v>
      </c>
      <c r="F2179" s="14">
        <f>380.4*(2/3*10)</f>
        <v>2535.9999999999995</v>
      </c>
      <c r="G2179" s="14">
        <f>151.9*(2/3*10)</f>
        <v>1012.6666666666666</v>
      </c>
      <c r="H2179" s="14">
        <f>61*(2/3*10)</f>
        <v>406.66666666666663</v>
      </c>
      <c r="I2179" s="14">
        <f>62*(2/3*10)</f>
        <v>413.33333333333331</v>
      </c>
      <c r="K2179">
        <v>2176</v>
      </c>
      <c r="L2179">
        <f t="shared" si="34"/>
        <v>0</v>
      </c>
    </row>
    <row r="2180" spans="1:12" ht="16.5" x14ac:dyDescent="0.2">
      <c r="A2180" s="4" t="s">
        <v>78</v>
      </c>
      <c r="B2180">
        <v>2009</v>
      </c>
      <c r="C2180" s="14">
        <f>380.8*(2/3*10)</f>
        <v>2538.6666666666665</v>
      </c>
      <c r="D2180" s="14">
        <f>40.8*(2/3*10)</f>
        <v>271.99999999999994</v>
      </c>
      <c r="E2180" s="14">
        <f>1359.8*(2/3*10)</f>
        <v>9065.3333333333321</v>
      </c>
      <c r="F2180" s="14">
        <f>167.4*(2/3*10)</f>
        <v>1116</v>
      </c>
      <c r="G2180" s="14">
        <f>56.8*(2/3*10)</f>
        <v>378.66666666666663</v>
      </c>
      <c r="H2180" s="14">
        <f>28.2*(2/3*10)</f>
        <v>187.99999999999997</v>
      </c>
      <c r="I2180" s="14">
        <f>75.8*(2/3*10)</f>
        <v>505.33333333333326</v>
      </c>
      <c r="K2180">
        <v>2177</v>
      </c>
      <c r="L2180">
        <f t="shared" si="34"/>
        <v>1</v>
      </c>
    </row>
    <row r="2181" spans="1:12" ht="16.5" x14ac:dyDescent="0.2">
      <c r="A2181" s="4" t="s">
        <v>78</v>
      </c>
      <c r="B2181">
        <v>2010</v>
      </c>
      <c r="C2181" s="14">
        <f>380.5*(2/3*10)</f>
        <v>2536.6666666666665</v>
      </c>
      <c r="D2181" s="14">
        <f>40.6*(2/3*10)</f>
        <v>270.66666666666663</v>
      </c>
      <c r="E2181" s="14">
        <f>1359.1*(2/3*10)</f>
        <v>9060.6666666666661</v>
      </c>
      <c r="F2181" s="14">
        <f>167.2*(2/3*10)</f>
        <v>1114.6666666666665</v>
      </c>
      <c r="G2181" s="14">
        <f>58.1*(2/3*10)</f>
        <v>387.33333333333331</v>
      </c>
      <c r="H2181" s="14">
        <f>28.3*(2/3*10)</f>
        <v>188.66666666666666</v>
      </c>
      <c r="I2181" s="14">
        <f>75.8*(2/3*10)</f>
        <v>505.33333333333326</v>
      </c>
      <c r="K2181" s="15">
        <v>2178</v>
      </c>
      <c r="L2181">
        <f t="shared" si="34"/>
        <v>2</v>
      </c>
    </row>
    <row r="2182" spans="1:12" ht="16.5" x14ac:dyDescent="0.2">
      <c r="A2182" s="4" t="s">
        <v>78</v>
      </c>
      <c r="B2182">
        <v>2011</v>
      </c>
      <c r="C2182" s="14">
        <f>380.1*(2/3*10)</f>
        <v>2534</v>
      </c>
      <c r="D2182" s="14">
        <f>40.5*(2/3*10)</f>
        <v>270</v>
      </c>
      <c r="E2182" s="14">
        <f>1358.2*(2/3*10)</f>
        <v>9054.6666666666661</v>
      </c>
      <c r="F2182" s="14">
        <f>166.7*(2/3*10)</f>
        <v>1111.3333333333333</v>
      </c>
      <c r="G2182" s="14">
        <f>59.4*(2/3*10)</f>
        <v>396</v>
      </c>
      <c r="H2182" s="14">
        <f>28.9*(2/3*10)</f>
        <v>192.66666666666663</v>
      </c>
      <c r="I2182" s="14">
        <f>75.8*(2/3*10)</f>
        <v>505.33333333333326</v>
      </c>
      <c r="K2182">
        <v>2179</v>
      </c>
      <c r="L2182">
        <f t="shared" si="34"/>
        <v>3</v>
      </c>
    </row>
    <row r="2183" spans="1:12" ht="16.5" x14ac:dyDescent="0.2">
      <c r="A2183" s="4" t="s">
        <v>78</v>
      </c>
      <c r="B2183">
        <v>2012</v>
      </c>
      <c r="C2183" s="14">
        <f>379.5*(2/3*10)</f>
        <v>2530</v>
      </c>
      <c r="D2183" s="14">
        <f>40.5*(2/3*10)</f>
        <v>270</v>
      </c>
      <c r="E2183" s="14">
        <f>1358.1*(2/3*10)</f>
        <v>9053.9999999999982</v>
      </c>
      <c r="F2183" s="14">
        <f>166.7*(2/3*10)</f>
        <v>1111.3333333333333</v>
      </c>
      <c r="G2183" s="14">
        <f>60.2*(2/3*10)</f>
        <v>401.33333333333331</v>
      </c>
      <c r="H2183" s="14">
        <f>28.9*(2/3*10)</f>
        <v>192.66666666666663</v>
      </c>
      <c r="I2183" s="14">
        <f>75.7*(2/3*10)</f>
        <v>504.66666666666663</v>
      </c>
      <c r="K2183" s="15">
        <v>2180</v>
      </c>
      <c r="L2183">
        <f t="shared" si="34"/>
        <v>4</v>
      </c>
    </row>
    <row r="2184" spans="1:12" ht="16.5" x14ac:dyDescent="0.2">
      <c r="A2184" s="4" t="s">
        <v>78</v>
      </c>
      <c r="B2184">
        <v>2013</v>
      </c>
      <c r="C2184" s="14">
        <f>378.5*(2/3*10)</f>
        <v>2523.333333333333</v>
      </c>
      <c r="D2184" s="14">
        <f>40.4*(2/3*10)</f>
        <v>269.33333333333331</v>
      </c>
      <c r="E2184" s="14">
        <f>1358*(2/3*10)</f>
        <v>9053.3333333333321</v>
      </c>
      <c r="F2184" s="14">
        <f>166.6*(2/3*10)</f>
        <v>1110.6666666666665</v>
      </c>
      <c r="G2184" s="14">
        <f>61.5*(2/3*10)</f>
        <v>409.99999999999994</v>
      </c>
      <c r="H2184" s="14">
        <f>29*(2/3*10)</f>
        <v>193.33333333333331</v>
      </c>
      <c r="I2184" s="14">
        <f>75.7*(2/3*10)</f>
        <v>504.66666666666663</v>
      </c>
      <c r="K2184">
        <v>2181</v>
      </c>
      <c r="L2184">
        <f t="shared" si="34"/>
        <v>5</v>
      </c>
    </row>
    <row r="2185" spans="1:12" ht="16.5" x14ac:dyDescent="0.2">
      <c r="A2185" s="4" t="s">
        <v>78</v>
      </c>
      <c r="B2185">
        <v>2014</v>
      </c>
      <c r="C2185" s="14">
        <f>377.7*(2/3*10)</f>
        <v>2517.9999999999995</v>
      </c>
      <c r="D2185" s="14">
        <f>40.3*(2/3*10)</f>
        <v>268.66666666666663</v>
      </c>
      <c r="E2185" s="14">
        <f>1357.7*(2/3*10)</f>
        <v>9051.3333333333321</v>
      </c>
      <c r="F2185" s="14">
        <f>166.6*(2/3*10)</f>
        <v>1110.6666666666665</v>
      </c>
      <c r="G2185" s="14">
        <f>62.5*(2/3*10)</f>
        <v>416.66666666666663</v>
      </c>
      <c r="H2185" s="14">
        <f>29.4*(2/3*10)</f>
        <v>195.99999999999997</v>
      </c>
      <c r="I2185" s="14">
        <f>75.7*(2/3*10)</f>
        <v>504.66666666666663</v>
      </c>
      <c r="K2185">
        <v>2182</v>
      </c>
      <c r="L2185">
        <f t="shared" si="34"/>
        <v>6</v>
      </c>
    </row>
    <row r="2186" spans="1:12" ht="16.5" x14ac:dyDescent="0.2">
      <c r="A2186" s="4" t="s">
        <v>78</v>
      </c>
      <c r="B2186">
        <v>2015</v>
      </c>
      <c r="C2186" s="14">
        <f>377*(2/3*10)</f>
        <v>2513.333333333333</v>
      </c>
      <c r="D2186" s="14">
        <f>40.2*(2/3*10)</f>
        <v>268</v>
      </c>
      <c r="E2186" s="14">
        <f>1357.5*(2/3*10)</f>
        <v>9050</v>
      </c>
      <c r="F2186" s="14">
        <f>166.5*(2/3*10)</f>
        <v>1110</v>
      </c>
      <c r="G2186" s="14">
        <f>63.3*(2/3*10)</f>
        <v>421.99999999999994</v>
      </c>
      <c r="H2186" s="14">
        <f>29.6*(2/3*10)</f>
        <v>197.33333333333331</v>
      </c>
      <c r="I2186" s="14">
        <f>75.7*(2/3*10)</f>
        <v>504.66666666666663</v>
      </c>
      <c r="K2186" s="15">
        <v>2183</v>
      </c>
      <c r="L2186">
        <f t="shared" si="34"/>
        <v>7</v>
      </c>
    </row>
    <row r="2187" spans="1:12" ht="16.5" x14ac:dyDescent="0.2">
      <c r="A2187" s="4" t="s">
        <v>78</v>
      </c>
      <c r="B2187">
        <v>2016</v>
      </c>
      <c r="C2187" s="14">
        <f>377.3*(2/3*10)</f>
        <v>2515.333333333333</v>
      </c>
      <c r="D2187" s="14">
        <f>40.1*(2/3*10)</f>
        <v>267.33333333333331</v>
      </c>
      <c r="E2187" s="14">
        <f>1357.3*(2/3*10)</f>
        <v>9048.6666666666661</v>
      </c>
      <c r="F2187" s="14">
        <f>165.7*(2/3*10)</f>
        <v>1104.6666666666665</v>
      </c>
      <c r="G2187" s="14">
        <f>64.1*(2/3*10)</f>
        <v>427.33333333333326</v>
      </c>
      <c r="H2187" s="14">
        <f>29.8*(2/3*10)</f>
        <v>198.66666666666666</v>
      </c>
      <c r="I2187" s="14">
        <f>75.7*(2/3*10)</f>
        <v>504.66666666666663</v>
      </c>
      <c r="K2187">
        <v>2184</v>
      </c>
      <c r="L2187">
        <f t="shared" si="34"/>
        <v>0</v>
      </c>
    </row>
    <row r="2188" spans="1:12" ht="16.5" x14ac:dyDescent="0.2">
      <c r="A2188" s="4" t="s">
        <v>77</v>
      </c>
      <c r="B2188">
        <v>2009</v>
      </c>
      <c r="C2188" s="14">
        <f>498.7*(2/3*10)</f>
        <v>3324.6666666666665</v>
      </c>
      <c r="D2188" s="14">
        <f>91.2*(2/3*10)</f>
        <v>608</v>
      </c>
      <c r="E2188" s="14">
        <f>1798*(2/3*10)</f>
        <v>11986.666666666666</v>
      </c>
      <c r="F2188" s="14">
        <f>189.2*(2/3*10)</f>
        <v>1261.3333333333333</v>
      </c>
      <c r="G2188" s="14">
        <f>68.2*(2/3*10)</f>
        <v>454.66666666666657</v>
      </c>
      <c r="H2188" s="14">
        <f>29.1*(2/3*10)</f>
        <v>194</v>
      </c>
      <c r="I2188" s="14">
        <f>40.1*(2/3*10)</f>
        <v>267.33333333333331</v>
      </c>
      <c r="K2188" s="15">
        <v>2185</v>
      </c>
      <c r="L2188">
        <f t="shared" si="34"/>
        <v>1</v>
      </c>
    </row>
    <row r="2189" spans="1:12" ht="16.5" x14ac:dyDescent="0.2">
      <c r="A2189" s="4" t="s">
        <v>77</v>
      </c>
      <c r="B2189">
        <v>2010</v>
      </c>
      <c r="C2189" s="14">
        <f>498.5*(2/3*10)</f>
        <v>3323.333333333333</v>
      </c>
      <c r="D2189" s="14">
        <f>91.2*(2/3*10)</f>
        <v>608</v>
      </c>
      <c r="E2189" s="14">
        <f>1797.7*(2/3*10)</f>
        <v>11984.666666666666</v>
      </c>
      <c r="F2189" s="14">
        <f>188.9*(2/3*10)</f>
        <v>1259.3333333333333</v>
      </c>
      <c r="G2189" s="14">
        <f>69.2*(2/3*10)</f>
        <v>461.33333333333331</v>
      </c>
      <c r="H2189" s="14">
        <f>29.1*(2/3*10)</f>
        <v>194</v>
      </c>
      <c r="I2189" s="14">
        <f>40.1*(2/3*10)</f>
        <v>267.33333333333331</v>
      </c>
      <c r="K2189">
        <v>2186</v>
      </c>
      <c r="L2189">
        <f t="shared" si="34"/>
        <v>2</v>
      </c>
    </row>
    <row r="2190" spans="1:12" ht="16.5" x14ac:dyDescent="0.2">
      <c r="A2190" s="4" t="s">
        <v>77</v>
      </c>
      <c r="B2190">
        <v>2011</v>
      </c>
      <c r="C2190" s="14">
        <f>498.5*(2/3*10)</f>
        <v>3323.333333333333</v>
      </c>
      <c r="D2190" s="14">
        <f>91*(2/3*10)</f>
        <v>606.66666666666663</v>
      </c>
      <c r="E2190" s="14">
        <f>1797.2*(2/3*10)</f>
        <v>11981.333333333332</v>
      </c>
      <c r="F2190" s="14">
        <f>188.3*(2/3*10)</f>
        <v>1255.3333333333333</v>
      </c>
      <c r="G2190" s="14">
        <f>70*(2/3*10)</f>
        <v>466.66666666666663</v>
      </c>
      <c r="H2190" s="14">
        <f>29.5*(2/3*10)</f>
        <v>196.66666666666666</v>
      </c>
      <c r="I2190" s="14">
        <f>40.1*(2/3*10)</f>
        <v>267.33333333333331</v>
      </c>
      <c r="K2190">
        <v>2187</v>
      </c>
      <c r="L2190">
        <f t="shared" si="34"/>
        <v>3</v>
      </c>
    </row>
    <row r="2191" spans="1:12" ht="16.5" x14ac:dyDescent="0.2">
      <c r="A2191" s="4" t="s">
        <v>77</v>
      </c>
      <c r="B2191">
        <v>2012</v>
      </c>
      <c r="C2191" s="14">
        <f>498.9*(2/3*10)</f>
        <v>3325.9999999999995</v>
      </c>
      <c r="D2191" s="14">
        <f>90.9*(2/3*10)</f>
        <v>606</v>
      </c>
      <c r="E2191" s="14">
        <f>1796.7*(2/3*10)</f>
        <v>11978</v>
      </c>
      <c r="F2191" s="14">
        <f>187.4*(2/3*10)</f>
        <v>1249.3333333333333</v>
      </c>
      <c r="G2191" s="14">
        <f>71.2*(2/3*10)</f>
        <v>474.66666666666663</v>
      </c>
      <c r="H2191" s="14">
        <f>29.7*(2/3*10)</f>
        <v>197.99999999999997</v>
      </c>
      <c r="I2191" s="14">
        <f>40.1*(2/3*10)</f>
        <v>267.33333333333331</v>
      </c>
      <c r="K2191" s="15">
        <v>2188</v>
      </c>
      <c r="L2191">
        <f t="shared" si="34"/>
        <v>4</v>
      </c>
    </row>
    <row r="2192" spans="1:12" ht="16.5" x14ac:dyDescent="0.2">
      <c r="A2192" s="4" t="s">
        <v>77</v>
      </c>
      <c r="B2192">
        <v>2013</v>
      </c>
      <c r="C2192" s="14">
        <f>498.1*(2/3*10)</f>
        <v>3320.6666666666665</v>
      </c>
      <c r="D2192" s="14">
        <f>90.8*(2/3*10)</f>
        <v>605.33333333333326</v>
      </c>
      <c r="E2192" s="14">
        <f>1796.4*(2/3*10)</f>
        <v>11976</v>
      </c>
      <c r="F2192" s="14">
        <f>187.2*(2/3*10)</f>
        <v>1247.9999999999998</v>
      </c>
      <c r="G2192" s="14">
        <f>72.3*(2/3*10)</f>
        <v>481.99999999999994</v>
      </c>
      <c r="H2192" s="14">
        <f>30*(2/3*10)</f>
        <v>199.99999999999997</v>
      </c>
      <c r="I2192" s="14">
        <f>40.1*(2/3*10)</f>
        <v>267.33333333333331</v>
      </c>
      <c r="K2192">
        <v>2189</v>
      </c>
      <c r="L2192">
        <f t="shared" si="34"/>
        <v>5</v>
      </c>
    </row>
    <row r="2193" spans="1:12" ht="16.5" x14ac:dyDescent="0.2">
      <c r="A2193" s="4" t="s">
        <v>77</v>
      </c>
      <c r="B2193">
        <v>2014</v>
      </c>
      <c r="C2193" s="14">
        <f>497.2*(2/3*10)</f>
        <v>3314.6666666666665</v>
      </c>
      <c r="D2193" s="14">
        <f>90.6*(2/3*10)</f>
        <v>603.99999999999989</v>
      </c>
      <c r="E2193" s="14">
        <f>1796.1*(2/3*10)</f>
        <v>11973.999999999998</v>
      </c>
      <c r="F2193" s="14">
        <f>187.1*(2/3*10)</f>
        <v>1247.3333333333333</v>
      </c>
      <c r="G2193" s="14">
        <f>73.3*(2/3*10)</f>
        <v>488.66666666666663</v>
      </c>
      <c r="H2193" s="14">
        <f>30.5*(2/3*10)</f>
        <v>203.33333333333331</v>
      </c>
      <c r="I2193" s="14">
        <f>40.1*(2/3*10)</f>
        <v>267.33333333333331</v>
      </c>
      <c r="K2193" s="15">
        <v>2190</v>
      </c>
      <c r="L2193">
        <f t="shared" si="34"/>
        <v>6</v>
      </c>
    </row>
    <row r="2194" spans="1:12" ht="16.5" x14ac:dyDescent="0.2">
      <c r="A2194" s="4" t="s">
        <v>77</v>
      </c>
      <c r="B2194">
        <v>2015</v>
      </c>
      <c r="C2194" s="14">
        <f>498*(2/3*10)</f>
        <v>3319.9999999999995</v>
      </c>
      <c r="D2194" s="14">
        <f>90.3*(2/3*10)</f>
        <v>601.99999999999989</v>
      </c>
      <c r="E2194" s="14">
        <f>1795.7*(2/3*10)</f>
        <v>11971.333333333332</v>
      </c>
      <c r="F2194" s="14">
        <f>185.7*(2/3*10)</f>
        <v>1237.9999999999998</v>
      </c>
      <c r="G2194" s="14">
        <f>74.2*(2/3*10)</f>
        <v>494.66666666666663</v>
      </c>
      <c r="H2194" s="14">
        <f>30.9*(2/3*10)</f>
        <v>205.99999999999997</v>
      </c>
      <c r="I2194" s="14">
        <f>39.9*(2/3*10)</f>
        <v>265.99999999999994</v>
      </c>
      <c r="K2194">
        <v>2191</v>
      </c>
      <c r="L2194">
        <f t="shared" si="34"/>
        <v>7</v>
      </c>
    </row>
    <row r="2195" spans="1:12" ht="16.5" x14ac:dyDescent="0.2">
      <c r="A2195" s="4" t="s">
        <v>77</v>
      </c>
      <c r="B2195">
        <v>2016</v>
      </c>
      <c r="C2195" s="14">
        <f>496*(2/3*10)</f>
        <v>3306.6666666666665</v>
      </c>
      <c r="D2195" s="14">
        <f>90*(2/3*10)</f>
        <v>600</v>
      </c>
      <c r="E2195" s="14">
        <f>1794.6*(2/3*10)</f>
        <v>11963.999999999998</v>
      </c>
      <c r="F2195" s="14">
        <f>185.4*(2/3*10)</f>
        <v>1236</v>
      </c>
      <c r="G2195" s="14">
        <f>76.8*(2/3*10)</f>
        <v>511.99999999999994</v>
      </c>
      <c r="H2195" s="14">
        <f>31*(2/3*10)</f>
        <v>206.66666666666666</v>
      </c>
      <c r="I2195" s="14">
        <f>41*(2/3*10)</f>
        <v>273.33333333333331</v>
      </c>
      <c r="K2195">
        <v>2192</v>
      </c>
      <c r="L2195">
        <f t="shared" si="34"/>
        <v>0</v>
      </c>
    </row>
    <row r="2196" spans="1:12" ht="16.5" x14ac:dyDescent="0.2">
      <c r="A2196" s="4" t="s">
        <v>76</v>
      </c>
      <c r="B2196">
        <v>2009</v>
      </c>
      <c r="C2196" s="14">
        <f>926.8*(2/3*10)</f>
        <v>6178.6666666666661</v>
      </c>
      <c r="D2196" s="14">
        <f>57*(2/3*10)</f>
        <v>379.99999999999994</v>
      </c>
      <c r="E2196" s="14">
        <f>1550.7*(2/3*10)</f>
        <v>10338</v>
      </c>
      <c r="F2196" s="14">
        <f>407.2*(2/3*10)</f>
        <v>2714.6666666666665</v>
      </c>
      <c r="G2196" s="14">
        <f>79.8*(2/3*10)</f>
        <v>531.99999999999989</v>
      </c>
      <c r="H2196" s="14">
        <f>25.6*(2/3*10)</f>
        <v>170.66666666666666</v>
      </c>
      <c r="I2196" s="14">
        <f>37.2*(2/3*10)</f>
        <v>248</v>
      </c>
      <c r="K2196" s="15">
        <v>2193</v>
      </c>
      <c r="L2196">
        <f t="shared" si="34"/>
        <v>1</v>
      </c>
    </row>
    <row r="2197" spans="1:12" ht="16.5" x14ac:dyDescent="0.2">
      <c r="A2197" s="4" t="s">
        <v>76</v>
      </c>
      <c r="B2197">
        <v>2010</v>
      </c>
      <c r="C2197" s="14">
        <f>926.2*(2/3*10)</f>
        <v>6174.6666666666661</v>
      </c>
      <c r="D2197" s="14">
        <f>56.9*(2/3*10)</f>
        <v>379.33333333333331</v>
      </c>
      <c r="E2197" s="14">
        <f>1550.5*(2/3*10)</f>
        <v>10336.666666666666</v>
      </c>
      <c r="F2197" s="14">
        <f>407*(2/3*10)</f>
        <v>2713.333333333333</v>
      </c>
      <c r="G2197" s="14">
        <f>80.6*(2/3*10)</f>
        <v>537.33333333333337</v>
      </c>
      <c r="H2197" s="14">
        <f>25.6*(2/3*10)</f>
        <v>170.66666666666666</v>
      </c>
      <c r="I2197" s="14">
        <f>37.4*(2/3*10)</f>
        <v>249.33333333333331</v>
      </c>
      <c r="K2197">
        <v>2194</v>
      </c>
      <c r="L2197">
        <f t="shared" si="34"/>
        <v>2</v>
      </c>
    </row>
    <row r="2198" spans="1:12" ht="16.5" x14ac:dyDescent="0.2">
      <c r="A2198" s="4" t="s">
        <v>76</v>
      </c>
      <c r="B2198">
        <v>2011</v>
      </c>
      <c r="C2198" s="14">
        <f>925.7*(2/3*10)</f>
        <v>6171.333333333333</v>
      </c>
      <c r="D2198" s="14">
        <f>57.2*(2/3*10)</f>
        <v>381.33333333333331</v>
      </c>
      <c r="E2198" s="14">
        <f>1550.3*(2/3*10)</f>
        <v>10335.333333333332</v>
      </c>
      <c r="F2198" s="14">
        <f>406.9*(2/3*10)</f>
        <v>2712.6666666666661</v>
      </c>
      <c r="G2198" s="14">
        <f>81.2*(2/3*10)</f>
        <v>541.33333333333326</v>
      </c>
      <c r="H2198" s="14">
        <f>25.9*(2/3*10)</f>
        <v>172.66666666666663</v>
      </c>
      <c r="I2198" s="14">
        <f>37.4*(2/3*10)</f>
        <v>249.33333333333331</v>
      </c>
      <c r="K2198" s="15">
        <v>2195</v>
      </c>
      <c r="L2198">
        <f t="shared" si="34"/>
        <v>3</v>
      </c>
    </row>
    <row r="2199" spans="1:12" ht="16.5" x14ac:dyDescent="0.2">
      <c r="A2199" s="4" t="s">
        <v>76</v>
      </c>
      <c r="B2199">
        <v>2012</v>
      </c>
      <c r="C2199" s="14">
        <f>923.2*(2/3*10)</f>
        <v>6154.6666666666661</v>
      </c>
      <c r="D2199" s="14">
        <f>56.8*(2/3*10)</f>
        <v>378.66666666666663</v>
      </c>
      <c r="E2199" s="14">
        <f>1549.9*(2/3*10)</f>
        <v>10332.666666666666</v>
      </c>
      <c r="F2199" s="14">
        <f>406.7*(2/3*10)</f>
        <v>2711.333333333333</v>
      </c>
      <c r="G2199" s="14">
        <f>82.4*(2/3*10)</f>
        <v>549.33333333333337</v>
      </c>
      <c r="H2199" s="14">
        <f>25.9*(2/3*10)</f>
        <v>172.66666666666663</v>
      </c>
      <c r="I2199" s="14">
        <f>37.5*(2/3*10)</f>
        <v>249.99999999999997</v>
      </c>
      <c r="K2199">
        <v>2196</v>
      </c>
      <c r="L2199">
        <f t="shared" si="34"/>
        <v>4</v>
      </c>
    </row>
    <row r="2200" spans="1:12" ht="16.5" x14ac:dyDescent="0.2">
      <c r="A2200" s="4" t="s">
        <v>76</v>
      </c>
      <c r="B2200">
        <v>2013</v>
      </c>
      <c r="C2200" s="14">
        <f>921.5*(2/3*10)</f>
        <v>6143.333333333333</v>
      </c>
      <c r="D2200" s="14">
        <f>56.1*(2/3*10)</f>
        <v>374</v>
      </c>
      <c r="E2200" s="14">
        <f>1548.9*(2/3*10)</f>
        <v>10326</v>
      </c>
      <c r="F2200" s="14">
        <f>406.4*(2/3*10)</f>
        <v>2709.333333333333</v>
      </c>
      <c r="G2200" s="14">
        <f>82.8*(2/3*10)</f>
        <v>552</v>
      </c>
      <c r="H2200" s="14">
        <f>26.1*(2/3*10)</f>
        <v>174</v>
      </c>
      <c r="I2200" s="14">
        <f>41*(2/3*10)</f>
        <v>273.33333333333331</v>
      </c>
      <c r="K2200">
        <v>2197</v>
      </c>
      <c r="L2200">
        <f t="shared" si="34"/>
        <v>5</v>
      </c>
    </row>
    <row r="2201" spans="1:12" ht="16.5" x14ac:dyDescent="0.2">
      <c r="A2201" s="4" t="s">
        <v>76</v>
      </c>
      <c r="B2201">
        <v>2014</v>
      </c>
      <c r="C2201" s="14">
        <f>918.9*(2/3*10)</f>
        <v>6125.9999999999991</v>
      </c>
      <c r="D2201" s="14">
        <f>55.6*(2/3*10)</f>
        <v>370.66666666666663</v>
      </c>
      <c r="E2201" s="14">
        <f>1546.8*(2/3*10)</f>
        <v>10311.999999999998</v>
      </c>
      <c r="F2201" s="14">
        <f>406.2*(2/3*10)</f>
        <v>2707.9999999999995</v>
      </c>
      <c r="G2201" s="14">
        <f>83.7*(2/3*10)</f>
        <v>558.00000000000011</v>
      </c>
      <c r="H2201" s="14">
        <f>26.7*(2/3*10)</f>
        <v>177.99999999999997</v>
      </c>
      <c r="I2201" s="14">
        <f>41*(2/3*10)</f>
        <v>273.33333333333331</v>
      </c>
      <c r="K2201" s="15">
        <v>2198</v>
      </c>
      <c r="L2201">
        <f t="shared" si="34"/>
        <v>6</v>
      </c>
    </row>
    <row r="2202" spans="1:12" ht="16.5" x14ac:dyDescent="0.2">
      <c r="A2202" s="4" t="s">
        <v>76</v>
      </c>
      <c r="B2202">
        <v>2015</v>
      </c>
      <c r="C2202" s="14">
        <f>918.9*(2/3*10)</f>
        <v>6125.9999999999991</v>
      </c>
      <c r="D2202" s="14">
        <f>55.5*(2/3*10)</f>
        <v>369.99999999999994</v>
      </c>
      <c r="E2202" s="14">
        <f>1546.7*(2/3*10)</f>
        <v>10311.333333333332</v>
      </c>
      <c r="F2202" s="14">
        <f>405.4*(2/3*10)</f>
        <v>2702.6666666666661</v>
      </c>
      <c r="G2202" s="14">
        <f>84.7*(2/3*10)</f>
        <v>564.66666666666674</v>
      </c>
      <c r="H2202" s="14">
        <f>26.7*(2/3*10)</f>
        <v>177.99999999999997</v>
      </c>
      <c r="I2202" s="14">
        <f>41*(2/3*10)</f>
        <v>273.33333333333331</v>
      </c>
      <c r="K2202">
        <v>2199</v>
      </c>
      <c r="L2202">
        <f t="shared" si="34"/>
        <v>7</v>
      </c>
    </row>
    <row r="2203" spans="1:12" ht="16.5" x14ac:dyDescent="0.2">
      <c r="A2203" s="4" t="s">
        <v>76</v>
      </c>
      <c r="B2203">
        <v>2016</v>
      </c>
      <c r="C2203" s="14">
        <f>921.7*(2/3*10)</f>
        <v>6144.6666666666661</v>
      </c>
      <c r="D2203" s="14">
        <f>55.1*(2/3*10)</f>
        <v>367.33333333333331</v>
      </c>
      <c r="E2203" s="14">
        <f>1546*(2/3*10)</f>
        <v>10306.666666666666</v>
      </c>
      <c r="F2203" s="14">
        <f>401.9*(2/3*10)</f>
        <v>2679.333333333333</v>
      </c>
      <c r="G2203" s="14">
        <f>86.4*(2/3*10)</f>
        <v>576</v>
      </c>
      <c r="H2203" s="14">
        <f>26.8*(2/3*10)</f>
        <v>178.66666666666666</v>
      </c>
      <c r="I2203" s="14">
        <f>40.9*(2/3*10)</f>
        <v>272.66666666666663</v>
      </c>
      <c r="K2203" s="15">
        <v>2200</v>
      </c>
      <c r="L2203">
        <f t="shared" si="34"/>
        <v>0</v>
      </c>
    </row>
    <row r="2204" spans="1:12" ht="16.5" x14ac:dyDescent="0.2">
      <c r="A2204" s="4" t="s">
        <v>75</v>
      </c>
      <c r="B2204">
        <v>2009</v>
      </c>
      <c r="C2204" s="14">
        <f>308.4*(2/3*10)</f>
        <v>2055.9999999999995</v>
      </c>
      <c r="D2204" s="14">
        <f>26*(2/3*10)</f>
        <v>173.33333333333331</v>
      </c>
      <c r="E2204" s="14">
        <f>2139.2*(2/3*10)</f>
        <v>14261.33333333333</v>
      </c>
      <c r="F2204" s="14">
        <f>363.6*(2/3*10)</f>
        <v>2424</v>
      </c>
      <c r="G2204" s="14">
        <f>36.4*(2/3*10)</f>
        <v>242.66666666666663</v>
      </c>
      <c r="H2204" s="14">
        <f>18.3*(2/3*10)</f>
        <v>122</v>
      </c>
      <c r="I2204" s="14">
        <f>53.6*(2/3*10)</f>
        <v>357.33333333333331</v>
      </c>
      <c r="K2204">
        <v>2201</v>
      </c>
      <c r="L2204">
        <f t="shared" si="34"/>
        <v>1</v>
      </c>
    </row>
    <row r="2205" spans="1:12" ht="16.5" x14ac:dyDescent="0.2">
      <c r="A2205" s="4" t="s">
        <v>75</v>
      </c>
      <c r="B2205">
        <v>2010</v>
      </c>
      <c r="C2205" s="14">
        <f>308.1*(2/3*10)</f>
        <v>2054</v>
      </c>
      <c r="D2205" s="14">
        <f>26*(2/3*10)</f>
        <v>173.33333333333331</v>
      </c>
      <c r="E2205" s="14">
        <f>2139*(2/3*10)</f>
        <v>14259.999999999998</v>
      </c>
      <c r="F2205" s="14">
        <f>363.5*(2/3*10)</f>
        <v>2423.333333333333</v>
      </c>
      <c r="G2205" s="14">
        <f>37.1*(2/3*10)</f>
        <v>247.33333333333329</v>
      </c>
      <c r="H2205" s="14">
        <f>18.4*(2/3*10)</f>
        <v>122.66666666666664</v>
      </c>
      <c r="I2205" s="14">
        <f>53.6*(2/3*10)</f>
        <v>357.33333333333331</v>
      </c>
      <c r="K2205">
        <v>2202</v>
      </c>
      <c r="L2205">
        <f t="shared" si="34"/>
        <v>2</v>
      </c>
    </row>
    <row r="2206" spans="1:12" ht="16.5" x14ac:dyDescent="0.2">
      <c r="A2206" s="4" t="s">
        <v>75</v>
      </c>
      <c r="B2206">
        <v>2011</v>
      </c>
      <c r="C2206" s="14">
        <f>307.6*(2/3*10)</f>
        <v>2050.6666666666665</v>
      </c>
      <c r="D2206" s="14">
        <f>26*(2/3*10)</f>
        <v>173.33333333333331</v>
      </c>
      <c r="E2206" s="14">
        <f>2138.6*(2/3*10)</f>
        <v>14257.333333333332</v>
      </c>
      <c r="F2206" s="14">
        <f>363.1*(2/3*10)</f>
        <v>2420.6666666666665</v>
      </c>
      <c r="G2206" s="14">
        <f>37.7*(2/3*10)</f>
        <v>251.33333333333329</v>
      </c>
      <c r="H2206" s="14">
        <f>19.3*(2/3*10)</f>
        <v>128.66666666666666</v>
      </c>
      <c r="I2206" s="14">
        <f>53.5*(2/3*10)</f>
        <v>356.66666666666663</v>
      </c>
      <c r="K2206" s="15">
        <v>2203</v>
      </c>
      <c r="L2206">
        <f t="shared" si="34"/>
        <v>3</v>
      </c>
    </row>
    <row r="2207" spans="1:12" ht="16.5" x14ac:dyDescent="0.2">
      <c r="A2207" s="4" t="s">
        <v>75</v>
      </c>
      <c r="B2207">
        <v>2012</v>
      </c>
      <c r="C2207" s="14">
        <f>307.1*(2/3*10)</f>
        <v>2047.3333333333333</v>
      </c>
      <c r="D2207" s="14">
        <f>25.9*(2/3*10)</f>
        <v>172.66666666666663</v>
      </c>
      <c r="E2207" s="14">
        <f>2138.3*(2/3*10)</f>
        <v>14255.333333333334</v>
      </c>
      <c r="F2207" s="14">
        <f>362.8*(2/3*10)</f>
        <v>2418.6666666666665</v>
      </c>
      <c r="G2207" s="14">
        <f>38.4*(2/3*10)</f>
        <v>255.99999999999997</v>
      </c>
      <c r="H2207" s="14">
        <f>19.5*(2/3*10)</f>
        <v>130</v>
      </c>
      <c r="I2207" s="14">
        <f>53.5*(2/3*10)</f>
        <v>356.66666666666663</v>
      </c>
      <c r="K2207">
        <v>2204</v>
      </c>
      <c r="L2207">
        <f t="shared" si="34"/>
        <v>4</v>
      </c>
    </row>
    <row r="2208" spans="1:12" ht="16.5" x14ac:dyDescent="0.2">
      <c r="A2208" s="4" t="s">
        <v>75</v>
      </c>
      <c r="B2208">
        <v>2013</v>
      </c>
      <c r="C2208" s="14">
        <f>306.7*(2/3*10)</f>
        <v>2044.6666666666665</v>
      </c>
      <c r="D2208" s="14">
        <f>25.7*(2/3*10)</f>
        <v>171.33333333333331</v>
      </c>
      <c r="E2208" s="14">
        <f>2138*(2/3*10)</f>
        <v>14253.333333333332</v>
      </c>
      <c r="F2208" s="14">
        <f>361.8*(2/3*10)</f>
        <v>2412</v>
      </c>
      <c r="G2208" s="14">
        <f>39*(2/3*10)</f>
        <v>260</v>
      </c>
      <c r="H2208" s="14">
        <f>19.8*(2/3*10)</f>
        <v>132</v>
      </c>
      <c r="I2208" s="14">
        <f>53.5*(2/3*10)</f>
        <v>356.66666666666663</v>
      </c>
      <c r="K2208" s="15">
        <v>2205</v>
      </c>
      <c r="L2208">
        <f t="shared" si="34"/>
        <v>5</v>
      </c>
    </row>
    <row r="2209" spans="1:12" ht="16.5" x14ac:dyDescent="0.2">
      <c r="A2209" s="4" t="s">
        <v>75</v>
      </c>
      <c r="B2209">
        <v>2014</v>
      </c>
      <c r="C2209" s="14">
        <f>306.4*(2/3*10)</f>
        <v>2042.6666666666663</v>
      </c>
      <c r="D2209" s="14">
        <f>25.7*(2/3*10)</f>
        <v>171.33333333333331</v>
      </c>
      <c r="E2209" s="14">
        <f>2137.8*(2/3*10)</f>
        <v>14252</v>
      </c>
      <c r="F2209" s="14">
        <f>361.4*(2/3*10)</f>
        <v>2409.333333333333</v>
      </c>
      <c r="G2209" s="14">
        <f>39.7*(2/3*10)</f>
        <v>264.66666666666669</v>
      </c>
      <c r="H2209" s="14">
        <f>20*(2/3*10)</f>
        <v>133.33333333333331</v>
      </c>
      <c r="I2209" s="14">
        <f>53.6*(2/3*10)</f>
        <v>357.33333333333331</v>
      </c>
      <c r="K2209">
        <v>2206</v>
      </c>
      <c r="L2209">
        <f t="shared" si="34"/>
        <v>6</v>
      </c>
    </row>
    <row r="2210" spans="1:12" ht="16.5" x14ac:dyDescent="0.2">
      <c r="A2210" s="4" t="s">
        <v>75</v>
      </c>
      <c r="B2210">
        <v>2015</v>
      </c>
      <c r="C2210" s="14">
        <f>306.1*(2/3*10)</f>
        <v>2040.6666666666667</v>
      </c>
      <c r="D2210" s="14">
        <f>25.5*(2/3*10)</f>
        <v>169.99999999999997</v>
      </c>
      <c r="E2210" s="14">
        <f>2136.5*(2/3*10)</f>
        <v>14243.333333333332</v>
      </c>
      <c r="F2210" s="14">
        <f>360.3*(2/3*10)</f>
        <v>2402</v>
      </c>
      <c r="G2210" s="14">
        <f>40.1*(2/3*10)</f>
        <v>267.33333333333326</v>
      </c>
      <c r="H2210" s="14">
        <f>20*(2/3*10)</f>
        <v>133.33333333333331</v>
      </c>
      <c r="I2210" s="14">
        <f>56*(2/3*10)</f>
        <v>373.33333333333331</v>
      </c>
      <c r="K2210">
        <v>2207</v>
      </c>
      <c r="L2210">
        <f t="shared" si="34"/>
        <v>7</v>
      </c>
    </row>
    <row r="2211" spans="1:12" ht="16.5" x14ac:dyDescent="0.2">
      <c r="A2211" s="4" t="s">
        <v>75</v>
      </c>
      <c r="B2211">
        <v>2016</v>
      </c>
      <c r="C2211" s="14">
        <f>305.7*(2/3*10)</f>
        <v>2037.9999999999998</v>
      </c>
      <c r="D2211" s="14">
        <f>25.5*(2/3*10)</f>
        <v>169.99999999999997</v>
      </c>
      <c r="E2211" s="14">
        <f>2136*(2/3*10)</f>
        <v>14239.999999999998</v>
      </c>
      <c r="F2211" s="14">
        <f>360*(2/3*10)</f>
        <v>2400</v>
      </c>
      <c r="G2211" s="14">
        <f>40.5*(2/3*10)</f>
        <v>270</v>
      </c>
      <c r="H2211" s="14">
        <f>20.2*(2/3*10)</f>
        <v>134.66666666666666</v>
      </c>
      <c r="I2211" s="14">
        <f>56.7*(2/3*10)</f>
        <v>378</v>
      </c>
      <c r="K2211" s="15">
        <v>2208</v>
      </c>
      <c r="L2211">
        <f t="shared" si="34"/>
        <v>0</v>
      </c>
    </row>
    <row r="2212" spans="1:12" ht="16.5" x14ac:dyDescent="0.2">
      <c r="A2212" s="4" t="s">
        <v>74</v>
      </c>
      <c r="B2212">
        <v>2009</v>
      </c>
      <c r="C2212" s="14">
        <f>819.7*(2/3*10)</f>
        <v>5464.6666666666661</v>
      </c>
      <c r="D2212" s="14">
        <f>409.2*(2/3*10)</f>
        <v>2727.9999999999995</v>
      </c>
      <c r="E2212" s="14">
        <f>4721.7*(2/3*10)</f>
        <v>31477.999999999996</v>
      </c>
      <c r="F2212" s="14">
        <f>200.7*(2/3*10)</f>
        <v>1337.9999999999998</v>
      </c>
      <c r="G2212" s="14">
        <f>71.3*(2/3*10)</f>
        <v>475.33333333333326</v>
      </c>
      <c r="H2212" s="14">
        <f>51.4*(2/3*10)</f>
        <v>342.66666666666663</v>
      </c>
      <c r="I2212" s="14">
        <f>67.2*(2/3*10)</f>
        <v>448</v>
      </c>
      <c r="K2212">
        <v>2209</v>
      </c>
      <c r="L2212">
        <f t="shared" si="34"/>
        <v>1</v>
      </c>
    </row>
    <row r="2213" spans="1:12" ht="16.5" x14ac:dyDescent="0.2">
      <c r="A2213" s="4" t="s">
        <v>74</v>
      </c>
      <c r="B2213">
        <v>2010</v>
      </c>
      <c r="C2213" s="14">
        <f>821.3*(2/3*10)</f>
        <v>5475.3333333333321</v>
      </c>
      <c r="D2213" s="14">
        <f>408.6*(2/3*10)</f>
        <v>2724</v>
      </c>
      <c r="E2213" s="14">
        <f>4720.2*(2/3*10)</f>
        <v>31467.999999999996</v>
      </c>
      <c r="F2213" s="14">
        <f>200.4*(2/3*10)</f>
        <v>1336</v>
      </c>
      <c r="G2213" s="14">
        <f>72*(2/3*10)</f>
        <v>479.99999999999994</v>
      </c>
      <c r="H2213" s="14">
        <f>51.4*(2/3*10)</f>
        <v>342.66666666666663</v>
      </c>
      <c r="I2213" s="14">
        <f>67.3*(2/3*10)</f>
        <v>448.66666666666663</v>
      </c>
      <c r="K2213" s="15">
        <v>2210</v>
      </c>
      <c r="L2213">
        <f t="shared" si="34"/>
        <v>2</v>
      </c>
    </row>
    <row r="2214" spans="1:12" ht="16.5" x14ac:dyDescent="0.2">
      <c r="A2214" s="4" t="s">
        <v>74</v>
      </c>
      <c r="B2214">
        <v>2011</v>
      </c>
      <c r="C2214" s="14">
        <f>821.1*(2/3*10)</f>
        <v>5474</v>
      </c>
      <c r="D2214" s="14">
        <f>408.5*(2/3*10)</f>
        <v>2723.333333333333</v>
      </c>
      <c r="E2214" s="14">
        <f>4719.8*(2/3*10)</f>
        <v>31465.333333333332</v>
      </c>
      <c r="F2214" s="14">
        <f>200.3*(2/3*10)</f>
        <v>1335.3333333333333</v>
      </c>
      <c r="G2214" s="14">
        <f>72.5*(2/3*10)</f>
        <v>483.33333333333331</v>
      </c>
      <c r="H2214" s="14">
        <f>51.6*(2/3*10)</f>
        <v>344</v>
      </c>
      <c r="I2214" s="14">
        <f>67.4*(2/3*10)</f>
        <v>449.33333333333331</v>
      </c>
      <c r="K2214">
        <v>2211</v>
      </c>
      <c r="L2214">
        <f t="shared" si="34"/>
        <v>3</v>
      </c>
    </row>
    <row r="2215" spans="1:12" ht="16.5" x14ac:dyDescent="0.2">
      <c r="A2215" s="4" t="s">
        <v>74</v>
      </c>
      <c r="B2215">
        <v>2012</v>
      </c>
      <c r="C2215" s="14">
        <f>820.6*(2/3*10)</f>
        <v>5470.6666666666661</v>
      </c>
      <c r="D2215" s="14">
        <f>408.3*(2/3*10)</f>
        <v>2722</v>
      </c>
      <c r="E2215" s="14">
        <f>4719.5*(2/3*10)</f>
        <v>31463.333333333332</v>
      </c>
      <c r="F2215" s="14">
        <f>200.3*(2/3*10)</f>
        <v>1335.3333333333333</v>
      </c>
      <c r="G2215" s="14">
        <f>73.3*(2/3*10)</f>
        <v>488.66666666666663</v>
      </c>
      <c r="H2215" s="14">
        <f>51.7*(2/3*10)</f>
        <v>344.66666666666663</v>
      </c>
      <c r="I2215" s="14">
        <f>67.3*(2/3*10)</f>
        <v>448.66666666666663</v>
      </c>
      <c r="K2215">
        <v>2212</v>
      </c>
      <c r="L2215">
        <f t="shared" si="34"/>
        <v>4</v>
      </c>
    </row>
    <row r="2216" spans="1:12" ht="16.5" x14ac:dyDescent="0.2">
      <c r="A2216" s="4" t="s">
        <v>73</v>
      </c>
      <c r="B2216">
        <v>2013</v>
      </c>
      <c r="C2216" s="14">
        <f>820*(2/3*10)</f>
        <v>5466.6666666666661</v>
      </c>
      <c r="D2216" s="14">
        <f>408.1*(2/3*10)</f>
        <v>2720.6666666666665</v>
      </c>
      <c r="E2216" s="14">
        <f>4719.3*(2/3*10)</f>
        <v>31462</v>
      </c>
      <c r="F2216" s="14">
        <f>200.3*(2/3*10)</f>
        <v>1335.3333333333333</v>
      </c>
      <c r="G2216" s="14">
        <f>74.4*(2/3*10)</f>
        <v>495.99999999999989</v>
      </c>
      <c r="H2216" s="14">
        <f>51.7*(2/3*10)</f>
        <v>344.66666666666663</v>
      </c>
      <c r="I2216" s="14">
        <f>67.2*(2/3*10)</f>
        <v>448</v>
      </c>
      <c r="K2216" s="15">
        <v>2213</v>
      </c>
      <c r="L2216">
        <f t="shared" si="34"/>
        <v>5</v>
      </c>
    </row>
    <row r="2217" spans="1:12" ht="16.5" x14ac:dyDescent="0.2">
      <c r="A2217" s="4" t="s">
        <v>73</v>
      </c>
      <c r="B2217">
        <v>2014</v>
      </c>
      <c r="C2217" s="14">
        <f>814.7*(2/3*10)</f>
        <v>5431.333333333333</v>
      </c>
      <c r="D2217" s="14">
        <f>402.3*(2/3*10)</f>
        <v>2682</v>
      </c>
      <c r="E2217" s="14">
        <f>4696.1*(2/3*10)</f>
        <v>31307.333333333332</v>
      </c>
      <c r="F2217" s="14">
        <f>198*(2/3*10)</f>
        <v>1319.9999999999998</v>
      </c>
      <c r="G2217" s="14">
        <f>75.1*(2/3*10)</f>
        <v>500.66666666666669</v>
      </c>
      <c r="H2217" s="14">
        <f>51.9*(2/3*10)</f>
        <v>345.99999999999994</v>
      </c>
      <c r="I2217" s="14">
        <f>104.8*(2/3*10)</f>
        <v>698.66666666666663</v>
      </c>
      <c r="K2217">
        <v>2214</v>
      </c>
      <c r="L2217">
        <f t="shared" si="34"/>
        <v>6</v>
      </c>
    </row>
    <row r="2218" spans="1:12" ht="16.5" x14ac:dyDescent="0.2">
      <c r="A2218" s="4" t="s">
        <v>73</v>
      </c>
      <c r="B2218">
        <v>2015</v>
      </c>
      <c r="C2218" s="14">
        <f>817.5*(2/3*10)</f>
        <v>5449.9999999999991</v>
      </c>
      <c r="D2218" s="14">
        <f>401.8*(2/3*10)</f>
        <v>2678.6666666666665</v>
      </c>
      <c r="E2218" s="14">
        <f>4694.9*(2/3*10)</f>
        <v>31299.333333333328</v>
      </c>
      <c r="F2218" s="14">
        <f>194.7*(2/3*10)</f>
        <v>1297.9999999999998</v>
      </c>
      <c r="G2218" s="14">
        <f>75.8*(2/3*10)</f>
        <v>505.33333333333326</v>
      </c>
      <c r="H2218" s="14">
        <f>52.3*(2/3*10)</f>
        <v>348.66666666666663</v>
      </c>
      <c r="I2218" s="14">
        <f>104.7*(2/3*10)</f>
        <v>698</v>
      </c>
      <c r="K2218" s="15">
        <v>2215</v>
      </c>
      <c r="L2218">
        <f t="shared" si="34"/>
        <v>7</v>
      </c>
    </row>
    <row r="2219" spans="1:12" ht="16.5" x14ac:dyDescent="0.2">
      <c r="A2219" s="4" t="s">
        <v>73</v>
      </c>
      <c r="B2219">
        <v>2016</v>
      </c>
      <c r="C2219" s="14">
        <f>819.3*(2/3*10)</f>
        <v>5461.9999999999991</v>
      </c>
      <c r="D2219" s="14">
        <f>401.3*(2/3*10)</f>
        <v>2675.333333333333</v>
      </c>
      <c r="E2219" s="14">
        <f>4693.6*(2/3*10)</f>
        <v>31290.666666666668</v>
      </c>
      <c r="F2219" s="14">
        <f>192.5*(2/3*10)</f>
        <v>1283.3333333333333</v>
      </c>
      <c r="G2219" s="14">
        <f>77*(2/3*10)</f>
        <v>513.33333333333326</v>
      </c>
      <c r="H2219" s="14">
        <f>52.6*(2/3*10)</f>
        <v>350.66666666666663</v>
      </c>
      <c r="I2219" s="14">
        <f>104.7*(2/3*10)</f>
        <v>698</v>
      </c>
      <c r="K2219">
        <v>2216</v>
      </c>
      <c r="L2219">
        <f t="shared" si="34"/>
        <v>0</v>
      </c>
    </row>
    <row r="2220" spans="1:12" ht="16.5" x14ac:dyDescent="0.2">
      <c r="A2220" s="4" t="s">
        <v>72</v>
      </c>
      <c r="B2220">
        <v>2009</v>
      </c>
      <c r="C2220" s="14">
        <f>718.7*(2/3*10)</f>
        <v>4791.333333333333</v>
      </c>
      <c r="D2220" s="14">
        <f>250.9*(2/3*10)</f>
        <v>1672.6666666666665</v>
      </c>
      <c r="E2220" s="14">
        <f>1976.2*(2/3*10)</f>
        <v>13174.666666666666</v>
      </c>
      <c r="F2220" s="14">
        <f>196.1*(2/3*10)</f>
        <v>1307.3333333333333</v>
      </c>
      <c r="G2220" s="14">
        <f>52.3*(2/3*10)</f>
        <v>348.66666666666663</v>
      </c>
      <c r="H2220" s="14">
        <f>33.8*(2/3*10)</f>
        <v>225.33333333333329</v>
      </c>
      <c r="I2220" s="14">
        <f>44.2*(2/3*10)</f>
        <v>294.66666666666669</v>
      </c>
      <c r="K2220">
        <v>2217</v>
      </c>
      <c r="L2220">
        <f t="shared" si="34"/>
        <v>1</v>
      </c>
    </row>
    <row r="2221" spans="1:12" ht="16.5" x14ac:dyDescent="0.2">
      <c r="A2221" s="4" t="s">
        <v>72</v>
      </c>
      <c r="B2221">
        <v>2010</v>
      </c>
      <c r="C2221" s="14">
        <f>718.4*(2/3*10)</f>
        <v>4789.333333333333</v>
      </c>
      <c r="D2221" s="14">
        <f>250.9*(2/3*10)</f>
        <v>1672.6666666666665</v>
      </c>
      <c r="E2221" s="14">
        <f>1976.2*(2/3*10)</f>
        <v>13174.666666666666</v>
      </c>
      <c r="F2221" s="14">
        <f>196*(2/3*10)</f>
        <v>1306.6666666666665</v>
      </c>
      <c r="G2221" s="14">
        <f>52.7*(2/3*10)</f>
        <v>351.33333333333331</v>
      </c>
      <c r="H2221" s="14">
        <f>33.8*(2/3*10)</f>
        <v>225.33333333333329</v>
      </c>
      <c r="I2221" s="14">
        <f>44.2*(2/3*10)</f>
        <v>294.66666666666669</v>
      </c>
      <c r="K2221" s="15">
        <v>2218</v>
      </c>
      <c r="L2221">
        <f t="shared" si="34"/>
        <v>2</v>
      </c>
    </row>
    <row r="2222" spans="1:12" ht="16.5" x14ac:dyDescent="0.2">
      <c r="A2222" s="4" t="s">
        <v>72</v>
      </c>
      <c r="B2222">
        <v>2011</v>
      </c>
      <c r="C2222" s="14">
        <f>718.1*(2/3*10)</f>
        <v>4787.333333333333</v>
      </c>
      <c r="D2222" s="14">
        <f>250.7*(2/3*10)</f>
        <v>1671.333333333333</v>
      </c>
      <c r="E2222" s="14">
        <f>1975.9*(2/3*10)</f>
        <v>13172.666666666666</v>
      </c>
      <c r="F2222" s="14">
        <f>195.8*(2/3*10)</f>
        <v>1305.3333333333333</v>
      </c>
      <c r="G2222" s="14">
        <f>53.6*(2/3*10)</f>
        <v>357.33333333333331</v>
      </c>
      <c r="H2222" s="14">
        <f>33.9*(2/3*10)</f>
        <v>225.99999999999997</v>
      </c>
      <c r="I2222" s="14">
        <f>44.1*(2/3*10)</f>
        <v>294</v>
      </c>
      <c r="K2222">
        <v>2219</v>
      </c>
      <c r="L2222">
        <f t="shared" si="34"/>
        <v>3</v>
      </c>
    </row>
    <row r="2223" spans="1:12" ht="16.5" x14ac:dyDescent="0.2">
      <c r="A2223" s="4" t="s">
        <v>72</v>
      </c>
      <c r="B2223">
        <v>2012</v>
      </c>
      <c r="C2223" s="14">
        <f>717.3*(2/3*10)</f>
        <v>4781.9999999999991</v>
      </c>
      <c r="D2223" s="14">
        <f>250.6*(2/3*10)</f>
        <v>1670.6666666666665</v>
      </c>
      <c r="E2223" s="14">
        <f>1975.8*(2/3*10)</f>
        <v>13171.999999999998</v>
      </c>
      <c r="F2223" s="14">
        <f>195.7*(2/3*10)</f>
        <v>1304.6666666666665</v>
      </c>
      <c r="G2223" s="14">
        <f>54.6*(2/3*10)</f>
        <v>364</v>
      </c>
      <c r="H2223" s="14">
        <f>34*(2/3*10)</f>
        <v>226.66666666666666</v>
      </c>
      <c r="I2223" s="14">
        <f>44.1*(2/3*10)</f>
        <v>294</v>
      </c>
      <c r="K2223" s="15">
        <v>2220</v>
      </c>
      <c r="L2223">
        <f t="shared" si="34"/>
        <v>4</v>
      </c>
    </row>
    <row r="2224" spans="1:12" ht="16.5" x14ac:dyDescent="0.2">
      <c r="A2224" s="4" t="s">
        <v>72</v>
      </c>
      <c r="B2224">
        <v>2013</v>
      </c>
      <c r="C2224" s="14">
        <f>716.5*(2/3*10)</f>
        <v>4776.6666666666661</v>
      </c>
      <c r="D2224" s="14">
        <f>250.5*(2/3*10)</f>
        <v>1669.9999999999998</v>
      </c>
      <c r="E2224" s="14">
        <f>1975.7*(2/3*10)</f>
        <v>13171.333333333332</v>
      </c>
      <c r="F2224" s="14">
        <f>195.6*(2/3*10)</f>
        <v>1303.9999999999998</v>
      </c>
      <c r="G2224" s="14">
        <f>55.4*(2/3*10)</f>
        <v>369.33333333333331</v>
      </c>
      <c r="H2224" s="14">
        <f>34.1*(2/3*10)</f>
        <v>227.33333333333331</v>
      </c>
      <c r="I2224" s="14">
        <f>44.2*(2/3*10)</f>
        <v>294.66666666666669</v>
      </c>
      <c r="K2224">
        <v>2221</v>
      </c>
      <c r="L2224">
        <f t="shared" si="34"/>
        <v>5</v>
      </c>
    </row>
    <row r="2225" spans="1:12" ht="16.5" x14ac:dyDescent="0.2">
      <c r="A2225" s="4" t="s">
        <v>72</v>
      </c>
      <c r="B2225">
        <v>2014</v>
      </c>
      <c r="C2225" s="14">
        <f>715.2*(2/3*10)</f>
        <v>4768</v>
      </c>
      <c r="D2225" s="14">
        <f>250.1*(2/3*10)</f>
        <v>1667.3333333333333</v>
      </c>
      <c r="E2225" s="14">
        <f>1973.2*(2/3*10)</f>
        <v>13154.666666666666</v>
      </c>
      <c r="F2225" s="14">
        <f>194.8*(2/3*10)</f>
        <v>1298.6666666666665</v>
      </c>
      <c r="G2225" s="14">
        <f>56.5*(2/3*10)</f>
        <v>376.66666666666669</v>
      </c>
      <c r="H2225" s="14">
        <f>34.9*(2/3*10)</f>
        <v>232.66666666666663</v>
      </c>
      <c r="I2225" s="14">
        <f>47.5*(2/3*10)</f>
        <v>316.66666666666663</v>
      </c>
      <c r="K2225">
        <v>2222</v>
      </c>
      <c r="L2225">
        <f t="shared" si="34"/>
        <v>6</v>
      </c>
    </row>
    <row r="2226" spans="1:12" ht="16.5" x14ac:dyDescent="0.2">
      <c r="A2226" s="4" t="s">
        <v>72</v>
      </c>
      <c r="B2226">
        <v>2015</v>
      </c>
      <c r="C2226" s="14">
        <f>715.1*(2/3*10)</f>
        <v>4767.333333333333</v>
      </c>
      <c r="D2226" s="14">
        <f>249.9*(2/3*10)</f>
        <v>1666</v>
      </c>
      <c r="E2226" s="14">
        <f>1972.7*(2/3*10)</f>
        <v>13151.333333333332</v>
      </c>
      <c r="F2226" s="14">
        <f>193.7*(2/3*10)</f>
        <v>1291.333333333333</v>
      </c>
      <c r="G2226" s="14">
        <f>57.4*(2/3*10)</f>
        <v>382.66666666666669</v>
      </c>
      <c r="H2226" s="14">
        <f>36*(2/3*10)</f>
        <v>239.99999999999997</v>
      </c>
      <c r="I2226" s="14">
        <f>47.4*(2/3*10)</f>
        <v>315.99999999999994</v>
      </c>
      <c r="K2226" s="15">
        <v>2223</v>
      </c>
      <c r="L2226">
        <f t="shared" si="34"/>
        <v>7</v>
      </c>
    </row>
    <row r="2227" spans="1:12" ht="16.5" x14ac:dyDescent="0.2">
      <c r="A2227" s="4" t="s">
        <v>72</v>
      </c>
      <c r="B2227">
        <v>2016</v>
      </c>
      <c r="C2227" s="14">
        <f>715.3*(2/3*10)</f>
        <v>4768.6666666666661</v>
      </c>
      <c r="D2227" s="14">
        <f>249.6*(2/3*10)</f>
        <v>1663.9999999999998</v>
      </c>
      <c r="E2227" s="14">
        <f>1971.9*(2/3*10)</f>
        <v>13146</v>
      </c>
      <c r="F2227" s="14">
        <f>192.8*(2/3*10)</f>
        <v>1285.3333333333333</v>
      </c>
      <c r="G2227" s="14">
        <f>58.9*(2/3*10)</f>
        <v>392.66666666666669</v>
      </c>
      <c r="H2227" s="14">
        <f>36*(2/3*10)</f>
        <v>239.99999999999997</v>
      </c>
      <c r="I2227" s="14">
        <f>47.4*(2/3*10)</f>
        <v>315.99999999999994</v>
      </c>
      <c r="K2227">
        <v>2224</v>
      </c>
      <c r="L2227">
        <f t="shared" si="34"/>
        <v>0</v>
      </c>
    </row>
    <row r="2228" spans="1:12" ht="16.5" x14ac:dyDescent="0.2">
      <c r="A2228" s="4" t="s">
        <v>71</v>
      </c>
      <c r="B2228">
        <v>2009</v>
      </c>
      <c r="C2228" s="14">
        <f>548.2*(2/3*10)</f>
        <v>3654.6666666666665</v>
      </c>
      <c r="D2228" s="14">
        <f>57*(2/3*10)</f>
        <v>379.99999999999994</v>
      </c>
      <c r="E2228" s="14">
        <f>2827.4*(2/3*10)</f>
        <v>18849.333333333332</v>
      </c>
      <c r="F2228" s="14">
        <f>428.6*(2/3*10)</f>
        <v>2857.333333333333</v>
      </c>
      <c r="G2228" s="14">
        <f>75*(2/3*10)</f>
        <v>499.99999999999994</v>
      </c>
      <c r="H2228" s="14">
        <f>40.4*(2/3*10)</f>
        <v>269.33333333333331</v>
      </c>
      <c r="I2228" s="14">
        <f>61.3*(2/3*10)</f>
        <v>408.66666666666663</v>
      </c>
      <c r="K2228" s="15">
        <v>2225</v>
      </c>
      <c r="L2228">
        <f t="shared" si="34"/>
        <v>1</v>
      </c>
    </row>
    <row r="2229" spans="1:12" ht="16.5" x14ac:dyDescent="0.2">
      <c r="A2229" s="4" t="s">
        <v>71</v>
      </c>
      <c r="B2229">
        <v>2010</v>
      </c>
      <c r="C2229" s="14">
        <f>547.8*(2/3*10)</f>
        <v>3651.9999999999995</v>
      </c>
      <c r="D2229" s="14">
        <f>56.9*(2/3*10)</f>
        <v>379.33333333333331</v>
      </c>
      <c r="E2229" s="14">
        <f>2826.2*(2/3*10)</f>
        <v>18841.333333333332</v>
      </c>
      <c r="F2229" s="14">
        <f>427.3*(2/3*10)</f>
        <v>2848.6666666666665</v>
      </c>
      <c r="G2229" s="14">
        <f>76.9*(2/3*10)</f>
        <v>512.66666666666663</v>
      </c>
      <c r="H2229" s="14">
        <f>41.3*(2/3*10)</f>
        <v>275.33333333333331</v>
      </c>
      <c r="I2229" s="14">
        <f>61.4*(2/3*10)</f>
        <v>409.33333333333331</v>
      </c>
      <c r="K2229">
        <v>2226</v>
      </c>
      <c r="L2229">
        <f t="shared" si="34"/>
        <v>2</v>
      </c>
    </row>
    <row r="2230" spans="1:12" ht="16.5" x14ac:dyDescent="0.2">
      <c r="A2230" s="4" t="s">
        <v>71</v>
      </c>
      <c r="B2230">
        <v>2011</v>
      </c>
      <c r="C2230" s="14">
        <f>548.3*(2/3*10)</f>
        <v>3655.3333333333326</v>
      </c>
      <c r="D2230" s="14">
        <f>56.9*(2/3*10)</f>
        <v>379.33333333333331</v>
      </c>
      <c r="E2230" s="14">
        <f>2825*(2/3*10)</f>
        <v>18833.333333333332</v>
      </c>
      <c r="F2230" s="14">
        <f>427*(2/3*10)</f>
        <v>2846.6666666666665</v>
      </c>
      <c r="G2230" s="14">
        <f>77.4*(2/3*10)</f>
        <v>516</v>
      </c>
      <c r="H2230" s="14">
        <f>41.4*(2/3*10)</f>
        <v>275.99999999999994</v>
      </c>
      <c r="I2230" s="14">
        <f>61.3*(2/3*10)</f>
        <v>408.66666666666663</v>
      </c>
      <c r="K2230">
        <v>2227</v>
      </c>
      <c r="L2230">
        <f t="shared" si="34"/>
        <v>3</v>
      </c>
    </row>
    <row r="2231" spans="1:12" ht="16.5" x14ac:dyDescent="0.2">
      <c r="A2231" s="4" t="s">
        <v>71</v>
      </c>
      <c r="B2231">
        <v>2012</v>
      </c>
      <c r="C2231" s="14">
        <f>547.9*(2/3*10)</f>
        <v>3652.6666666666661</v>
      </c>
      <c r="D2231" s="14">
        <f>56.9*(2/3*10)</f>
        <v>379.33333333333331</v>
      </c>
      <c r="E2231" s="14">
        <f>2824.9*(2/3*10)</f>
        <v>18832.666666666664</v>
      </c>
      <c r="F2231" s="14">
        <f>427*(2/3*10)</f>
        <v>2846.6666666666665</v>
      </c>
      <c r="G2231" s="14">
        <f>78.1*(2/3*10)</f>
        <v>520.66666666666663</v>
      </c>
      <c r="H2231" s="14">
        <f>41.4*(2/3*10)</f>
        <v>275.99999999999994</v>
      </c>
      <c r="I2231" s="14">
        <f>61.3*(2/3*10)</f>
        <v>408.66666666666663</v>
      </c>
      <c r="K2231" s="15">
        <v>2228</v>
      </c>
      <c r="L2231">
        <f t="shared" si="34"/>
        <v>4</v>
      </c>
    </row>
    <row r="2232" spans="1:12" ht="16.5" x14ac:dyDescent="0.2">
      <c r="A2232" s="4" t="s">
        <v>71</v>
      </c>
      <c r="B2232">
        <v>2013</v>
      </c>
      <c r="C2232" s="14">
        <f>549.1*(2/3*10)</f>
        <v>3660.6666666666665</v>
      </c>
      <c r="D2232" s="14">
        <f>56.6*(2/3*10)</f>
        <v>377.33333333333331</v>
      </c>
      <c r="E2232" s="14">
        <f>2823.9*(2/3*10)</f>
        <v>18826</v>
      </c>
      <c r="F2232" s="14">
        <f>425.8*(2/3*10)</f>
        <v>2838.6666666666665</v>
      </c>
      <c r="G2232" s="14">
        <f>79.3*(2/3*10)</f>
        <v>528.66666666666663</v>
      </c>
      <c r="H2232" s="14">
        <f>41.6*(2/3*10)</f>
        <v>277.33333333333331</v>
      </c>
      <c r="I2232" s="14">
        <f>61.2*(2/3*10)</f>
        <v>408</v>
      </c>
      <c r="K2232">
        <v>2229</v>
      </c>
      <c r="L2232">
        <f t="shared" si="34"/>
        <v>5</v>
      </c>
    </row>
    <row r="2233" spans="1:12" ht="16.5" x14ac:dyDescent="0.2">
      <c r="A2233" s="4" t="s">
        <v>71</v>
      </c>
      <c r="B2233">
        <v>2014</v>
      </c>
      <c r="C2233" s="14">
        <f>549.5*(2/3*10)</f>
        <v>3663.333333333333</v>
      </c>
      <c r="D2233" s="14">
        <f>56.5*(2/3*10)</f>
        <v>376.66666666666663</v>
      </c>
      <c r="E2233" s="14">
        <f>2822.7*(2/3*10)</f>
        <v>18817.999999999996</v>
      </c>
      <c r="F2233" s="14">
        <f>424.6*(2/3*10)</f>
        <v>2830.6666666666665</v>
      </c>
      <c r="G2233" s="14">
        <f>80.7*(2/3*10)</f>
        <v>537.99999999999989</v>
      </c>
      <c r="H2233" s="14">
        <f>41.9*(2/3*10)</f>
        <v>279.33333333333331</v>
      </c>
      <c r="I2233" s="14">
        <f>61.2*(2/3*10)</f>
        <v>408</v>
      </c>
      <c r="K2233" s="15">
        <v>2230</v>
      </c>
      <c r="L2233">
        <f t="shared" si="34"/>
        <v>6</v>
      </c>
    </row>
    <row r="2234" spans="1:12" ht="16.5" x14ac:dyDescent="0.2">
      <c r="A2234" s="4" t="s">
        <v>71</v>
      </c>
      <c r="B2234">
        <v>2015</v>
      </c>
      <c r="C2234" s="14">
        <f>549.9*(2/3*10)</f>
        <v>3665.9999999999995</v>
      </c>
      <c r="D2234" s="14">
        <f>56.3*(2/3*10)</f>
        <v>375.33333333333326</v>
      </c>
      <c r="E2234" s="14">
        <f>2822.1*(2/3*10)</f>
        <v>18813.999999999996</v>
      </c>
      <c r="F2234" s="14">
        <f>424.3*(2/3*10)</f>
        <v>2828.6666666666665</v>
      </c>
      <c r="G2234" s="14">
        <f>81.5*(2/3*10)</f>
        <v>543.33333333333326</v>
      </c>
      <c r="H2234" s="14">
        <f>42*(2/3*10)</f>
        <v>280</v>
      </c>
      <c r="I2234" s="14">
        <f>60.9*(2/3*10)</f>
        <v>405.99999999999994</v>
      </c>
      <c r="K2234">
        <v>2231</v>
      </c>
      <c r="L2234">
        <f t="shared" si="34"/>
        <v>7</v>
      </c>
    </row>
    <row r="2235" spans="1:12" ht="16.5" x14ac:dyDescent="0.2">
      <c r="A2235" s="4" t="s">
        <v>71</v>
      </c>
      <c r="B2235">
        <v>2016</v>
      </c>
      <c r="C2235" s="14">
        <f>549.7*(2/3*10)</f>
        <v>3664.6666666666665</v>
      </c>
      <c r="D2235" s="14">
        <f>56.2*(2/3*10)</f>
        <v>374.66666666666663</v>
      </c>
      <c r="E2235" s="14">
        <f>2821.4*(2/3*10)</f>
        <v>18809.333333333332</v>
      </c>
      <c r="F2235" s="14">
        <f>424*(2/3*10)</f>
        <v>2826.6666666666665</v>
      </c>
      <c r="G2235" s="14">
        <f>83*(2/3*10)</f>
        <v>553.33333333333326</v>
      </c>
      <c r="H2235" s="14">
        <f>42.2*(2/3*10)</f>
        <v>281.33333333333331</v>
      </c>
      <c r="I2235" s="14">
        <f>61*(2/3*10)</f>
        <v>406.66666666666663</v>
      </c>
      <c r="K2235">
        <v>2232</v>
      </c>
      <c r="L2235">
        <f t="shared" si="34"/>
        <v>0</v>
      </c>
    </row>
    <row r="2236" spans="1:12" ht="16.5" x14ac:dyDescent="0.2">
      <c r="A2236" s="4" t="s">
        <v>70</v>
      </c>
      <c r="B2236">
        <v>2009</v>
      </c>
      <c r="C2236" s="14">
        <f>1002.7*(2/3*10)</f>
        <v>6684.6666666666661</v>
      </c>
      <c r="D2236" s="14">
        <f>261.1*(2/3*10)</f>
        <v>1740.6666666666667</v>
      </c>
      <c r="E2236" s="14">
        <f>2537.6*(2/3*10)</f>
        <v>16917.333333333332</v>
      </c>
      <c r="F2236" s="14">
        <f>454.7*(2/3*10)</f>
        <v>3031.333333333333</v>
      </c>
      <c r="G2236" s="14">
        <f>107.2*(2/3*10)</f>
        <v>714.66666666666652</v>
      </c>
      <c r="H2236" s="14">
        <f>51.3*(2/3*10)</f>
        <v>341.99999999999994</v>
      </c>
      <c r="I2236" s="14">
        <f>60.7*(2/3*10)</f>
        <v>404.66666666666663</v>
      </c>
      <c r="K2236" s="15">
        <v>2233</v>
      </c>
      <c r="L2236">
        <f t="shared" si="34"/>
        <v>1</v>
      </c>
    </row>
    <row r="2237" spans="1:12" ht="16.5" x14ac:dyDescent="0.2">
      <c r="A2237" s="4" t="s">
        <v>70</v>
      </c>
      <c r="B2237">
        <v>2010</v>
      </c>
      <c r="C2237" s="14">
        <f>1002.2*(2/3*10)</f>
        <v>6681.333333333333</v>
      </c>
      <c r="D2237" s="14">
        <f>260.8*(2/3*10)</f>
        <v>1738.6666666666665</v>
      </c>
      <c r="E2237" s="14">
        <f>2537.4*(2/3*10)</f>
        <v>16916</v>
      </c>
      <c r="F2237" s="14">
        <f>454.6*(2/3*10)</f>
        <v>3030.6666666666665</v>
      </c>
      <c r="G2237" s="14">
        <f>107.9*(2/3*10)</f>
        <v>719.33333333333326</v>
      </c>
      <c r="H2237" s="14">
        <f>51.6*(2/3*10)</f>
        <v>344</v>
      </c>
      <c r="I2237" s="14">
        <f>60.6*(2/3*10)</f>
        <v>404</v>
      </c>
      <c r="K2237">
        <v>2234</v>
      </c>
      <c r="L2237">
        <f t="shared" si="34"/>
        <v>2</v>
      </c>
    </row>
    <row r="2238" spans="1:12" ht="16.5" x14ac:dyDescent="0.2">
      <c r="A2238" s="4" t="s">
        <v>70</v>
      </c>
      <c r="B2238">
        <v>2011</v>
      </c>
      <c r="C2238" s="14">
        <f>1001.6*(2/3*10)</f>
        <v>6677.333333333333</v>
      </c>
      <c r="D2238" s="14">
        <f>260*(2/3*10)</f>
        <v>1733.3333333333333</v>
      </c>
      <c r="E2238" s="14">
        <f>2536.7*(2/3*10)</f>
        <v>16911.333333333332</v>
      </c>
      <c r="F2238" s="14">
        <f>454.4*(2/3*10)</f>
        <v>3029.333333333333</v>
      </c>
      <c r="G2238" s="14">
        <f>109.2*(2/3*10)</f>
        <v>728</v>
      </c>
      <c r="H2238" s="14">
        <f>52.7*(2/3*10)</f>
        <v>351.33333333333331</v>
      </c>
      <c r="I2238" s="14">
        <f>60.4*(2/3*10)</f>
        <v>402.66666666666663</v>
      </c>
      <c r="K2238" s="15">
        <v>2235</v>
      </c>
      <c r="L2238">
        <f t="shared" si="34"/>
        <v>3</v>
      </c>
    </row>
    <row r="2239" spans="1:12" ht="16.5" x14ac:dyDescent="0.2">
      <c r="A2239" s="4" t="s">
        <v>70</v>
      </c>
      <c r="B2239">
        <v>2012</v>
      </c>
      <c r="C2239" s="14">
        <f>1001.2*(2/3*10)</f>
        <v>6674.6666666666661</v>
      </c>
      <c r="D2239" s="14">
        <f>259.4*(2/3*10)</f>
        <v>1729.333333333333</v>
      </c>
      <c r="E2239" s="14">
        <f>2536*(2/3*10)</f>
        <v>16906.666666666664</v>
      </c>
      <c r="F2239" s="14">
        <f>454.2*(2/3*10)</f>
        <v>3027.9999999999995</v>
      </c>
      <c r="G2239" s="14">
        <f>110.7*(2/3*10)</f>
        <v>737.99999999999989</v>
      </c>
      <c r="H2239" s="14">
        <f>53.3*(2/3*10)</f>
        <v>355.33333333333326</v>
      </c>
      <c r="I2239" s="14">
        <f>60.4*(2/3*10)</f>
        <v>402.66666666666663</v>
      </c>
      <c r="K2239">
        <v>2236</v>
      </c>
      <c r="L2239">
        <f t="shared" si="34"/>
        <v>4</v>
      </c>
    </row>
    <row r="2240" spans="1:12" ht="16.5" x14ac:dyDescent="0.2">
      <c r="A2240" s="4" t="s">
        <v>70</v>
      </c>
      <c r="B2240">
        <v>2013</v>
      </c>
      <c r="C2240" s="14">
        <f>1002.9*(2/3*10)</f>
        <v>6685.9999999999991</v>
      </c>
      <c r="D2240" s="14">
        <f>259*(2/3*10)</f>
        <v>1726.6666666666665</v>
      </c>
      <c r="E2240" s="14">
        <f>2535.2*(2/3*10)</f>
        <v>16901.333333333332</v>
      </c>
      <c r="F2240" s="14">
        <f>452.9*(2/3*10)</f>
        <v>3019.333333333333</v>
      </c>
      <c r="G2240" s="14">
        <f>111.9*(2/3*10)</f>
        <v>745.99999999999989</v>
      </c>
      <c r="H2240" s="14">
        <f>53.4*(2/3*10)</f>
        <v>355.99999999999994</v>
      </c>
      <c r="I2240" s="14">
        <f>60.4*(2/3*10)</f>
        <v>402.66666666666663</v>
      </c>
      <c r="K2240">
        <v>2237</v>
      </c>
      <c r="L2240">
        <f t="shared" ref="L2240:L2303" si="35">MOD(K2240,8)</f>
        <v>5</v>
      </c>
    </row>
    <row r="2241" spans="1:12" ht="16.5" x14ac:dyDescent="0.2">
      <c r="A2241" s="4" t="s">
        <v>70</v>
      </c>
      <c r="B2241">
        <v>2014</v>
      </c>
      <c r="C2241" s="14">
        <f>1001.8*(2/3*10)</f>
        <v>6678.6666666666661</v>
      </c>
      <c r="D2241" s="14">
        <f>257.8*(2/3*10)</f>
        <v>1718.6666666666665</v>
      </c>
      <c r="E2241" s="14">
        <f>2534.5*(2/3*10)</f>
        <v>16896.666666666664</v>
      </c>
      <c r="F2241" s="14">
        <f>451.9*(2/3*10)</f>
        <v>3012.6666666666661</v>
      </c>
      <c r="G2241" s="14">
        <f>114.3*(2/3*10)</f>
        <v>762</v>
      </c>
      <c r="H2241" s="14">
        <f>54.1*(2/3*10)</f>
        <v>360.66666666666663</v>
      </c>
      <c r="I2241" s="14">
        <f>61.2*(2/3*10)</f>
        <v>408</v>
      </c>
      <c r="K2241" s="15">
        <v>2238</v>
      </c>
      <c r="L2241">
        <f t="shared" si="35"/>
        <v>6</v>
      </c>
    </row>
    <row r="2242" spans="1:12" ht="16.5" x14ac:dyDescent="0.2">
      <c r="A2242" s="4" t="s">
        <v>70</v>
      </c>
      <c r="B2242">
        <v>2015</v>
      </c>
      <c r="C2242" s="14">
        <f>1001.8*(2/3*10)</f>
        <v>6678.6666666666661</v>
      </c>
      <c r="D2242" s="14">
        <f>257.5*(2/3*10)</f>
        <v>1716.6666666666665</v>
      </c>
      <c r="E2242" s="14">
        <f>2534.1*(2/3*10)</f>
        <v>16893.999999999996</v>
      </c>
      <c r="F2242" s="14">
        <f>451.2*(2/3*10)</f>
        <v>3007.9999999999995</v>
      </c>
      <c r="G2242" s="14">
        <f>115.4*(2/3*10)</f>
        <v>769.33333333333326</v>
      </c>
      <c r="H2242" s="14">
        <f>54.3*(2/3*10)</f>
        <v>361.99999999999994</v>
      </c>
      <c r="I2242" s="14">
        <f>61.4*(2/3*10)</f>
        <v>409.33333333333331</v>
      </c>
      <c r="K2242">
        <v>2239</v>
      </c>
      <c r="L2242">
        <f t="shared" si="35"/>
        <v>7</v>
      </c>
    </row>
    <row r="2243" spans="1:12" ht="16.5" x14ac:dyDescent="0.2">
      <c r="A2243" s="4" t="s">
        <v>70</v>
      </c>
      <c r="B2243">
        <v>2016</v>
      </c>
      <c r="C2243" s="14">
        <f>1001.5*(2/3*10)</f>
        <v>6676.6666666666661</v>
      </c>
      <c r="D2243" s="14">
        <f>256.9*(2/3*10)</f>
        <v>1712.6666666666663</v>
      </c>
      <c r="E2243" s="14">
        <f>2533.5*(2/3*10)</f>
        <v>16890</v>
      </c>
      <c r="F2243" s="14">
        <f>450.4*(2/3*10)</f>
        <v>3002.6666666666661</v>
      </c>
      <c r="G2243" s="14">
        <f>116.9*(2/3*10)</f>
        <v>779.33333333333326</v>
      </c>
      <c r="H2243" s="14">
        <f>55*(2/3*10)</f>
        <v>366.66666666666663</v>
      </c>
      <c r="I2243" s="14">
        <f>61.3*(2/3*10)</f>
        <v>408.66666666666663</v>
      </c>
      <c r="K2243" s="15">
        <v>2240</v>
      </c>
      <c r="L2243">
        <f t="shared" si="35"/>
        <v>0</v>
      </c>
    </row>
    <row r="2244" spans="1:12" ht="16.5" x14ac:dyDescent="0.2">
      <c r="A2244" s="4" t="s">
        <v>69</v>
      </c>
      <c r="B2244">
        <v>2009</v>
      </c>
      <c r="C2244" s="14">
        <f>1021.4*(2/3*10)</f>
        <v>6809.333333333333</v>
      </c>
      <c r="D2244" s="14">
        <f>100.3*(2/3*10)</f>
        <v>668.66666666666663</v>
      </c>
      <c r="E2244" s="14">
        <f>2464.5*(2/3*10)</f>
        <v>16430</v>
      </c>
      <c r="F2244" s="14">
        <f>295.6*(2/3*10)</f>
        <v>1970.6666666666667</v>
      </c>
      <c r="G2244" s="14">
        <f>78.4*(2/3*10)</f>
        <v>522.66666666666663</v>
      </c>
      <c r="H2244" s="14">
        <f>42.2*(2/3*10)</f>
        <v>281.33333333333331</v>
      </c>
      <c r="I2244" s="14">
        <f>40*(2/3*10)</f>
        <v>266.66666666666663</v>
      </c>
      <c r="K2244">
        <v>2241</v>
      </c>
      <c r="L2244">
        <f t="shared" si="35"/>
        <v>1</v>
      </c>
    </row>
    <row r="2245" spans="1:12" ht="16.5" x14ac:dyDescent="0.2">
      <c r="A2245" s="4" t="s">
        <v>69</v>
      </c>
      <c r="B2245">
        <v>2010</v>
      </c>
      <c r="C2245" s="14">
        <f>1020.8*(2/3*10)</f>
        <v>6805.3333333333321</v>
      </c>
      <c r="D2245" s="14">
        <f>100.3*(2/3*10)</f>
        <v>668.66666666666663</v>
      </c>
      <c r="E2245" s="14">
        <f>2464.5*(2/3*10)</f>
        <v>16430</v>
      </c>
      <c r="F2245" s="14">
        <f>295.6*(2/3*10)</f>
        <v>1970.6666666666667</v>
      </c>
      <c r="G2245" s="14">
        <f>79.1*(2/3*10)</f>
        <v>527.33333333333326</v>
      </c>
      <c r="H2245" s="14">
        <f>42.2*(2/3*10)</f>
        <v>281.33333333333331</v>
      </c>
      <c r="I2245" s="14">
        <f>40*(2/3*10)</f>
        <v>266.66666666666663</v>
      </c>
      <c r="K2245">
        <v>2242</v>
      </c>
      <c r="L2245">
        <f t="shared" si="35"/>
        <v>2</v>
      </c>
    </row>
    <row r="2246" spans="1:12" ht="16.5" x14ac:dyDescent="0.2">
      <c r="A2246" s="4" t="s">
        <v>69</v>
      </c>
      <c r="B2246">
        <v>2011</v>
      </c>
      <c r="C2246" s="14">
        <f>1020.5*(2/3*10)</f>
        <v>6803.333333333333</v>
      </c>
      <c r="D2246" s="14">
        <f>100.2*(2/3*10)</f>
        <v>668</v>
      </c>
      <c r="E2246" s="14">
        <f>2464.2*(2/3*10)</f>
        <v>16427.999999999996</v>
      </c>
      <c r="F2246" s="14">
        <f>295.3*(2/3*10)</f>
        <v>1968.6666666666665</v>
      </c>
      <c r="G2246" s="14">
        <f>80.1*(2/3*10)</f>
        <v>534</v>
      </c>
      <c r="H2246" s="14">
        <f>42.4*(2/3*10)</f>
        <v>282.66666666666663</v>
      </c>
      <c r="I2246" s="14">
        <f>40*(2/3*10)</f>
        <v>266.66666666666663</v>
      </c>
      <c r="K2246" s="15">
        <v>2243</v>
      </c>
      <c r="L2246">
        <f t="shared" si="35"/>
        <v>3</v>
      </c>
    </row>
    <row r="2247" spans="1:12" ht="16.5" x14ac:dyDescent="0.2">
      <c r="A2247" s="4" t="s">
        <v>69</v>
      </c>
      <c r="B2247">
        <v>2012</v>
      </c>
      <c r="C2247" s="14">
        <f>1020.1*(2/3*10)</f>
        <v>6800.6666666666661</v>
      </c>
      <c r="D2247" s="14">
        <f>100.2*(2/3*10)</f>
        <v>668</v>
      </c>
      <c r="E2247" s="14">
        <f>2464.1*(2/3*10)</f>
        <v>16427.333333333332</v>
      </c>
      <c r="F2247" s="14">
        <f>295.1*(2/3*10)</f>
        <v>1967.3333333333333</v>
      </c>
      <c r="G2247" s="14">
        <f>80.9*(2/3*10)</f>
        <v>539.33333333333337</v>
      </c>
      <c r="H2247" s="14">
        <f>42.5*(2/3*10)</f>
        <v>283.33333333333331</v>
      </c>
      <c r="I2247" s="14">
        <f>40*(2/3*10)</f>
        <v>266.66666666666663</v>
      </c>
      <c r="K2247">
        <v>2244</v>
      </c>
      <c r="L2247">
        <f t="shared" si="35"/>
        <v>4</v>
      </c>
    </row>
    <row r="2248" spans="1:12" ht="16.5" x14ac:dyDescent="0.2">
      <c r="A2248" s="4" t="s">
        <v>69</v>
      </c>
      <c r="B2248">
        <v>2013</v>
      </c>
      <c r="C2248" s="14">
        <f>1018.8*(2/3*10)</f>
        <v>6791.9999999999991</v>
      </c>
      <c r="D2248" s="14">
        <f>100.1*(2/3*10)</f>
        <v>667.33333333333326</v>
      </c>
      <c r="E2248" s="14">
        <f>2463.9*(2/3*10)</f>
        <v>16426</v>
      </c>
      <c r="F2248" s="14">
        <f>295.1*(2/3*10)</f>
        <v>1967.3333333333333</v>
      </c>
      <c r="G2248" s="14">
        <f>82.1*(2/3*10)</f>
        <v>547.33333333333326</v>
      </c>
      <c r="H2248" s="14">
        <f>42.8*(2/3*10)</f>
        <v>285.33333333333331</v>
      </c>
      <c r="I2248" s="14">
        <f>40*(2/3*10)</f>
        <v>266.66666666666663</v>
      </c>
      <c r="K2248" s="15">
        <v>2245</v>
      </c>
      <c r="L2248">
        <f t="shared" si="35"/>
        <v>5</v>
      </c>
    </row>
    <row r="2249" spans="1:12" ht="16.5" x14ac:dyDescent="0.2">
      <c r="A2249" s="4" t="s">
        <v>69</v>
      </c>
      <c r="B2249">
        <v>2014</v>
      </c>
      <c r="C2249" s="14">
        <f>1017.8*(2/3*10)</f>
        <v>6785.3333333333321</v>
      </c>
      <c r="D2249" s="14">
        <f>100*(2/3*10)</f>
        <v>666.66666666666663</v>
      </c>
      <c r="E2249" s="14">
        <f>2463.8*(2/3*10)</f>
        <v>16425.333333333332</v>
      </c>
      <c r="F2249" s="14">
        <f>295*(2/3*10)</f>
        <v>1966.6666666666665</v>
      </c>
      <c r="G2249" s="14">
        <f>83.1*(2/3*10)</f>
        <v>553.99999999999989</v>
      </c>
      <c r="H2249" s="14">
        <f>43.3*(2/3*10)</f>
        <v>288.66666666666663</v>
      </c>
      <c r="I2249" s="14">
        <f>40*(2/3*10)</f>
        <v>266.66666666666663</v>
      </c>
      <c r="K2249">
        <v>2246</v>
      </c>
      <c r="L2249">
        <f t="shared" si="35"/>
        <v>6</v>
      </c>
    </row>
    <row r="2250" spans="1:12" ht="16.5" x14ac:dyDescent="0.2">
      <c r="A2250" s="4" t="s">
        <v>69</v>
      </c>
      <c r="B2250">
        <v>2015</v>
      </c>
      <c r="C2250" s="14">
        <f>1017.8*(2/3*10)</f>
        <v>6785.3333333333321</v>
      </c>
      <c r="D2250" s="14">
        <f>99.9*(2/3*10)</f>
        <v>666</v>
      </c>
      <c r="E2250" s="14">
        <f>2463.6*(2/3*10)</f>
        <v>16423.999999999996</v>
      </c>
      <c r="F2250" s="14">
        <f>294.6*(2/3*10)</f>
        <v>1964</v>
      </c>
      <c r="G2250" s="14">
        <f>84*(2/3*10)</f>
        <v>560</v>
      </c>
      <c r="H2250" s="14">
        <f>43.5*(2/3*10)</f>
        <v>290</v>
      </c>
      <c r="I2250" s="14">
        <f>40*(2/3*10)</f>
        <v>266.66666666666663</v>
      </c>
      <c r="K2250">
        <v>2247</v>
      </c>
      <c r="L2250">
        <f t="shared" si="35"/>
        <v>7</v>
      </c>
    </row>
    <row r="2251" spans="1:12" ht="16.5" x14ac:dyDescent="0.2">
      <c r="A2251" s="4" t="s">
        <v>69</v>
      </c>
      <c r="B2251">
        <v>2016</v>
      </c>
      <c r="C2251" s="14">
        <f>1017.1*(2/3*10)</f>
        <v>6780.6666666666661</v>
      </c>
      <c r="D2251" s="14">
        <f>99.8*(2/3*10)</f>
        <v>665.33333333333326</v>
      </c>
      <c r="E2251" s="14">
        <f>2462.9*(2/3*10)</f>
        <v>16419.333333333332</v>
      </c>
      <c r="F2251" s="14">
        <f>294.2*(2/3*10)</f>
        <v>1961.333333333333</v>
      </c>
      <c r="G2251" s="14">
        <f>85.6*(2/3*10)</f>
        <v>570.66666666666663</v>
      </c>
      <c r="H2251" s="14">
        <f>44.5*(2/3*10)</f>
        <v>296.66666666666663</v>
      </c>
      <c r="I2251" s="14">
        <f>40*(2/3*10)</f>
        <v>266.66666666666663</v>
      </c>
      <c r="K2251" s="15">
        <v>2248</v>
      </c>
      <c r="L2251">
        <f t="shared" si="35"/>
        <v>0</v>
      </c>
    </row>
    <row r="2252" spans="1:12" ht="16.5" x14ac:dyDescent="0.2">
      <c r="A2252" s="4" t="s">
        <v>68</v>
      </c>
      <c r="B2252">
        <v>2009</v>
      </c>
      <c r="C2252" s="14">
        <f>206.5*(2/3*10)</f>
        <v>1376.6666666666665</v>
      </c>
      <c r="D2252" s="14">
        <f>845.9*(2/3*10)</f>
        <v>5639.333333333333</v>
      </c>
      <c r="E2252" s="14">
        <f>1583.1*(2/3*10)</f>
        <v>10553.999999999998</v>
      </c>
      <c r="F2252" s="14">
        <f>104*(2/3*10)</f>
        <v>693.33333333333326</v>
      </c>
      <c r="G2252" s="14">
        <f>35*(2/3*10)</f>
        <v>233.33333333333331</v>
      </c>
      <c r="H2252" s="14">
        <f>17.1*(2/3*10)</f>
        <v>114</v>
      </c>
      <c r="I2252" s="14">
        <f>30.3*(2/3*10)</f>
        <v>202</v>
      </c>
      <c r="K2252">
        <v>2249</v>
      </c>
      <c r="L2252">
        <f t="shared" si="35"/>
        <v>1</v>
      </c>
    </row>
    <row r="2253" spans="1:12" ht="16.5" x14ac:dyDescent="0.2">
      <c r="A2253" s="4" t="s">
        <v>68</v>
      </c>
      <c r="B2253">
        <v>2010</v>
      </c>
      <c r="C2253" s="14">
        <f>206.4*(2/3*10)</f>
        <v>1376</v>
      </c>
      <c r="D2253" s="14">
        <f>845.5*(2/3*10)</f>
        <v>5636.6666666666661</v>
      </c>
      <c r="E2253" s="14">
        <f>1583*(2/3*10)</f>
        <v>10553.333333333332</v>
      </c>
      <c r="F2253" s="14">
        <f>103.9*(2/3*10)</f>
        <v>692.66666666666663</v>
      </c>
      <c r="G2253" s="14">
        <f>35.6*(2/3*10)</f>
        <v>237.33333333333331</v>
      </c>
      <c r="H2253" s="14">
        <f>17.1*(2/3*10)</f>
        <v>114</v>
      </c>
      <c r="I2253" s="14">
        <f>30.3*(2/3*10)</f>
        <v>202</v>
      </c>
      <c r="K2253" s="15">
        <v>2250</v>
      </c>
      <c r="L2253">
        <f t="shared" si="35"/>
        <v>2</v>
      </c>
    </row>
    <row r="2254" spans="1:12" ht="16.5" x14ac:dyDescent="0.2">
      <c r="A2254" s="4" t="s">
        <v>68</v>
      </c>
      <c r="B2254">
        <v>2011</v>
      </c>
      <c r="C2254" s="14">
        <f>206*(2/3*10)</f>
        <v>1373.3333333333333</v>
      </c>
      <c r="D2254" s="14">
        <f>845*(2/3*10)</f>
        <v>5633.333333333333</v>
      </c>
      <c r="E2254" s="14">
        <f>1582.9*(2/3*10)</f>
        <v>10552.666666666666</v>
      </c>
      <c r="F2254" s="14">
        <f>103.9*(2/3*10)</f>
        <v>692.66666666666663</v>
      </c>
      <c r="G2254" s="14">
        <f>36.3*(2/3*10)</f>
        <v>242</v>
      </c>
      <c r="H2254" s="14">
        <f>17.2*(2/3*10)</f>
        <v>114.66666666666666</v>
      </c>
      <c r="I2254" s="14">
        <f>30.3*(2/3*10)</f>
        <v>202</v>
      </c>
      <c r="K2254">
        <v>2251</v>
      </c>
      <c r="L2254">
        <f t="shared" si="35"/>
        <v>3</v>
      </c>
    </row>
    <row r="2255" spans="1:12" ht="16.5" x14ac:dyDescent="0.2">
      <c r="A2255" s="4" t="s">
        <v>68</v>
      </c>
      <c r="B2255">
        <v>2012</v>
      </c>
      <c r="C2255" s="14">
        <f>205.6*(2/3*10)</f>
        <v>1370.6666666666665</v>
      </c>
      <c r="D2255" s="14">
        <f>844.1*(2/3*10)</f>
        <v>5627.333333333333</v>
      </c>
      <c r="E2255" s="14">
        <f>1582.8*(2/3*10)</f>
        <v>10551.999999999998</v>
      </c>
      <c r="F2255" s="14">
        <f>103.9*(2/3*10)</f>
        <v>692.66666666666663</v>
      </c>
      <c r="G2255" s="14">
        <f>37.8*(2/3*10)</f>
        <v>252</v>
      </c>
      <c r="H2255" s="14">
        <f>17.2*(2/3*10)</f>
        <v>114.66666666666666</v>
      </c>
      <c r="I2255" s="14">
        <f>30.2*(2/3*10)</f>
        <v>201.33333333333331</v>
      </c>
      <c r="K2255">
        <v>2252</v>
      </c>
      <c r="L2255">
        <f t="shared" si="35"/>
        <v>4</v>
      </c>
    </row>
    <row r="2256" spans="1:12" ht="16.5" x14ac:dyDescent="0.2">
      <c r="A2256" s="4" t="s">
        <v>68</v>
      </c>
      <c r="B2256">
        <v>2013</v>
      </c>
      <c r="C2256" s="14">
        <f>206.8*(2/3*10)</f>
        <v>1378.6666666666665</v>
      </c>
      <c r="D2256" s="14">
        <f>843.6*(2/3*10)</f>
        <v>5624</v>
      </c>
      <c r="E2256" s="14">
        <f>1582.4*(2/3*10)</f>
        <v>10549.333333333332</v>
      </c>
      <c r="F2256" s="14">
        <f>102.7*(2/3*10)</f>
        <v>684.66666666666663</v>
      </c>
      <c r="G2256" s="14">
        <f>38.6*(2/3*10)</f>
        <v>257.33333333333331</v>
      </c>
      <c r="H2256" s="14">
        <f>17.2*(2/3*10)</f>
        <v>114.66666666666666</v>
      </c>
      <c r="I2256" s="14">
        <f>30.2*(2/3*10)</f>
        <v>201.33333333333331</v>
      </c>
      <c r="K2256" s="15">
        <v>2253</v>
      </c>
      <c r="L2256">
        <f t="shared" si="35"/>
        <v>5</v>
      </c>
    </row>
    <row r="2257" spans="1:12" ht="16.5" x14ac:dyDescent="0.2">
      <c r="A2257" s="4" t="s">
        <v>68</v>
      </c>
      <c r="B2257">
        <v>2014</v>
      </c>
      <c r="C2257" s="14">
        <f>206.4*(2/3*10)</f>
        <v>1376</v>
      </c>
      <c r="D2257" s="14">
        <f>843.2*(2/3*10)</f>
        <v>5621.333333333333</v>
      </c>
      <c r="E2257" s="14">
        <f>1582.3*(2/3*10)</f>
        <v>10548.666666666666</v>
      </c>
      <c r="F2257" s="14">
        <f>102.7*(2/3*10)</f>
        <v>684.66666666666663</v>
      </c>
      <c r="G2257" s="14">
        <f>39.4*(2/3*10)</f>
        <v>262.66666666666669</v>
      </c>
      <c r="H2257" s="14">
        <f>17.2*(2/3*10)</f>
        <v>114.66666666666666</v>
      </c>
      <c r="I2257" s="14">
        <f>30.1*(2/3*10)</f>
        <v>200.66666666666666</v>
      </c>
      <c r="K2257">
        <v>2254</v>
      </c>
      <c r="L2257">
        <f t="shared" si="35"/>
        <v>6</v>
      </c>
    </row>
    <row r="2258" spans="1:12" ht="16.5" x14ac:dyDescent="0.2">
      <c r="A2258" s="4" t="s">
        <v>68</v>
      </c>
      <c r="B2258">
        <v>2015</v>
      </c>
      <c r="C2258" s="14">
        <f>207.3*(2/3*10)</f>
        <v>1382</v>
      </c>
      <c r="D2258" s="14">
        <f>843*(2/3*10)</f>
        <v>5619.9999999999991</v>
      </c>
      <c r="E2258" s="14">
        <f>1582.3*(2/3*10)</f>
        <v>10548.666666666666</v>
      </c>
      <c r="F2258" s="14">
        <f>101.5*(2/3*10)</f>
        <v>676.66666666666663</v>
      </c>
      <c r="G2258" s="14">
        <f>39.9*(2/3*10)</f>
        <v>266</v>
      </c>
      <c r="H2258" s="14">
        <f>17.2*(2/3*10)</f>
        <v>114.66666666666666</v>
      </c>
      <c r="I2258" s="14">
        <f>30.1*(2/3*10)</f>
        <v>200.66666666666666</v>
      </c>
      <c r="K2258" s="15">
        <v>2255</v>
      </c>
      <c r="L2258">
        <f t="shared" si="35"/>
        <v>7</v>
      </c>
    </row>
    <row r="2259" spans="1:12" ht="16.5" x14ac:dyDescent="0.2">
      <c r="A2259" s="4" t="s">
        <v>68</v>
      </c>
      <c r="B2259">
        <v>2016</v>
      </c>
      <c r="C2259" s="14">
        <f>209.4*(2/3*10)</f>
        <v>1396</v>
      </c>
      <c r="D2259" s="14">
        <f>842.5*(2/3*10)</f>
        <v>5616.6666666666661</v>
      </c>
      <c r="E2259" s="14">
        <f>1582.2*(2/3*10)</f>
        <v>10548</v>
      </c>
      <c r="F2259" s="14">
        <f>98.8*(2/3*10)</f>
        <v>658.66666666666663</v>
      </c>
      <c r="G2259" s="14">
        <f>40.2*(2/3*10)</f>
        <v>268</v>
      </c>
      <c r="H2259" s="14">
        <f>17.6*(2/3*10)</f>
        <v>117.33333333333333</v>
      </c>
      <c r="I2259" s="14">
        <f>30.1*(2/3*10)</f>
        <v>200.66666666666666</v>
      </c>
      <c r="K2259">
        <v>2256</v>
      </c>
      <c r="L2259">
        <f t="shared" si="35"/>
        <v>0</v>
      </c>
    </row>
    <row r="2260" spans="1:12" ht="16.5" x14ac:dyDescent="0.2">
      <c r="A2260" s="4" t="s">
        <v>67</v>
      </c>
      <c r="B2260">
        <v>2009</v>
      </c>
      <c r="C2260" s="14">
        <f>562.9*(2/3*10)</f>
        <v>3752.6666666666661</v>
      </c>
      <c r="D2260" s="14">
        <f>141*(2/3*10)</f>
        <v>939.99999999999989</v>
      </c>
      <c r="E2260" s="14">
        <f>2841.9*(2/3*10)</f>
        <v>18946</v>
      </c>
      <c r="F2260" s="14">
        <f>304.1*(2/3*10)</f>
        <v>2027.3333333333333</v>
      </c>
      <c r="G2260" s="14">
        <f>85*(2/3*10)</f>
        <v>566.66666666666674</v>
      </c>
      <c r="H2260" s="14">
        <f>36.9*(2/3*10)</f>
        <v>245.99999999999997</v>
      </c>
      <c r="I2260" s="14">
        <f>87.9*(2/3*10)</f>
        <v>586</v>
      </c>
      <c r="K2260">
        <v>2257</v>
      </c>
      <c r="L2260">
        <f t="shared" si="35"/>
        <v>1</v>
      </c>
    </row>
    <row r="2261" spans="1:12" ht="16.5" x14ac:dyDescent="0.2">
      <c r="A2261" s="4" t="s">
        <v>67</v>
      </c>
      <c r="B2261">
        <v>2010</v>
      </c>
      <c r="C2261" s="14">
        <f>562.1*(2/3*10)</f>
        <v>3747.333333333333</v>
      </c>
      <c r="D2261" s="14">
        <f>140.7*(2/3*10)</f>
        <v>937.99999999999989</v>
      </c>
      <c r="E2261" s="14">
        <f>2841.1*(2/3*10)</f>
        <v>18940.666666666664</v>
      </c>
      <c r="F2261" s="14">
        <f>303.7*(2/3*10)</f>
        <v>2024.6666666666665</v>
      </c>
      <c r="G2261" s="14">
        <f>86.3*(2/3*10)</f>
        <v>575.33333333333337</v>
      </c>
      <c r="H2261" s="14">
        <f>38*(2/3*10)</f>
        <v>253.33333333333331</v>
      </c>
      <c r="I2261" s="14">
        <f>87.9*(2/3*10)</f>
        <v>586</v>
      </c>
      <c r="K2261" s="15">
        <v>2258</v>
      </c>
      <c r="L2261">
        <f t="shared" si="35"/>
        <v>2</v>
      </c>
    </row>
    <row r="2262" spans="1:12" ht="16.5" x14ac:dyDescent="0.2">
      <c r="A2262" s="4" t="s">
        <v>67</v>
      </c>
      <c r="B2262">
        <v>2011</v>
      </c>
      <c r="C2262" s="14">
        <f>561*(2/3*10)</f>
        <v>3739.9999999999995</v>
      </c>
      <c r="D2262" s="14">
        <f>140.7*(2/3*10)</f>
        <v>937.99999999999989</v>
      </c>
      <c r="E2262" s="14">
        <f>2840.5*(2/3*10)</f>
        <v>18936.666666666664</v>
      </c>
      <c r="F2262" s="14">
        <f>303.3*(2/3*10)</f>
        <v>2022</v>
      </c>
      <c r="G2262" s="14">
        <f>87.4*(2/3*10)</f>
        <v>582.66666666666663</v>
      </c>
      <c r="H2262" s="14">
        <f>38.8*(2/3*10)</f>
        <v>258.66666666666663</v>
      </c>
      <c r="I2262" s="14">
        <f>87.9*(2/3*10)</f>
        <v>586</v>
      </c>
      <c r="K2262">
        <v>2259</v>
      </c>
      <c r="L2262">
        <f t="shared" si="35"/>
        <v>3</v>
      </c>
    </row>
    <row r="2263" spans="1:12" ht="16.5" x14ac:dyDescent="0.2">
      <c r="A2263" s="4" t="s">
        <v>67</v>
      </c>
      <c r="B2263">
        <v>2012</v>
      </c>
      <c r="C2263" s="14">
        <f>559.9*(2/3*10)</f>
        <v>3732.6666666666661</v>
      </c>
      <c r="D2263" s="14">
        <f>140.5*(2/3*10)</f>
        <v>936.66666666666663</v>
      </c>
      <c r="E2263" s="14">
        <f>2839.8*(2/3*10)</f>
        <v>18932</v>
      </c>
      <c r="F2263" s="14">
        <f>303*(2/3*10)</f>
        <v>2019.9999999999998</v>
      </c>
      <c r="G2263" s="14">
        <f>89.2*(2/3*10)</f>
        <v>594.66666666666652</v>
      </c>
      <c r="H2263" s="14">
        <f>39.4*(2/3*10)</f>
        <v>262.66666666666663</v>
      </c>
      <c r="I2263" s="14">
        <f>87.7*(2/3*10)</f>
        <v>584.66666666666663</v>
      </c>
      <c r="K2263" s="15">
        <v>2260</v>
      </c>
      <c r="L2263">
        <f t="shared" si="35"/>
        <v>4</v>
      </c>
    </row>
    <row r="2264" spans="1:12" ht="16.5" x14ac:dyDescent="0.2">
      <c r="A2264" s="4" t="s">
        <v>67</v>
      </c>
      <c r="B2264">
        <v>2013</v>
      </c>
      <c r="C2264" s="14">
        <f>559.4*(2/3*10)</f>
        <v>3729.333333333333</v>
      </c>
      <c r="D2264" s="14">
        <f>140.3*(2/3*10)</f>
        <v>935.33333333333337</v>
      </c>
      <c r="E2264" s="14">
        <f>2839.3*(2/3*10)</f>
        <v>18928.666666666668</v>
      </c>
      <c r="F2264" s="14">
        <f>302.4*(2/3*10)</f>
        <v>2015.9999999999998</v>
      </c>
      <c r="G2264" s="14">
        <f>90.5*(2/3*10)</f>
        <v>603.33333333333326</v>
      </c>
      <c r="H2264" s="14">
        <f>39.7*(2/3*10)</f>
        <v>264.66666666666669</v>
      </c>
      <c r="I2264" s="14">
        <f>87.7*(2/3*10)</f>
        <v>584.66666666666663</v>
      </c>
      <c r="K2264">
        <v>2261</v>
      </c>
      <c r="L2264">
        <f t="shared" si="35"/>
        <v>5</v>
      </c>
    </row>
    <row r="2265" spans="1:12" ht="16.5" x14ac:dyDescent="0.2">
      <c r="A2265" s="4" t="s">
        <v>67</v>
      </c>
      <c r="B2265">
        <v>2014</v>
      </c>
      <c r="C2265" s="14">
        <f>558*(2/3*10)</f>
        <v>3719.9999999999995</v>
      </c>
      <c r="D2265" s="14">
        <f>140.1*(2/3*10)</f>
        <v>933.99999999999989</v>
      </c>
      <c r="E2265" s="14">
        <f>2838.2*(2/3*10)</f>
        <v>18921.333333333332</v>
      </c>
      <c r="F2265" s="14">
        <f>301.4*(2/3*10)</f>
        <v>2009.333333333333</v>
      </c>
      <c r="G2265" s="14">
        <f>92.6*(2/3*10)</f>
        <v>617.33333333333326</v>
      </c>
      <c r="H2265" s="14">
        <f>40.7*(2/3*10)</f>
        <v>271.33333333333331</v>
      </c>
      <c r="I2265" s="14">
        <f>88.5*(2/3*10)</f>
        <v>590</v>
      </c>
      <c r="K2265">
        <v>2262</v>
      </c>
      <c r="L2265">
        <f t="shared" si="35"/>
        <v>6</v>
      </c>
    </row>
    <row r="2266" spans="1:12" ht="16.5" x14ac:dyDescent="0.2">
      <c r="A2266" s="4" t="s">
        <v>67</v>
      </c>
      <c r="B2266">
        <v>2015</v>
      </c>
      <c r="C2266" s="14">
        <f>557*(2/3*10)</f>
        <v>3713.333333333333</v>
      </c>
      <c r="D2266" s="14">
        <f>139.9*(2/3*10)</f>
        <v>932.66666666666663</v>
      </c>
      <c r="E2266" s="14">
        <f>2837.6*(2/3*10)</f>
        <v>18917.333333333332</v>
      </c>
      <c r="F2266" s="14">
        <f>300.3*(2/3*10)</f>
        <v>2002</v>
      </c>
      <c r="G2266" s="14">
        <f>95.3*(2/3*10)</f>
        <v>635.33333333333326</v>
      </c>
      <c r="H2266" s="14">
        <f>40.8*(2/3*10)</f>
        <v>271.99999999999994</v>
      </c>
      <c r="I2266" s="14">
        <f>88.7*(2/3*10)</f>
        <v>591.33333333333326</v>
      </c>
      <c r="K2266" s="15">
        <v>2263</v>
      </c>
      <c r="L2266">
        <f t="shared" si="35"/>
        <v>7</v>
      </c>
    </row>
    <row r="2267" spans="1:12" ht="16.5" x14ac:dyDescent="0.2">
      <c r="A2267" s="4" t="s">
        <v>67</v>
      </c>
      <c r="B2267">
        <v>2016</v>
      </c>
      <c r="C2267" s="14">
        <f>555.8*(2/3*10)</f>
        <v>3705.3333333333326</v>
      </c>
      <c r="D2267" s="14">
        <f>139.7*(2/3*10)</f>
        <v>931.33333333333314</v>
      </c>
      <c r="E2267" s="14">
        <f>2836.9*(2/3*10)</f>
        <v>18912.666666666664</v>
      </c>
      <c r="F2267" s="14">
        <f>300*(2/3*10)</f>
        <v>1999.9999999999998</v>
      </c>
      <c r="G2267" s="14">
        <f>97.1*(2/3*10)</f>
        <v>647.33333333333326</v>
      </c>
      <c r="H2267" s="14">
        <f>41.2*(2/3*10)</f>
        <v>274.66666666666669</v>
      </c>
      <c r="I2267" s="14">
        <f>88.7*(2/3*10)</f>
        <v>591.33333333333326</v>
      </c>
      <c r="K2267">
        <v>2264</v>
      </c>
      <c r="L2267">
        <f t="shared" si="35"/>
        <v>0</v>
      </c>
    </row>
    <row r="2268" spans="1:12" ht="16.5" x14ac:dyDescent="0.2">
      <c r="A2268" s="4" t="s">
        <v>66</v>
      </c>
      <c r="B2268">
        <v>2009</v>
      </c>
      <c r="C2268" s="14">
        <f>276.6*(2/3*10)</f>
        <v>1844</v>
      </c>
      <c r="D2268" s="14">
        <f>62.1*(2/3*10)</f>
        <v>414</v>
      </c>
      <c r="E2268" s="14">
        <f>1149.5*(2/3*10)</f>
        <v>7663.333333333333</v>
      </c>
      <c r="F2268" s="14">
        <f>53*(2/3*10)</f>
        <v>353.33333333333331</v>
      </c>
      <c r="G2268" s="14">
        <f>39.9*(2/3*10)</f>
        <v>266</v>
      </c>
      <c r="H2268" s="14">
        <f>18.5*(2/3*10)</f>
        <v>123.33333333333333</v>
      </c>
      <c r="I2268" s="14">
        <f>29.3*(2/3*10)</f>
        <v>195.33333333333331</v>
      </c>
      <c r="K2268" s="15">
        <v>2265</v>
      </c>
      <c r="L2268">
        <f t="shared" si="35"/>
        <v>1</v>
      </c>
    </row>
    <row r="2269" spans="1:12" ht="16.5" x14ac:dyDescent="0.2">
      <c r="A2269" s="4" t="s">
        <v>66</v>
      </c>
      <c r="B2269">
        <v>2010</v>
      </c>
      <c r="C2269" s="14">
        <f>278.6*(2/3*10)</f>
        <v>1857.3333333333333</v>
      </c>
      <c r="D2269" s="14">
        <f>60.6*(2/3*10)</f>
        <v>404</v>
      </c>
      <c r="E2269" s="14">
        <f>1147.9*(2/3*10)</f>
        <v>7652.666666666667</v>
      </c>
      <c r="F2269" s="14">
        <f>52.8*(2/3*10)</f>
        <v>351.99999999999994</v>
      </c>
      <c r="G2269" s="14">
        <f>40.5*(2/3*10)</f>
        <v>270</v>
      </c>
      <c r="H2269" s="14">
        <f>18.5*(2/3*10)</f>
        <v>123.33333333333333</v>
      </c>
      <c r="I2269" s="14">
        <f>29.3*(2/3*10)</f>
        <v>195.33333333333331</v>
      </c>
      <c r="K2269">
        <v>2266</v>
      </c>
      <c r="L2269">
        <f t="shared" si="35"/>
        <v>2</v>
      </c>
    </row>
    <row r="2270" spans="1:12" ht="16.5" x14ac:dyDescent="0.2">
      <c r="A2270" s="4" t="s">
        <v>66</v>
      </c>
      <c r="B2270">
        <v>2011</v>
      </c>
      <c r="C2270" s="14">
        <f>278.1*(2/3*10)</f>
        <v>1854</v>
      </c>
      <c r="D2270" s="14">
        <f>60.5*(2/3*10)</f>
        <v>403.33333333333331</v>
      </c>
      <c r="E2270" s="14">
        <f>1147.7*(2/3*10)</f>
        <v>7651.333333333333</v>
      </c>
      <c r="F2270" s="14">
        <f>52.8*(2/3*10)</f>
        <v>351.99999999999994</v>
      </c>
      <c r="G2270" s="14">
        <f>41.2*(2/3*10)</f>
        <v>274.66666666666669</v>
      </c>
      <c r="H2270" s="14">
        <f>18.6*(2/3*10)</f>
        <v>124</v>
      </c>
      <c r="I2270" s="14">
        <f>29.3*(2/3*10)</f>
        <v>195.33333333333331</v>
      </c>
      <c r="K2270">
        <v>2267</v>
      </c>
      <c r="L2270">
        <f t="shared" si="35"/>
        <v>3</v>
      </c>
    </row>
    <row r="2271" spans="1:12" ht="16.5" x14ac:dyDescent="0.2">
      <c r="A2271" s="4" t="s">
        <v>66</v>
      </c>
      <c r="B2271">
        <v>2012</v>
      </c>
      <c r="C2271" s="14">
        <f>277.9*(2/3*10)</f>
        <v>1852.6666666666663</v>
      </c>
      <c r="D2271" s="14">
        <f>60.3*(2/3*10)</f>
        <v>401.99999999999994</v>
      </c>
      <c r="E2271" s="14">
        <f>1147.5*(2/3*10)</f>
        <v>7649.9999999999991</v>
      </c>
      <c r="F2271" s="14">
        <f>52.4*(2/3*10)</f>
        <v>349.33333333333331</v>
      </c>
      <c r="G2271" s="14">
        <f>42*(2/3*10)</f>
        <v>280</v>
      </c>
      <c r="H2271" s="14">
        <f>18.6*(2/3*10)</f>
        <v>124</v>
      </c>
      <c r="I2271" s="14">
        <f>29.3*(2/3*10)</f>
        <v>195.33333333333331</v>
      </c>
      <c r="K2271" s="15">
        <v>2268</v>
      </c>
      <c r="L2271">
        <f t="shared" si="35"/>
        <v>4</v>
      </c>
    </row>
    <row r="2272" spans="1:12" ht="16.5" x14ac:dyDescent="0.2">
      <c r="A2272" s="4" t="s">
        <v>66</v>
      </c>
      <c r="B2272">
        <v>2013</v>
      </c>
      <c r="C2272" s="14">
        <f>276.9*(2/3*10)</f>
        <v>1845.9999999999998</v>
      </c>
      <c r="D2272" s="14">
        <f>59.9*(2/3*10)</f>
        <v>399.33333333333331</v>
      </c>
      <c r="E2272" s="14">
        <f>1146.8*(2/3*10)</f>
        <v>7645.3333333333321</v>
      </c>
      <c r="F2272" s="14">
        <f>52.2*(2/3*10)</f>
        <v>348</v>
      </c>
      <c r="G2272" s="14">
        <f>43.3*(2/3*10)</f>
        <v>288.66666666666669</v>
      </c>
      <c r="H2272" s="14">
        <f>19.6*(2/3*10)</f>
        <v>130.66666666666666</v>
      </c>
      <c r="I2272" s="14">
        <f>29.2*(2/3*10)</f>
        <v>194.66666666666666</v>
      </c>
      <c r="K2272">
        <v>2269</v>
      </c>
      <c r="L2272">
        <f t="shared" si="35"/>
        <v>5</v>
      </c>
    </row>
    <row r="2273" spans="1:12" ht="16.5" x14ac:dyDescent="0.2">
      <c r="A2273" s="4" t="s">
        <v>66</v>
      </c>
      <c r="B2273">
        <v>2014</v>
      </c>
      <c r="C2273" s="14">
        <f>276.1*(2/3*10)</f>
        <v>1840.6666666666667</v>
      </c>
      <c r="D2273" s="14">
        <f>59.6*(2/3*10)</f>
        <v>397.33333333333331</v>
      </c>
      <c r="E2273" s="14">
        <f>1146.2*(2/3*10)</f>
        <v>7641.333333333333</v>
      </c>
      <c r="F2273" s="14">
        <f>52.2*(2/3*10)</f>
        <v>348</v>
      </c>
      <c r="G2273" s="14">
        <f>44.3*(2/3*10)</f>
        <v>295.33333333333331</v>
      </c>
      <c r="H2273" s="14">
        <f>20.6*(2/3*10)</f>
        <v>137.33333333333334</v>
      </c>
      <c r="I2273" s="14">
        <f>29.1*(2/3*10)</f>
        <v>194</v>
      </c>
      <c r="K2273" s="15">
        <v>2270</v>
      </c>
      <c r="L2273">
        <f t="shared" si="35"/>
        <v>6</v>
      </c>
    </row>
    <row r="2274" spans="1:12" ht="16.5" x14ac:dyDescent="0.2">
      <c r="A2274" s="4" t="s">
        <v>66</v>
      </c>
      <c r="B2274">
        <v>2015</v>
      </c>
      <c r="C2274" s="14">
        <f>275.8*(2/3*10)</f>
        <v>1838.6666666666665</v>
      </c>
      <c r="D2274" s="14">
        <f>59.5*(2/3*10)</f>
        <v>396.66666666666663</v>
      </c>
      <c r="E2274" s="14">
        <f>1146.1*(2/3*10)</f>
        <v>7640.6666666666652</v>
      </c>
      <c r="F2274" s="14">
        <f>52.2*(2/3*10)</f>
        <v>348</v>
      </c>
      <c r="G2274" s="14">
        <f>44.6*(2/3*10)</f>
        <v>297.33333333333326</v>
      </c>
      <c r="H2274" s="14">
        <f>20.6*(2/3*10)</f>
        <v>137.33333333333334</v>
      </c>
      <c r="I2274" s="14">
        <f>29.2*(2/3*10)</f>
        <v>194.66666666666666</v>
      </c>
      <c r="K2274">
        <v>2271</v>
      </c>
      <c r="L2274">
        <f t="shared" si="35"/>
        <v>7</v>
      </c>
    </row>
    <row r="2275" spans="1:12" ht="16.5" x14ac:dyDescent="0.2">
      <c r="A2275" s="4" t="s">
        <v>66</v>
      </c>
      <c r="B2275">
        <v>2016</v>
      </c>
      <c r="C2275" s="14">
        <f>275.5*(2/3*10)</f>
        <v>1836.6666666666665</v>
      </c>
      <c r="D2275" s="14">
        <f>59.2*(2/3*10)</f>
        <v>394.66666666666663</v>
      </c>
      <c r="E2275" s="14">
        <f>1145.6*(2/3*10)</f>
        <v>7637.3333333333321</v>
      </c>
      <c r="F2275" s="14">
        <f>52.1*(2/3*10)</f>
        <v>347.33333333333331</v>
      </c>
      <c r="G2275" s="14">
        <f>46.3*(2/3*10)</f>
        <v>308.66666666666669</v>
      </c>
      <c r="H2275" s="14">
        <f>20.7*(2/3*10)</f>
        <v>137.99999999999997</v>
      </c>
      <c r="I2275" s="14">
        <f>29.1*(2/3*10)</f>
        <v>194</v>
      </c>
      <c r="K2275">
        <v>2272</v>
      </c>
      <c r="L2275">
        <f t="shared" si="35"/>
        <v>0</v>
      </c>
    </row>
    <row r="2276" spans="1:12" ht="16.5" x14ac:dyDescent="0.2">
      <c r="A2276" s="4" t="s">
        <v>65</v>
      </c>
      <c r="B2276">
        <v>2009</v>
      </c>
      <c r="C2276" s="14">
        <f>104*(2/3*10)</f>
        <v>693.33333333333326</v>
      </c>
      <c r="D2276" s="14">
        <f>2.7*(2/3*10)</f>
        <v>18</v>
      </c>
      <c r="E2276" s="14">
        <f>1622.5*(2/3*10)</f>
        <v>10816.666666666666</v>
      </c>
      <c r="F2276" s="14">
        <f>183.6*(2/3*10)</f>
        <v>1223.9999999999998</v>
      </c>
      <c r="G2276" s="14">
        <f>10.5*(2/3*10)</f>
        <v>70</v>
      </c>
      <c r="H2276" s="14">
        <f>4.2*(2/3*10)</f>
        <v>28</v>
      </c>
      <c r="I2276" s="14">
        <f>180.7*(2/3*10)</f>
        <v>1204.6666666666665</v>
      </c>
      <c r="K2276" s="15">
        <v>2273</v>
      </c>
      <c r="L2276">
        <f t="shared" si="35"/>
        <v>1</v>
      </c>
    </row>
    <row r="2277" spans="1:12" ht="16.5" x14ac:dyDescent="0.2">
      <c r="A2277" s="4" t="s">
        <v>65</v>
      </c>
      <c r="B2277">
        <v>2010</v>
      </c>
      <c r="C2277" s="14">
        <f>104*(2/3*10)</f>
        <v>693.33333333333326</v>
      </c>
      <c r="D2277" s="14">
        <f>2.6*(2/3*10)</f>
        <v>17.333333333333332</v>
      </c>
      <c r="E2277" s="14">
        <f>1622.5*(2/3*10)</f>
        <v>10816.666666666666</v>
      </c>
      <c r="F2277" s="14">
        <f>183.6*(2/3*10)</f>
        <v>1223.9999999999998</v>
      </c>
      <c r="G2277" s="14">
        <f>10.7*(2/3*10)</f>
        <v>71.333333333333329</v>
      </c>
      <c r="H2277" s="14">
        <f>4.4*(2/3*10)</f>
        <v>29.333333333333332</v>
      </c>
      <c r="I2277" s="14">
        <f>180.7*(2/3*10)</f>
        <v>1204.6666666666665</v>
      </c>
      <c r="K2277">
        <v>2274</v>
      </c>
      <c r="L2277">
        <f t="shared" si="35"/>
        <v>2</v>
      </c>
    </row>
    <row r="2278" spans="1:12" ht="16.5" x14ac:dyDescent="0.2">
      <c r="A2278" s="4" t="s">
        <v>65</v>
      </c>
      <c r="B2278">
        <v>2011</v>
      </c>
      <c r="C2278" s="14">
        <f>103.9*(2/3*10)</f>
        <v>692.66666666666663</v>
      </c>
      <c r="D2278" s="14">
        <f>2.6*(2/3*10)</f>
        <v>17.333333333333332</v>
      </c>
      <c r="E2278" s="14">
        <f>1622.4*(2/3*10)</f>
        <v>10816</v>
      </c>
      <c r="F2278" s="14">
        <f>183.5*(2/3*10)</f>
        <v>1223.3333333333333</v>
      </c>
      <c r="G2278" s="14">
        <f>10.7*(2/3*10)</f>
        <v>71.333333333333329</v>
      </c>
      <c r="H2278" s="14">
        <f>4.5*(2/3*10)</f>
        <v>29.999999999999996</v>
      </c>
      <c r="I2278" s="14">
        <f>180.6*(2/3*10)</f>
        <v>1203.9999999999998</v>
      </c>
      <c r="K2278" s="15">
        <v>2275</v>
      </c>
      <c r="L2278">
        <f t="shared" si="35"/>
        <v>3</v>
      </c>
    </row>
    <row r="2279" spans="1:12" ht="16.5" x14ac:dyDescent="0.2">
      <c r="A2279" s="4" t="s">
        <v>65</v>
      </c>
      <c r="B2279">
        <v>2012</v>
      </c>
      <c r="C2279" s="14">
        <f>103.8*(2/3*10)</f>
        <v>691.99999999999989</v>
      </c>
      <c r="D2279" s="14">
        <f>2.6*(2/3*10)</f>
        <v>17.333333333333332</v>
      </c>
      <c r="E2279" s="14">
        <f>1622.4*(2/3*10)</f>
        <v>10816</v>
      </c>
      <c r="F2279" s="14">
        <f>183.5*(2/3*10)</f>
        <v>1223.3333333333333</v>
      </c>
      <c r="G2279" s="14">
        <f>10.8*(2/3*10)</f>
        <v>71.999999999999986</v>
      </c>
      <c r="H2279" s="14">
        <f>4.5*(2/3*10)</f>
        <v>29.999999999999996</v>
      </c>
      <c r="I2279" s="14">
        <f>180.6*(2/3*10)</f>
        <v>1203.9999999999998</v>
      </c>
      <c r="K2279">
        <v>2276</v>
      </c>
      <c r="L2279">
        <f t="shared" si="35"/>
        <v>4</v>
      </c>
    </row>
    <row r="2280" spans="1:12" ht="16.5" x14ac:dyDescent="0.2">
      <c r="A2280" s="4" t="s">
        <v>65</v>
      </c>
      <c r="B2280">
        <v>2013</v>
      </c>
      <c r="C2280" s="14">
        <f>103.8*(2/3*10)</f>
        <v>691.99999999999989</v>
      </c>
      <c r="D2280" s="14">
        <f>2.6*(2/3*10)</f>
        <v>17.333333333333332</v>
      </c>
      <c r="E2280" s="14">
        <f>1622.3*(2/3*10)</f>
        <v>10815.333333333332</v>
      </c>
      <c r="F2280" s="14">
        <f>183.5*(2/3*10)</f>
        <v>1223.3333333333333</v>
      </c>
      <c r="G2280" s="14">
        <f>10.9*(2/3*10)</f>
        <v>72.666666666666657</v>
      </c>
      <c r="H2280" s="14">
        <f>4.6*(2/3*10)</f>
        <v>30.666666666666661</v>
      </c>
      <c r="I2280" s="14">
        <f>180.6*(2/3*10)</f>
        <v>1203.9999999999998</v>
      </c>
      <c r="K2280">
        <v>2277</v>
      </c>
      <c r="L2280">
        <f t="shared" si="35"/>
        <v>5</v>
      </c>
    </row>
    <row r="2281" spans="1:12" ht="16.5" x14ac:dyDescent="0.2">
      <c r="A2281" s="4" t="s">
        <v>65</v>
      </c>
      <c r="B2281">
        <v>2014</v>
      </c>
      <c r="C2281" s="14">
        <f>103.7*(2/3*10)</f>
        <v>691.33333333333326</v>
      </c>
      <c r="D2281" s="14">
        <f>2.6*(2/3*10)</f>
        <v>17.333333333333332</v>
      </c>
      <c r="E2281" s="14">
        <f>1622.3*(2/3*10)</f>
        <v>10815.333333333332</v>
      </c>
      <c r="F2281" s="14">
        <f>183.5*(2/3*10)</f>
        <v>1223.3333333333333</v>
      </c>
      <c r="G2281" s="14">
        <f>11*(2/3*10)</f>
        <v>73.333333333333343</v>
      </c>
      <c r="H2281" s="14">
        <f>4.6*(2/3*10)</f>
        <v>30.666666666666661</v>
      </c>
      <c r="I2281" s="14">
        <f>180.7*(2/3*10)</f>
        <v>1204.6666666666665</v>
      </c>
      <c r="K2281" s="15">
        <v>2278</v>
      </c>
      <c r="L2281">
        <f t="shared" si="35"/>
        <v>6</v>
      </c>
    </row>
    <row r="2282" spans="1:12" ht="16.5" x14ac:dyDescent="0.2">
      <c r="A2282" s="4" t="s">
        <v>65</v>
      </c>
      <c r="B2282">
        <v>2015</v>
      </c>
      <c r="C2282" s="14">
        <f>103.7*(2/3*10)</f>
        <v>691.33333333333326</v>
      </c>
      <c r="D2282" s="14">
        <f>2.6*(2/3*10)</f>
        <v>17.333333333333332</v>
      </c>
      <c r="E2282" s="14">
        <f>1622.3*(2/3*10)</f>
        <v>10815.333333333332</v>
      </c>
      <c r="F2282" s="14">
        <f>183.5*(2/3*10)</f>
        <v>1223.3333333333333</v>
      </c>
      <c r="G2282" s="14">
        <f>11*(2/3*10)</f>
        <v>73.333333333333343</v>
      </c>
      <c r="H2282" s="14">
        <f>4.6*(2/3*10)</f>
        <v>30.666666666666661</v>
      </c>
      <c r="I2282" s="14">
        <f>180.7*(2/3*10)</f>
        <v>1204.6666666666665</v>
      </c>
      <c r="K2282">
        <v>2279</v>
      </c>
      <c r="L2282">
        <f t="shared" si="35"/>
        <v>7</v>
      </c>
    </row>
    <row r="2283" spans="1:12" ht="16.5" x14ac:dyDescent="0.2">
      <c r="A2283" s="4" t="s">
        <v>65</v>
      </c>
      <c r="B2283">
        <v>2016</v>
      </c>
      <c r="C2283" s="14">
        <f>103.5*(2/3*10)</f>
        <v>689.99999999999989</v>
      </c>
      <c r="D2283" s="14">
        <f>2.6*(2/3*10)</f>
        <v>17.333333333333332</v>
      </c>
      <c r="E2283" s="14">
        <f>1622.2*(2/3*10)</f>
        <v>10814.666666666666</v>
      </c>
      <c r="F2283" s="14">
        <f>183.5*(2/3*10)</f>
        <v>1223.3333333333333</v>
      </c>
      <c r="G2283" s="14">
        <f>11.4*(2/3*10)</f>
        <v>76</v>
      </c>
      <c r="H2283" s="14">
        <f>4.6*(2/3*10)</f>
        <v>30.666666666666661</v>
      </c>
      <c r="I2283" s="14">
        <f>180.7*(2/3*10)</f>
        <v>1204.6666666666665</v>
      </c>
      <c r="K2283" s="15">
        <v>2280</v>
      </c>
      <c r="L2283">
        <f t="shared" si="35"/>
        <v>0</v>
      </c>
    </row>
    <row r="2284" spans="1:12" ht="16.5" x14ac:dyDescent="0.2">
      <c r="A2284" s="4" t="s">
        <v>64</v>
      </c>
      <c r="B2284">
        <v>2009</v>
      </c>
      <c r="C2284" s="14">
        <f>83.4*(2/3*10)</f>
        <v>556</v>
      </c>
      <c r="D2284" s="14">
        <f>3.8*(2/3*10)</f>
        <v>25.333333333333329</v>
      </c>
      <c r="E2284" s="14">
        <f>2499.8*(2/3*10)</f>
        <v>16665.333333333332</v>
      </c>
      <c r="F2284" s="14">
        <f>452.7*(2/3*10)</f>
        <v>3017.9999999999995</v>
      </c>
      <c r="G2284" s="14">
        <f>13.3*(2/3*10)</f>
        <v>88.666666666666657</v>
      </c>
      <c r="H2284" s="14">
        <f>9.2*(2/3*10)</f>
        <v>61.333333333333321</v>
      </c>
      <c r="I2284" s="14">
        <f>34.7*(2/3*10)</f>
        <v>231.33333333333334</v>
      </c>
      <c r="K2284">
        <v>2281</v>
      </c>
      <c r="L2284">
        <f t="shared" si="35"/>
        <v>1</v>
      </c>
    </row>
    <row r="2285" spans="1:12" ht="16.5" x14ac:dyDescent="0.2">
      <c r="A2285" s="4" t="s">
        <v>64</v>
      </c>
      <c r="B2285">
        <v>2010</v>
      </c>
      <c r="C2285" s="14">
        <f>83.3*(2/3*10)</f>
        <v>555.33333333333326</v>
      </c>
      <c r="D2285" s="14">
        <f>3.8*(2/3*10)</f>
        <v>25.333333333333329</v>
      </c>
      <c r="E2285" s="14">
        <f>2499.3*(2/3*10)</f>
        <v>16662</v>
      </c>
      <c r="F2285" s="14">
        <f>452.5*(2/3*10)</f>
        <v>3016.6666666666665</v>
      </c>
      <c r="G2285" s="14">
        <f>13.3*(2/3*10)</f>
        <v>88.666666666666657</v>
      </c>
      <c r="H2285" s="14">
        <f>9.8*(2/3*10)</f>
        <v>65.333333333333329</v>
      </c>
      <c r="I2285" s="14">
        <f>34.7*(2/3*10)</f>
        <v>231.33333333333334</v>
      </c>
      <c r="K2285">
        <v>2282</v>
      </c>
      <c r="L2285">
        <f t="shared" si="35"/>
        <v>2</v>
      </c>
    </row>
    <row r="2286" spans="1:12" ht="16.5" x14ac:dyDescent="0.2">
      <c r="A2286" s="4" t="s">
        <v>64</v>
      </c>
      <c r="B2286">
        <v>2011</v>
      </c>
      <c r="C2286" s="14">
        <f>83.1*(2/3*10)</f>
        <v>553.99999999999989</v>
      </c>
      <c r="D2286" s="14">
        <f>3.8*(2/3*10)</f>
        <v>25.333333333333329</v>
      </c>
      <c r="E2286" s="14">
        <f>2498.8*(2/3*10)</f>
        <v>16658.666666666668</v>
      </c>
      <c r="F2286" s="14">
        <f>452.3*(2/3*10)</f>
        <v>3015.333333333333</v>
      </c>
      <c r="G2286" s="14">
        <f>13.5*(2/3*10)</f>
        <v>89.999999999999986</v>
      </c>
      <c r="H2286" s="14">
        <f>10.7*(2/3*10)</f>
        <v>71.333333333333329</v>
      </c>
      <c r="I2286" s="14">
        <f>34.8*(2/3*10)</f>
        <v>231.99999999999997</v>
      </c>
      <c r="K2286" s="15">
        <v>2283</v>
      </c>
      <c r="L2286">
        <f t="shared" si="35"/>
        <v>3</v>
      </c>
    </row>
    <row r="2287" spans="1:12" ht="16.5" x14ac:dyDescent="0.2">
      <c r="A2287" s="4" t="s">
        <v>64</v>
      </c>
      <c r="B2287">
        <v>2012</v>
      </c>
      <c r="C2287" s="14">
        <f>82.9*(2/3*10)</f>
        <v>552.66666666666663</v>
      </c>
      <c r="D2287" s="14">
        <f>3.8*(2/3*10)</f>
        <v>25.333333333333329</v>
      </c>
      <c r="E2287" s="14">
        <f>2498.7*(2/3*10)</f>
        <v>16657.999999999996</v>
      </c>
      <c r="F2287" s="14">
        <f>452.1*(2/3*10)</f>
        <v>3014</v>
      </c>
      <c r="G2287" s="14">
        <f>13.8*(2/3*10)</f>
        <v>92</v>
      </c>
      <c r="H2287" s="14">
        <f>10.7*(2/3*10)</f>
        <v>71.333333333333329</v>
      </c>
      <c r="I2287" s="14">
        <f>34.8*(2/3*10)</f>
        <v>231.99999999999997</v>
      </c>
      <c r="K2287">
        <v>2284</v>
      </c>
      <c r="L2287">
        <f t="shared" si="35"/>
        <v>4</v>
      </c>
    </row>
    <row r="2288" spans="1:12" ht="16.5" x14ac:dyDescent="0.2">
      <c r="A2288" s="4" t="s">
        <v>64</v>
      </c>
      <c r="B2288">
        <v>2013</v>
      </c>
      <c r="C2288" s="14">
        <f>82.7*(2/3*10)</f>
        <v>551.33333333333326</v>
      </c>
      <c r="D2288" s="14">
        <f>3.8*(2/3*10)</f>
        <v>25.333333333333329</v>
      </c>
      <c r="E2288" s="14">
        <f>2498.7*(2/3*10)</f>
        <v>16657.999999999996</v>
      </c>
      <c r="F2288" s="14">
        <f>451.9*(2/3*10)</f>
        <v>3012.6666666666661</v>
      </c>
      <c r="G2288" s="14">
        <f>14.3*(2/3*10)</f>
        <v>95.333333333333329</v>
      </c>
      <c r="H2288" s="14">
        <f>10.7*(2/3*10)</f>
        <v>71.333333333333329</v>
      </c>
      <c r="I2288" s="14">
        <f>34.8*(2/3*10)</f>
        <v>231.99999999999997</v>
      </c>
      <c r="K2288" s="15">
        <v>2285</v>
      </c>
      <c r="L2288">
        <f t="shared" si="35"/>
        <v>5</v>
      </c>
    </row>
    <row r="2289" spans="1:12" ht="16.5" x14ac:dyDescent="0.2">
      <c r="A2289" s="4" t="s">
        <v>64</v>
      </c>
      <c r="B2289">
        <v>2014</v>
      </c>
      <c r="C2289" s="14">
        <f>82.9*(2/3*10)</f>
        <v>552.66666666666663</v>
      </c>
      <c r="D2289" s="14">
        <f>3.8*(2/3*10)</f>
        <v>25.333333333333329</v>
      </c>
      <c r="E2289" s="14">
        <f>2498.4*(2/3*10)</f>
        <v>16656</v>
      </c>
      <c r="F2289" s="14">
        <f>451.3*(2/3*10)</f>
        <v>3008.6666666666665</v>
      </c>
      <c r="G2289" s="14">
        <f>14.9*(2/3*10)</f>
        <v>99.333333333333314</v>
      </c>
      <c r="H2289" s="14">
        <f>10.8*(2/3*10)</f>
        <v>72</v>
      </c>
      <c r="I2289" s="14">
        <f>34.8*(2/3*10)</f>
        <v>231.99999999999997</v>
      </c>
      <c r="K2289">
        <v>2286</v>
      </c>
      <c r="L2289">
        <f t="shared" si="35"/>
        <v>6</v>
      </c>
    </row>
    <row r="2290" spans="1:12" ht="16.5" x14ac:dyDescent="0.2">
      <c r="A2290" s="4" t="s">
        <v>64</v>
      </c>
      <c r="B2290">
        <v>2015</v>
      </c>
      <c r="C2290" s="14">
        <f>82.9*(2/3*10)</f>
        <v>552.66666666666663</v>
      </c>
      <c r="D2290" s="14">
        <f>3.8*(2/3*10)</f>
        <v>25.333333333333329</v>
      </c>
      <c r="E2290" s="14">
        <f>2498.3*(2/3*10)</f>
        <v>16655.333333333332</v>
      </c>
      <c r="F2290" s="14">
        <f>451.1*(2/3*10)</f>
        <v>3007.333333333333</v>
      </c>
      <c r="G2290" s="14">
        <f>15.3*(2/3*10)</f>
        <v>101.99999999999999</v>
      </c>
      <c r="H2290" s="14">
        <f>10.8*(2/3*10)</f>
        <v>72</v>
      </c>
      <c r="I2290" s="14">
        <f>34.8*(2/3*10)</f>
        <v>231.99999999999997</v>
      </c>
      <c r="K2290">
        <v>2287</v>
      </c>
      <c r="L2290">
        <f t="shared" si="35"/>
        <v>7</v>
      </c>
    </row>
    <row r="2291" spans="1:12" ht="16.5" x14ac:dyDescent="0.2">
      <c r="A2291" s="4" t="s">
        <v>64</v>
      </c>
      <c r="B2291">
        <v>2016</v>
      </c>
      <c r="C2291" s="14">
        <f>82.8*(2/3*10)</f>
        <v>551.99999999999989</v>
      </c>
      <c r="D2291" s="14">
        <f>3.8*(2/3*10)</f>
        <v>25.333333333333329</v>
      </c>
      <c r="E2291" s="14">
        <f>2498*(2/3*10)</f>
        <v>16653.333333333332</v>
      </c>
      <c r="F2291" s="14">
        <f>450.9*(2/3*10)</f>
        <v>3005.9999999999995</v>
      </c>
      <c r="G2291" s="14">
        <f>15.8*(2/3*10)</f>
        <v>105.33333333333333</v>
      </c>
      <c r="H2291" s="14">
        <f>10.8*(2/3*10)</f>
        <v>72</v>
      </c>
      <c r="I2291" s="14">
        <f>34.8*(2/3*10)</f>
        <v>231.99999999999997</v>
      </c>
      <c r="K2291" s="15">
        <v>2288</v>
      </c>
      <c r="L2291">
        <f t="shared" si="35"/>
        <v>0</v>
      </c>
    </row>
    <row r="2292" spans="1:12" ht="16.5" x14ac:dyDescent="0.2">
      <c r="A2292" s="4" t="s">
        <v>63</v>
      </c>
      <c r="B2292">
        <v>2009</v>
      </c>
      <c r="C2292" s="14">
        <f>83*(2/3*10)</f>
        <v>553.33333333333326</v>
      </c>
      <c r="D2292" s="14">
        <f>0*(2/3*10)</f>
        <v>0</v>
      </c>
      <c r="E2292" s="14">
        <f>530.4*(2/3*10)</f>
        <v>3535.9999999999995</v>
      </c>
      <c r="F2292" s="14">
        <f>3188.9*(2/3*10)</f>
        <v>21259.333333333332</v>
      </c>
      <c r="G2292" s="14">
        <f>23.9*(2/3*10)</f>
        <v>159.33333333333334</v>
      </c>
      <c r="H2292" s="14">
        <f>7.4*(2/3*10)</f>
        <v>49.333333333333329</v>
      </c>
      <c r="I2292" s="14">
        <f>310.8*(2/3*10)</f>
        <v>2072</v>
      </c>
      <c r="K2292">
        <v>2289</v>
      </c>
      <c r="L2292">
        <f t="shared" si="35"/>
        <v>1</v>
      </c>
    </row>
    <row r="2293" spans="1:12" ht="16.5" x14ac:dyDescent="0.2">
      <c r="A2293" s="4" t="s">
        <v>63</v>
      </c>
      <c r="B2293">
        <v>2010</v>
      </c>
      <c r="C2293" s="14">
        <f>82.3*(2/3*10)</f>
        <v>548.66666666666663</v>
      </c>
      <c r="D2293" s="14">
        <f>0*(2/3*10)</f>
        <v>0</v>
      </c>
      <c r="E2293" s="14">
        <f>530.3*(2/3*10)</f>
        <v>3535.3333333333326</v>
      </c>
      <c r="F2293" s="14">
        <f>3188.3*(2/3*10)</f>
        <v>21255.333333333332</v>
      </c>
      <c r="G2293" s="14">
        <f>24.9*(2/3*10)</f>
        <v>165.99999999999997</v>
      </c>
      <c r="H2293" s="14">
        <f>7.7*(2/3*10)</f>
        <v>51.333333333333329</v>
      </c>
      <c r="I2293" s="14">
        <f>310.7*(2/3*10)</f>
        <v>2071.333333333333</v>
      </c>
      <c r="K2293" s="15">
        <v>2290</v>
      </c>
      <c r="L2293">
        <f t="shared" si="35"/>
        <v>2</v>
      </c>
    </row>
    <row r="2294" spans="1:12" ht="16.5" x14ac:dyDescent="0.2">
      <c r="A2294" s="4" t="s">
        <v>63</v>
      </c>
      <c r="B2294">
        <v>2011</v>
      </c>
      <c r="C2294" s="14">
        <f>82.2*(2/3*10)</f>
        <v>548</v>
      </c>
      <c r="D2294" s="14">
        <f>0*(2/3*10)</f>
        <v>0</v>
      </c>
      <c r="E2294" s="14">
        <f>530*(2/3*10)</f>
        <v>3533.333333333333</v>
      </c>
      <c r="F2294" s="14">
        <f>3187.7*(2/3*10)</f>
        <v>21251.333333333328</v>
      </c>
      <c r="G2294" s="14">
        <f>25.4*(2/3*10)</f>
        <v>169.33333333333331</v>
      </c>
      <c r="H2294" s="14">
        <f>8.4*(2/3*10)</f>
        <v>56</v>
      </c>
      <c r="I2294" s="14">
        <f>310.6*(2/3*10)</f>
        <v>2070.6666666666665</v>
      </c>
      <c r="K2294">
        <v>2291</v>
      </c>
      <c r="L2294">
        <f t="shared" si="35"/>
        <v>3</v>
      </c>
    </row>
    <row r="2295" spans="1:12" ht="16.5" x14ac:dyDescent="0.2">
      <c r="A2295" s="4" t="s">
        <v>63</v>
      </c>
      <c r="B2295">
        <v>2012</v>
      </c>
      <c r="C2295" s="14">
        <f>82.2*(2/3*10)</f>
        <v>548</v>
      </c>
      <c r="D2295" s="14">
        <f>0*(2/3*10)</f>
        <v>0</v>
      </c>
      <c r="E2295" s="14">
        <f>530*(2/3*10)</f>
        <v>3533.333333333333</v>
      </c>
      <c r="F2295" s="14">
        <f>3187.2*(2/3*10)</f>
        <v>21247.999999999996</v>
      </c>
      <c r="G2295" s="14">
        <f>25.7*(2/3*10)</f>
        <v>171.33333333333331</v>
      </c>
      <c r="H2295" s="14">
        <f>8.5*(2/3*10)</f>
        <v>56.666666666666664</v>
      </c>
      <c r="I2295" s="14">
        <f>310.6*(2/3*10)</f>
        <v>2070.6666666666665</v>
      </c>
      <c r="K2295">
        <v>2292</v>
      </c>
      <c r="L2295">
        <f t="shared" si="35"/>
        <v>4</v>
      </c>
    </row>
    <row r="2296" spans="1:12" ht="16.5" x14ac:dyDescent="0.2">
      <c r="A2296" s="4" t="s">
        <v>63</v>
      </c>
      <c r="B2296">
        <v>2013</v>
      </c>
      <c r="C2296" s="14">
        <f>81.7*(2/3*10)</f>
        <v>544.66666666666663</v>
      </c>
      <c r="D2296" s="14">
        <f>0*(2/3*10)</f>
        <v>0</v>
      </c>
      <c r="E2296" s="14">
        <f>529.9*(2/3*10)</f>
        <v>3532.6666666666661</v>
      </c>
      <c r="F2296" s="14">
        <f>3186.9*(2/3*10)</f>
        <v>21246</v>
      </c>
      <c r="G2296" s="14">
        <f>26.2*(2/3*10)</f>
        <v>174.66666666666666</v>
      </c>
      <c r="H2296" s="14">
        <f>8.8*(2/3*10)</f>
        <v>58.666666666666664</v>
      </c>
      <c r="I2296" s="14">
        <f>310.6*(2/3*10)</f>
        <v>2070.6666666666665</v>
      </c>
      <c r="K2296" s="15">
        <v>2293</v>
      </c>
      <c r="L2296">
        <f t="shared" si="35"/>
        <v>5</v>
      </c>
    </row>
    <row r="2297" spans="1:12" ht="16.5" x14ac:dyDescent="0.2">
      <c r="A2297" s="4" t="s">
        <v>63</v>
      </c>
      <c r="B2297">
        <v>2014</v>
      </c>
      <c r="C2297" s="14">
        <f>81.8*(2/3*10)</f>
        <v>545.33333333333326</v>
      </c>
      <c r="D2297" s="14">
        <f>0*(2/3*10)</f>
        <v>0</v>
      </c>
      <c r="E2297" s="14">
        <f>529.5*(2/3*10)</f>
        <v>3529.9999999999995</v>
      </c>
      <c r="F2297" s="14">
        <f>3185.7*(2/3*10)</f>
        <v>21237.999999999996</v>
      </c>
      <c r="G2297" s="14">
        <f>27.4*(2/3*10)</f>
        <v>182.66666666666663</v>
      </c>
      <c r="H2297" s="14">
        <f>9.2*(2/3*10)</f>
        <v>61.333333333333321</v>
      </c>
      <c r="I2297" s="14">
        <f>310.4*(2/3*10)</f>
        <v>2069.333333333333</v>
      </c>
      <c r="K2297">
        <v>2294</v>
      </c>
      <c r="L2297">
        <f t="shared" si="35"/>
        <v>6</v>
      </c>
    </row>
    <row r="2298" spans="1:12" ht="16.5" x14ac:dyDescent="0.2">
      <c r="A2298" s="4" t="s">
        <v>63</v>
      </c>
      <c r="B2298">
        <v>2015</v>
      </c>
      <c r="C2298" s="14">
        <f>81.9*(2/3*10)</f>
        <v>546</v>
      </c>
      <c r="D2298" s="14">
        <f>0*(2/3*10)</f>
        <v>0</v>
      </c>
      <c r="E2298" s="14">
        <f>529.3*(2/3*10)</f>
        <v>3528.6666666666661</v>
      </c>
      <c r="F2298" s="14">
        <f>3184.8*(2/3*10)</f>
        <v>21232</v>
      </c>
      <c r="G2298" s="14">
        <f>28.1*(2/3*10)</f>
        <v>187.33333333333331</v>
      </c>
      <c r="H2298" s="14">
        <f>9.4*(2/3*10)</f>
        <v>62.666666666666664</v>
      </c>
      <c r="I2298" s="14">
        <f>310.3*(2/3*10)</f>
        <v>2068.6666666666665</v>
      </c>
      <c r="K2298" s="15">
        <v>2295</v>
      </c>
      <c r="L2298">
        <f t="shared" si="35"/>
        <v>7</v>
      </c>
    </row>
    <row r="2299" spans="1:12" ht="16.5" x14ac:dyDescent="0.2">
      <c r="A2299" s="4" t="s">
        <v>63</v>
      </c>
      <c r="B2299">
        <v>2016</v>
      </c>
      <c r="C2299" s="14">
        <f>84.9*(2/3*10)</f>
        <v>566</v>
      </c>
      <c r="D2299" s="14">
        <f>0*(2/3*10)</f>
        <v>0</v>
      </c>
      <c r="E2299" s="14">
        <f>528.8*(2/3*10)</f>
        <v>3525.3333333333326</v>
      </c>
      <c r="F2299" s="14">
        <f>3179.5*(2/3*10)</f>
        <v>21196.666666666664</v>
      </c>
      <c r="G2299" s="14">
        <f>29*(2/3*10)</f>
        <v>193.33333333333331</v>
      </c>
      <c r="H2299" s="14">
        <f>11.5*(2/3*10)</f>
        <v>76.666666666666657</v>
      </c>
      <c r="I2299" s="14">
        <f>310.1*(2/3*10)</f>
        <v>2067.3333333333335</v>
      </c>
      <c r="K2299">
        <v>2296</v>
      </c>
      <c r="L2299">
        <f t="shared" si="35"/>
        <v>0</v>
      </c>
    </row>
    <row r="2300" spans="1:12" ht="16.5" x14ac:dyDescent="0.2">
      <c r="A2300" s="4" t="s">
        <v>62</v>
      </c>
      <c r="B2300">
        <v>2014</v>
      </c>
      <c r="C2300" s="14">
        <f>222*(2/3*10)</f>
        <v>1479.9999999999998</v>
      </c>
      <c r="D2300" s="14">
        <f>0.1*(2/3*10)</f>
        <v>0.66666666666666663</v>
      </c>
      <c r="E2300" s="14">
        <f>1140.9*(2/3*10)</f>
        <v>7606</v>
      </c>
      <c r="F2300" s="14">
        <f>21554.5*(2/3*10)</f>
        <v>143696.66666666666</v>
      </c>
      <c r="G2300" s="14">
        <f>24.1*(2/3*10)</f>
        <v>160.66666666666663</v>
      </c>
      <c r="H2300" s="14">
        <f>20.1*(2/3*10)</f>
        <v>134</v>
      </c>
      <c r="I2300" s="14">
        <f>1417.8*(2/3*10)</f>
        <v>9451.9999999999982</v>
      </c>
      <c r="K2300">
        <v>2297</v>
      </c>
      <c r="L2300">
        <f t="shared" si="35"/>
        <v>1</v>
      </c>
    </row>
    <row r="2301" spans="1:12" ht="16.5" x14ac:dyDescent="0.2">
      <c r="A2301" s="4" t="s">
        <v>62</v>
      </c>
      <c r="B2301">
        <v>2015</v>
      </c>
      <c r="C2301" s="14">
        <f>222.2*(2/3*10)</f>
        <v>1481.333333333333</v>
      </c>
      <c r="D2301" s="14">
        <f>0.1*(2/3*10)</f>
        <v>0.66666666666666663</v>
      </c>
      <c r="E2301" s="14">
        <f>1140.8*(2/3*10)</f>
        <v>7605.3333333333321</v>
      </c>
      <c r="F2301" s="14">
        <f>21553.5*(2/3*10)</f>
        <v>143690</v>
      </c>
      <c r="G2301" s="14">
        <f>24.5*(2/3*10)</f>
        <v>163.33333333333331</v>
      </c>
      <c r="H2301" s="14">
        <f>20.6*(2/3*10)</f>
        <v>137.33333333333334</v>
      </c>
      <c r="I2301" s="14">
        <f>1417.8*(2/3*10)</f>
        <v>9451.9999999999982</v>
      </c>
      <c r="K2301" s="15">
        <v>2298</v>
      </c>
      <c r="L2301">
        <f t="shared" si="35"/>
        <v>2</v>
      </c>
    </row>
    <row r="2302" spans="1:12" ht="16.5" x14ac:dyDescent="0.2">
      <c r="A2302" s="4" t="s">
        <v>62</v>
      </c>
      <c r="B2302">
        <v>2016</v>
      </c>
      <c r="C2302" s="14">
        <f>221.8*(2/3*10)</f>
        <v>1478.6666666666665</v>
      </c>
      <c r="D2302" s="14">
        <f>0.1*(2/3*10)</f>
        <v>0.66666666666666663</v>
      </c>
      <c r="E2302" s="14">
        <f>1140.3*(2/3*10)</f>
        <v>7601.9999999999991</v>
      </c>
      <c r="F2302" s="14">
        <f>21552.1*(2/3*10)</f>
        <v>143680.66666666666</v>
      </c>
      <c r="G2302" s="14">
        <f>26.2*(2/3*10)</f>
        <v>174.66666666666666</v>
      </c>
      <c r="H2302" s="14">
        <f>21.2*(2/3*10)</f>
        <v>141.33333333333331</v>
      </c>
      <c r="I2302" s="14">
        <f>1417.8*(2/3*10)</f>
        <v>9451.9999999999982</v>
      </c>
      <c r="K2302">
        <v>2299</v>
      </c>
      <c r="L2302">
        <f t="shared" si="35"/>
        <v>3</v>
      </c>
    </row>
    <row r="2303" spans="1:12" ht="16.5" x14ac:dyDescent="0.2">
      <c r="A2303" s="4" t="s">
        <v>61</v>
      </c>
      <c r="B2303">
        <v>2014</v>
      </c>
      <c r="C2303" s="14">
        <f>108.8*(2/3*10)</f>
        <v>725.33333333333326</v>
      </c>
      <c r="D2303" s="14">
        <f>0.2*(2/3*10)</f>
        <v>1.3333333333333333</v>
      </c>
      <c r="E2303" s="14">
        <f>6117.8*(2/3*10)</f>
        <v>40785.333333333328</v>
      </c>
      <c r="F2303" s="14">
        <f>8656.5*(2/3*10)</f>
        <v>57709.999999999993</v>
      </c>
      <c r="G2303" s="14">
        <f>16.2*(2/3*10)</f>
        <v>107.99999999999999</v>
      </c>
      <c r="H2303" s="14">
        <f>9.7*(2/3*10)</f>
        <v>64.666666666666657</v>
      </c>
      <c r="I2303" s="14">
        <f>385.6*(2/3*10)</f>
        <v>2570.6666666666665</v>
      </c>
      <c r="K2303" s="15">
        <v>2300</v>
      </c>
      <c r="L2303">
        <f t="shared" si="35"/>
        <v>4</v>
      </c>
    </row>
    <row r="2304" spans="1:12" ht="16.5" x14ac:dyDescent="0.2">
      <c r="A2304" s="4" t="s">
        <v>61</v>
      </c>
      <c r="B2304">
        <v>2015</v>
      </c>
      <c r="C2304" s="14">
        <f>109.2*(2/3*10)</f>
        <v>728</v>
      </c>
      <c r="D2304" s="14">
        <f>0.2*(2/3*10)</f>
        <v>1.3333333333333333</v>
      </c>
      <c r="E2304" s="14">
        <f>6117.6*(2/3*10)</f>
        <v>40784</v>
      </c>
      <c r="F2304" s="14">
        <f>8655.6*(2/3*10)</f>
        <v>57704</v>
      </c>
      <c r="G2304" s="14">
        <f>16.3*(2/3*10)</f>
        <v>108.66666666666666</v>
      </c>
      <c r="H2304" s="14">
        <f>10*(2/3*10)</f>
        <v>66.666666666666657</v>
      </c>
      <c r="I2304" s="14">
        <f>385.6*(2/3*10)</f>
        <v>2570.6666666666665</v>
      </c>
      <c r="K2304">
        <v>2301</v>
      </c>
      <c r="L2304">
        <f t="shared" ref="L2304:L2367" si="36">MOD(K2304,8)</f>
        <v>5</v>
      </c>
    </row>
    <row r="2305" spans="1:12" ht="16.5" x14ac:dyDescent="0.2">
      <c r="A2305" s="4" t="s">
        <v>61</v>
      </c>
      <c r="B2305">
        <v>2016</v>
      </c>
      <c r="C2305" s="14">
        <f>108.9*(2/3*10)</f>
        <v>726</v>
      </c>
      <c r="D2305" s="14">
        <f>0.2*(2/3*10)</f>
        <v>1.3333333333333333</v>
      </c>
      <c r="E2305" s="14">
        <f>6117.3*(2/3*10)</f>
        <v>40782</v>
      </c>
      <c r="F2305" s="14">
        <f>8654.7*(2/3*10)</f>
        <v>57698</v>
      </c>
      <c r="G2305" s="14">
        <f>17.2*(2/3*10)</f>
        <v>114.66666666666666</v>
      </c>
      <c r="H2305" s="14">
        <f>10.1*(2/3*10)</f>
        <v>67.333333333333329</v>
      </c>
      <c r="I2305" s="14">
        <f>386.1*(2/3*10)</f>
        <v>2574</v>
      </c>
      <c r="K2305">
        <v>2302</v>
      </c>
      <c r="L2305">
        <f t="shared" si="36"/>
        <v>6</v>
      </c>
    </row>
    <row r="2306" spans="1:12" ht="16.5" x14ac:dyDescent="0.2">
      <c r="A2306" s="4" t="s">
        <v>60</v>
      </c>
      <c r="B2306">
        <v>2015</v>
      </c>
      <c r="C2306" s="14">
        <f>80.9*(2/3*10)</f>
        <v>539.33333333333337</v>
      </c>
      <c r="D2306" s="14">
        <f>1.6*(2/3*10)</f>
        <v>10.666666666666666</v>
      </c>
      <c r="E2306" s="14">
        <f>9690.1*(2/3*10)</f>
        <v>64600.666666666664</v>
      </c>
      <c r="F2306" s="14">
        <f>3210.5*(2/3*10)</f>
        <v>21403.333333333332</v>
      </c>
      <c r="G2306" s="14">
        <f>18.1*(2/3*10)</f>
        <v>120.66666666666667</v>
      </c>
      <c r="H2306" s="14">
        <f>8.7*(2/3*10)</f>
        <v>57.999999999999993</v>
      </c>
      <c r="I2306" s="14">
        <f>952.5*(2/3*10)</f>
        <v>6349.9999999999991</v>
      </c>
      <c r="K2306" s="15">
        <v>2303</v>
      </c>
      <c r="L2306">
        <f t="shared" si="36"/>
        <v>7</v>
      </c>
    </row>
    <row r="2307" spans="1:12" ht="16.5" x14ac:dyDescent="0.2">
      <c r="A2307" s="4" t="s">
        <v>60</v>
      </c>
      <c r="B2307">
        <v>2016</v>
      </c>
      <c r="C2307" s="14">
        <f>81.2*(2/3*10)</f>
        <v>541.33333333333326</v>
      </c>
      <c r="D2307" s="14">
        <f>1.6*(2/3*10)</f>
        <v>10.666666666666666</v>
      </c>
      <c r="E2307" s="14">
        <f>9689.3*(2/3*10)</f>
        <v>64595.333333333321</v>
      </c>
      <c r="F2307" s="14">
        <f>3209.8*(2/3*10)</f>
        <v>21398.666666666664</v>
      </c>
      <c r="G2307" s="14">
        <f>18.3*(2/3*10)</f>
        <v>122</v>
      </c>
      <c r="H2307" s="14">
        <f>9.9*(2/3*10)</f>
        <v>66</v>
      </c>
      <c r="I2307" s="14">
        <f>952.4*(2/3*10)</f>
        <v>6349.333333333333</v>
      </c>
      <c r="K2307">
        <v>2304</v>
      </c>
      <c r="L2307">
        <f t="shared" si="36"/>
        <v>0</v>
      </c>
    </row>
    <row r="2308" spans="1:12" ht="16.5" x14ac:dyDescent="0.2">
      <c r="A2308" s="4" t="s">
        <v>59</v>
      </c>
      <c r="B2308">
        <v>2009</v>
      </c>
      <c r="C2308" s="14">
        <f>108.6*(2/3*10)</f>
        <v>723.99999999999989</v>
      </c>
      <c r="D2308" s="14">
        <f>0.2*(2/3*10)</f>
        <v>1.3333333333333333</v>
      </c>
      <c r="E2308" s="14">
        <f>6118*(2/3*10)</f>
        <v>40786.666666666664</v>
      </c>
      <c r="F2308" s="14">
        <f>8657.3*(2/3*10)</f>
        <v>57715.333333333321</v>
      </c>
      <c r="G2308" s="14">
        <f>15.5*(2/3*10)</f>
        <v>103.33333333333333</v>
      </c>
      <c r="H2308" s="14">
        <f>9.6*(2/3*10)</f>
        <v>63.999999999999993</v>
      </c>
      <c r="I2308" s="14">
        <f>385.6*(2/3*10)</f>
        <v>2570.6666666666665</v>
      </c>
      <c r="K2308" s="15">
        <v>2305</v>
      </c>
      <c r="L2308">
        <f t="shared" si="36"/>
        <v>1</v>
      </c>
    </row>
    <row r="2309" spans="1:12" ht="16.5" x14ac:dyDescent="0.2">
      <c r="A2309" s="4" t="s">
        <v>59</v>
      </c>
      <c r="B2309">
        <v>2010</v>
      </c>
      <c r="C2309" s="14">
        <f>108.6*(2/3*10)</f>
        <v>723.99999999999989</v>
      </c>
      <c r="D2309" s="14">
        <f>0.2*(2/3*10)</f>
        <v>1.3333333333333333</v>
      </c>
      <c r="E2309" s="14">
        <f>6118*(2/3*10)</f>
        <v>40786.666666666664</v>
      </c>
      <c r="F2309" s="14">
        <f>8657.3*(2/3*10)</f>
        <v>57715.333333333321</v>
      </c>
      <c r="G2309" s="14">
        <f>15.7*(2/3*10)</f>
        <v>104.66666666666667</v>
      </c>
      <c r="H2309" s="14">
        <f>9.7*(2/3*10)</f>
        <v>64.666666666666657</v>
      </c>
      <c r="I2309" s="14">
        <f>385.6*(2/3*10)</f>
        <v>2570.6666666666665</v>
      </c>
      <c r="K2309">
        <v>2306</v>
      </c>
      <c r="L2309">
        <f t="shared" si="36"/>
        <v>2</v>
      </c>
    </row>
    <row r="2310" spans="1:12" ht="16.5" x14ac:dyDescent="0.2">
      <c r="A2310" s="4" t="s">
        <v>59</v>
      </c>
      <c r="B2310">
        <v>2011</v>
      </c>
      <c r="C2310" s="14">
        <f>108.6*(2/3*10)</f>
        <v>723.99999999999989</v>
      </c>
      <c r="D2310" s="14">
        <f>0.2*(2/3*10)</f>
        <v>1.3333333333333333</v>
      </c>
      <c r="E2310" s="14">
        <f>6118*(2/3*10)</f>
        <v>40786.666666666664</v>
      </c>
      <c r="F2310" s="14">
        <f>8657.2*(2/3*10)</f>
        <v>57714.666666666664</v>
      </c>
      <c r="G2310" s="14">
        <f>15.7*(2/3*10)</f>
        <v>104.66666666666667</v>
      </c>
      <c r="H2310" s="14">
        <f>9.7*(2/3*10)</f>
        <v>64.666666666666657</v>
      </c>
      <c r="I2310" s="14">
        <f>385.6*(2/3*10)</f>
        <v>2570.6666666666665</v>
      </c>
      <c r="K2310">
        <v>2307</v>
      </c>
      <c r="L2310">
        <f t="shared" si="36"/>
        <v>3</v>
      </c>
    </row>
    <row r="2311" spans="1:12" ht="16.5" x14ac:dyDescent="0.2">
      <c r="A2311" s="4" t="s">
        <v>59</v>
      </c>
      <c r="B2311">
        <v>2012</v>
      </c>
      <c r="C2311" s="14">
        <f>108.6*(2/3*10)</f>
        <v>723.99999999999989</v>
      </c>
      <c r="D2311" s="14">
        <f>0.2*(2/3*10)</f>
        <v>1.3333333333333333</v>
      </c>
      <c r="E2311" s="14">
        <f>6117.9*(2/3*10)</f>
        <v>40785.999999999993</v>
      </c>
      <c r="F2311" s="14">
        <f>8657.2*(2/3*10)</f>
        <v>57714.666666666664</v>
      </c>
      <c r="G2311" s="14">
        <f>15.7*(2/3*10)</f>
        <v>104.66666666666667</v>
      </c>
      <c r="H2311" s="14">
        <f>9.7*(2/3*10)</f>
        <v>64.666666666666657</v>
      </c>
      <c r="I2311" s="14">
        <f>385.6*(2/3*10)</f>
        <v>2570.6666666666665</v>
      </c>
      <c r="K2311" s="15">
        <v>2308</v>
      </c>
      <c r="L2311">
        <f t="shared" si="36"/>
        <v>4</v>
      </c>
    </row>
    <row r="2312" spans="1:12" ht="16.5" x14ac:dyDescent="0.2">
      <c r="A2312" s="4" t="s">
        <v>59</v>
      </c>
      <c r="B2312">
        <v>2013</v>
      </c>
      <c r="C2312" s="14">
        <f>108.5*(2/3*10)</f>
        <v>723.33333333333326</v>
      </c>
      <c r="D2312" s="14">
        <f>0.2*(2/3*10)</f>
        <v>1.3333333333333333</v>
      </c>
      <c r="E2312" s="14">
        <f>6117.9*(2/3*10)</f>
        <v>40785.999999999993</v>
      </c>
      <c r="F2312" s="14">
        <f>8657.1*(2/3*10)</f>
        <v>57714</v>
      </c>
      <c r="G2312" s="14">
        <f>15.9*(2/3*10)</f>
        <v>106</v>
      </c>
      <c r="H2312" s="14">
        <f>9.7*(2/3*10)</f>
        <v>64.666666666666657</v>
      </c>
      <c r="I2312" s="14">
        <f>385.6*(2/3*10)</f>
        <v>2570.6666666666665</v>
      </c>
      <c r="K2312">
        <v>2309</v>
      </c>
      <c r="L2312">
        <f t="shared" si="36"/>
        <v>5</v>
      </c>
    </row>
    <row r="2313" spans="1:12" ht="16.5" x14ac:dyDescent="0.2">
      <c r="A2313" s="4" t="s">
        <v>58</v>
      </c>
      <c r="B2313">
        <v>2009</v>
      </c>
      <c r="C2313" s="14">
        <f>157*(2/3*10)</f>
        <v>1046.6666666666665</v>
      </c>
      <c r="D2313" s="14">
        <f>0.2*(2/3*10)</f>
        <v>1.3333333333333333</v>
      </c>
      <c r="E2313" s="14">
        <f>5422.4*(2/3*10)</f>
        <v>36149.333333333328</v>
      </c>
      <c r="F2313" s="14">
        <f>4505.4*(2/3*10)</f>
        <v>30035.999999999996</v>
      </c>
      <c r="G2313" s="14">
        <f>27.1*(2/3*10)</f>
        <v>180.66666666666663</v>
      </c>
      <c r="H2313" s="14">
        <f>10*(2/3*10)</f>
        <v>66.666666666666657</v>
      </c>
      <c r="I2313" s="14">
        <f>533.4*(2/3*10)</f>
        <v>3555.9999999999995</v>
      </c>
      <c r="K2313" s="15">
        <v>2310</v>
      </c>
      <c r="L2313">
        <f t="shared" si="36"/>
        <v>6</v>
      </c>
    </row>
    <row r="2314" spans="1:12" ht="16.5" x14ac:dyDescent="0.2">
      <c r="A2314" s="4" t="s">
        <v>58</v>
      </c>
      <c r="B2314">
        <v>2010</v>
      </c>
      <c r="C2314" s="14">
        <f>157*(2/3*10)</f>
        <v>1046.6666666666665</v>
      </c>
      <c r="D2314" s="14">
        <f>0.3*(2/3*10)</f>
        <v>1.9999999999999998</v>
      </c>
      <c r="E2314" s="14">
        <f>5422.3*(2/3*10)</f>
        <v>36148.666666666664</v>
      </c>
      <c r="F2314" s="14">
        <f>4505.2*(2/3*10)</f>
        <v>30034.666666666664</v>
      </c>
      <c r="G2314" s="14">
        <f>27.1*(2/3*10)</f>
        <v>180.66666666666663</v>
      </c>
      <c r="H2314" s="14">
        <f>10*(2/3*10)</f>
        <v>66.666666666666657</v>
      </c>
      <c r="I2314" s="14">
        <f>533.4*(2/3*10)</f>
        <v>3555.9999999999995</v>
      </c>
      <c r="K2314">
        <v>2311</v>
      </c>
      <c r="L2314">
        <f t="shared" si="36"/>
        <v>7</v>
      </c>
    </row>
    <row r="2315" spans="1:12" ht="16.5" x14ac:dyDescent="0.2">
      <c r="A2315" s="4" t="s">
        <v>58</v>
      </c>
      <c r="B2315">
        <v>2011</v>
      </c>
      <c r="C2315" s="14">
        <f>157.1*(2/3*10)</f>
        <v>1047.3333333333333</v>
      </c>
      <c r="D2315" s="14">
        <f>0.3*(2/3*10)</f>
        <v>1.9999999999999998</v>
      </c>
      <c r="E2315" s="14">
        <f>5422.2*(2/3*10)</f>
        <v>36147.999999999993</v>
      </c>
      <c r="F2315" s="14">
        <f>4505*(2/3*10)</f>
        <v>30033.333333333332</v>
      </c>
      <c r="G2315" s="14">
        <f>27.3*(2/3*10)</f>
        <v>182</v>
      </c>
      <c r="H2315" s="14">
        <f>10.1*(2/3*10)</f>
        <v>67.333333333333329</v>
      </c>
      <c r="I2315" s="14">
        <f>533.4*(2/3*10)</f>
        <v>3555.9999999999995</v>
      </c>
      <c r="K2315">
        <v>2312</v>
      </c>
      <c r="L2315">
        <f t="shared" si="36"/>
        <v>0</v>
      </c>
    </row>
    <row r="2316" spans="1:12" ht="16.5" x14ac:dyDescent="0.2">
      <c r="A2316" s="4" t="s">
        <v>58</v>
      </c>
      <c r="B2316">
        <v>2012</v>
      </c>
      <c r="C2316" s="14">
        <f>157.1*(2/3*10)</f>
        <v>1047.3333333333333</v>
      </c>
      <c r="D2316" s="14">
        <f>0.3*(2/3*10)</f>
        <v>1.9999999999999998</v>
      </c>
      <c r="E2316" s="14">
        <f>5422.2*(2/3*10)</f>
        <v>36147.999999999993</v>
      </c>
      <c r="F2316" s="14">
        <f>4505*(2/3*10)</f>
        <v>30033.333333333332</v>
      </c>
      <c r="G2316" s="14">
        <f>27.3*(2/3*10)</f>
        <v>182</v>
      </c>
      <c r="H2316" s="14">
        <f>10.1*(2/3*10)</f>
        <v>67.333333333333329</v>
      </c>
      <c r="I2316" s="14">
        <f>533.4*(2/3*10)</f>
        <v>3555.9999999999995</v>
      </c>
      <c r="K2316" s="15">
        <v>2313</v>
      </c>
      <c r="L2316">
        <f t="shared" si="36"/>
        <v>1</v>
      </c>
    </row>
    <row r="2317" spans="1:12" ht="16.5" x14ac:dyDescent="0.2">
      <c r="A2317" s="4" t="s">
        <v>58</v>
      </c>
      <c r="B2317">
        <v>2013</v>
      </c>
      <c r="C2317" s="14">
        <f>157*(2/3*10)</f>
        <v>1046.6666666666665</v>
      </c>
      <c r="D2317" s="14">
        <f>0.3*(2/3*10)</f>
        <v>1.9999999999999998</v>
      </c>
      <c r="E2317" s="14">
        <f>5422.1*(2/3*10)</f>
        <v>36147.333333333336</v>
      </c>
      <c r="F2317" s="14">
        <f>4504.9*(2/3*10)</f>
        <v>30032.666666666661</v>
      </c>
      <c r="G2317" s="14">
        <f>27.5*(2/3*10)</f>
        <v>183.33333333333331</v>
      </c>
      <c r="H2317" s="14">
        <f>10.1*(2/3*10)</f>
        <v>67.333333333333329</v>
      </c>
      <c r="I2317" s="14">
        <f>533.4*(2/3*10)</f>
        <v>3555.9999999999995</v>
      </c>
      <c r="K2317">
        <v>2314</v>
      </c>
      <c r="L2317">
        <f t="shared" si="36"/>
        <v>2</v>
      </c>
    </row>
    <row r="2318" spans="1:12" ht="16.5" x14ac:dyDescent="0.2">
      <c r="A2318" s="4" t="s">
        <v>58</v>
      </c>
      <c r="B2318">
        <v>2014</v>
      </c>
      <c r="C2318" s="14">
        <f>157.3*(2/3*10)</f>
        <v>1048.6666666666667</v>
      </c>
      <c r="D2318" s="14">
        <f>0.3*(2/3*10)</f>
        <v>1.9999999999999998</v>
      </c>
      <c r="E2318" s="14">
        <f>5421.8*(2/3*10)</f>
        <v>36145.333333333328</v>
      </c>
      <c r="F2318" s="14">
        <f>4504.4*(2/3*10)</f>
        <v>30029.333333333328</v>
      </c>
      <c r="G2318" s="14">
        <f>27.8*(2/3*10)</f>
        <v>185.33333333333331</v>
      </c>
      <c r="H2318" s="14">
        <f>10.2*(2/3*10)</f>
        <v>67.999999999999986</v>
      </c>
      <c r="I2318" s="14">
        <f>533.4*(2/3*10)</f>
        <v>3555.9999999999995</v>
      </c>
      <c r="K2318" s="15">
        <v>2315</v>
      </c>
      <c r="L2318">
        <f t="shared" si="36"/>
        <v>3</v>
      </c>
    </row>
    <row r="2319" spans="1:12" ht="16.5" x14ac:dyDescent="0.2">
      <c r="A2319" s="4" t="s">
        <v>58</v>
      </c>
      <c r="B2319">
        <v>2015</v>
      </c>
      <c r="C2319" s="14">
        <f>157.2*(2/3*10)</f>
        <v>1047.9999999999998</v>
      </c>
      <c r="D2319" s="14">
        <f>0.3*(2/3*10)</f>
        <v>1.9999999999999998</v>
      </c>
      <c r="E2319" s="14">
        <f>5421.6*(2/3*10)</f>
        <v>36144</v>
      </c>
      <c r="F2319" s="14">
        <f>4504.3*(2/3*10)</f>
        <v>30028.666666666664</v>
      </c>
      <c r="G2319" s="14">
        <f>28*(2/3*10)</f>
        <v>186.66666666666666</v>
      </c>
      <c r="H2319" s="14">
        <f>10.3*(2/3*10)</f>
        <v>68.666666666666671</v>
      </c>
      <c r="I2319" s="14">
        <f>533.6*(2/3*10)</f>
        <v>3557.333333333333</v>
      </c>
      <c r="K2319">
        <v>2316</v>
      </c>
      <c r="L2319">
        <f t="shared" si="36"/>
        <v>4</v>
      </c>
    </row>
    <row r="2320" spans="1:12" ht="16.5" x14ac:dyDescent="0.2">
      <c r="A2320" s="4" t="s">
        <v>58</v>
      </c>
      <c r="B2320">
        <v>2016</v>
      </c>
      <c r="C2320" s="14">
        <f>157*(2/3*10)</f>
        <v>1046.6666666666665</v>
      </c>
      <c r="D2320" s="14">
        <f>0.3*(2/3*10)</f>
        <v>1.9999999999999998</v>
      </c>
      <c r="E2320" s="14">
        <f>5421.1*(2/3*10)</f>
        <v>36140.666666666664</v>
      </c>
      <c r="F2320" s="14">
        <f>4503.8*(2/3*10)</f>
        <v>30025.333333333332</v>
      </c>
      <c r="G2320" s="14">
        <f>28.1*(2/3*10)</f>
        <v>187.33333333333331</v>
      </c>
      <c r="H2320" s="14">
        <f>11.4*(2/3*10)</f>
        <v>76</v>
      </c>
      <c r="I2320" s="14">
        <f>533.6*(2/3*10)</f>
        <v>3557.333333333333</v>
      </c>
      <c r="K2320">
        <v>2317</v>
      </c>
      <c r="L2320">
        <f t="shared" si="36"/>
        <v>5</v>
      </c>
    </row>
    <row r="2321" spans="1:12" ht="16.5" x14ac:dyDescent="0.2">
      <c r="A2321" s="4" t="s">
        <v>57</v>
      </c>
      <c r="B2321">
        <v>2009</v>
      </c>
      <c r="C2321" s="14">
        <f>221.7*(2/3*10)</f>
        <v>1477.9999999999998</v>
      </c>
      <c r="D2321" s="14">
        <f>0.1*(2/3*10)</f>
        <v>0.66666666666666663</v>
      </c>
      <c r="E2321" s="14">
        <f>1141.4*(2/3*10)</f>
        <v>7609.333333333333</v>
      </c>
      <c r="F2321" s="14">
        <f>21556.1*(2/3*10)</f>
        <v>143707.33333333331</v>
      </c>
      <c r="G2321" s="14">
        <f>23.3*(2/3*10)</f>
        <v>155.33333333333331</v>
      </c>
      <c r="H2321" s="14">
        <f>19.1*(2/3*10)</f>
        <v>127.33333333333333</v>
      </c>
      <c r="I2321" s="14">
        <f>1417.9*(2/3*10)</f>
        <v>9452.6666666666661</v>
      </c>
      <c r="K2321" s="15">
        <v>2318</v>
      </c>
      <c r="L2321">
        <f t="shared" si="36"/>
        <v>6</v>
      </c>
    </row>
    <row r="2322" spans="1:12" ht="16.5" x14ac:dyDescent="0.2">
      <c r="A2322" s="4" t="s">
        <v>57</v>
      </c>
      <c r="B2322">
        <v>2010</v>
      </c>
      <c r="C2322" s="14">
        <f>221.7*(2/3*10)</f>
        <v>1477.9999999999998</v>
      </c>
      <c r="D2322" s="14">
        <f>0.1*(2/3*10)</f>
        <v>0.66666666666666663</v>
      </c>
      <c r="E2322" s="14">
        <f>1141.3*(2/3*10)</f>
        <v>7608.6666666666661</v>
      </c>
      <c r="F2322" s="14">
        <f>21556.1*(2/3*10)</f>
        <v>143707.33333333331</v>
      </c>
      <c r="G2322" s="14">
        <f>23.3*(2/3*10)</f>
        <v>155.33333333333331</v>
      </c>
      <c r="H2322" s="14">
        <f>19.2*(2/3*10)</f>
        <v>127.99999999999999</v>
      </c>
      <c r="I2322" s="14">
        <f>1417.9*(2/3*10)</f>
        <v>9452.6666666666661</v>
      </c>
      <c r="K2322">
        <v>2319</v>
      </c>
      <c r="L2322">
        <f t="shared" si="36"/>
        <v>7</v>
      </c>
    </row>
    <row r="2323" spans="1:12" ht="16.5" x14ac:dyDescent="0.2">
      <c r="A2323" s="4" t="s">
        <v>57</v>
      </c>
      <c r="B2323">
        <v>2011</v>
      </c>
      <c r="C2323" s="14">
        <f>221.7*(2/3*10)</f>
        <v>1477.9999999999998</v>
      </c>
      <c r="D2323" s="14">
        <f>0.1*(2/3*10)</f>
        <v>0.66666666666666663</v>
      </c>
      <c r="E2323" s="14">
        <f>1141*(2/3*10)</f>
        <v>7606.6666666666661</v>
      </c>
      <c r="F2323" s="14">
        <f>21555.6*(2/3*10)</f>
        <v>143703.99999999997</v>
      </c>
      <c r="G2323" s="14">
        <f>23.6*(2/3*10)</f>
        <v>157.33333333333331</v>
      </c>
      <c r="H2323" s="14">
        <f>19.7*(2/3*10)</f>
        <v>131.33333333333331</v>
      </c>
      <c r="I2323" s="14">
        <f>1417.9*(2/3*10)</f>
        <v>9452.6666666666661</v>
      </c>
      <c r="K2323" s="15">
        <v>2320</v>
      </c>
      <c r="L2323">
        <f t="shared" si="36"/>
        <v>0</v>
      </c>
    </row>
    <row r="2324" spans="1:12" ht="16.5" x14ac:dyDescent="0.2">
      <c r="A2324" s="4" t="s">
        <v>57</v>
      </c>
      <c r="B2324">
        <v>2012</v>
      </c>
      <c r="C2324" s="14">
        <f>221.6*(2/3*10)</f>
        <v>1477.3333333333333</v>
      </c>
      <c r="D2324" s="14">
        <f>0.1*(2/3*10)</f>
        <v>0.66666666666666663</v>
      </c>
      <c r="E2324" s="14">
        <f>1141*(2/3*10)</f>
        <v>7606.6666666666661</v>
      </c>
      <c r="F2324" s="14">
        <f>21555.4*(2/3*10)</f>
        <v>143702.66666666666</v>
      </c>
      <c r="G2324" s="14">
        <f>23.8*(2/3*10)</f>
        <v>158.66666666666666</v>
      </c>
      <c r="H2324" s="14">
        <f>19.8*(2/3*10)</f>
        <v>132</v>
      </c>
      <c r="I2324" s="14">
        <f>1417.9*(2/3*10)</f>
        <v>9452.6666666666661</v>
      </c>
      <c r="K2324">
        <v>2321</v>
      </c>
      <c r="L2324">
        <f t="shared" si="36"/>
        <v>1</v>
      </c>
    </row>
    <row r="2325" spans="1:12" ht="16.5" x14ac:dyDescent="0.2">
      <c r="A2325" s="4" t="s">
        <v>57</v>
      </c>
      <c r="B2325">
        <v>2013</v>
      </c>
      <c r="C2325" s="14">
        <f>221.5*(2/3*10)</f>
        <v>1476.6666666666665</v>
      </c>
      <c r="D2325" s="14">
        <f>0.1*(2/3*10)</f>
        <v>0.66666666666666663</v>
      </c>
      <c r="E2325" s="14">
        <f>1141*(2/3*10)</f>
        <v>7606.6666666666661</v>
      </c>
      <c r="F2325" s="14">
        <f>21555*(2/3*10)</f>
        <v>143700</v>
      </c>
      <c r="G2325" s="14">
        <f>24*(2/3*10)</f>
        <v>160</v>
      </c>
      <c r="H2325" s="14">
        <f>20*(2/3*10)</f>
        <v>133.33333333333331</v>
      </c>
      <c r="I2325" s="14">
        <f>1417.9*(2/3*10)</f>
        <v>9452.6666666666661</v>
      </c>
      <c r="K2325">
        <v>2322</v>
      </c>
      <c r="L2325">
        <f t="shared" si="36"/>
        <v>2</v>
      </c>
    </row>
    <row r="2326" spans="1:12" ht="16.5" x14ac:dyDescent="0.2">
      <c r="A2326" s="4" t="s">
        <v>56</v>
      </c>
      <c r="B2326">
        <v>2009</v>
      </c>
      <c r="C2326" s="14">
        <f>8.1*(2/3*10)</f>
        <v>53.999999999999993</v>
      </c>
      <c r="D2326" s="14">
        <f>0*(2/3*10)</f>
        <v>0</v>
      </c>
      <c r="E2326" s="14">
        <f>628.1*(2/3*10)</f>
        <v>4187.333333333333</v>
      </c>
      <c r="F2326" s="14">
        <f>46343.1*(2/3*10)</f>
        <v>308953.99999999994</v>
      </c>
      <c r="G2326" s="14">
        <f>16.4*(2/3*10)</f>
        <v>109.33333333333334</v>
      </c>
      <c r="H2326" s="14">
        <f>24.2*(2/3*10)</f>
        <v>161.33333333333331</v>
      </c>
      <c r="I2326" s="14">
        <f>4142.8*(2/3*10)</f>
        <v>27618.666666666664</v>
      </c>
      <c r="K2326" s="15">
        <v>2323</v>
      </c>
      <c r="L2326">
        <f t="shared" si="36"/>
        <v>3</v>
      </c>
    </row>
    <row r="2327" spans="1:12" ht="16.5" x14ac:dyDescent="0.2">
      <c r="A2327" s="4" t="s">
        <v>56</v>
      </c>
      <c r="B2327">
        <v>2010</v>
      </c>
      <c r="C2327" s="14">
        <f>7.9*(2/3*10)</f>
        <v>52.666666666666664</v>
      </c>
      <c r="D2327" s="14">
        <f>0*(2/3*10)</f>
        <v>0</v>
      </c>
      <c r="E2327" s="14">
        <f>628.1*(2/3*10)</f>
        <v>4187.333333333333</v>
      </c>
      <c r="F2327" s="14">
        <f>46343.1*(2/3*10)</f>
        <v>308953.99999999994</v>
      </c>
      <c r="G2327" s="14">
        <f>16.4*(2/3*10)</f>
        <v>109.33333333333334</v>
      </c>
      <c r="H2327" s="14">
        <f>24.3*(2/3*10)</f>
        <v>162</v>
      </c>
      <c r="I2327" s="14">
        <f>4142.8*(2/3*10)</f>
        <v>27618.666666666664</v>
      </c>
      <c r="K2327">
        <v>2324</v>
      </c>
      <c r="L2327">
        <f t="shared" si="36"/>
        <v>4</v>
      </c>
    </row>
    <row r="2328" spans="1:12" ht="16.5" x14ac:dyDescent="0.2">
      <c r="A2328" s="4" t="s">
        <v>56</v>
      </c>
      <c r="B2328">
        <v>2011</v>
      </c>
      <c r="C2328" s="14">
        <f>7.9*(2/3*10)</f>
        <v>52.666666666666664</v>
      </c>
      <c r="D2328" s="14">
        <f>0*(2/3*10)</f>
        <v>0</v>
      </c>
      <c r="E2328" s="14">
        <f>628.1*(2/3*10)</f>
        <v>4187.333333333333</v>
      </c>
      <c r="F2328" s="14">
        <f>46343*(2/3*10)</f>
        <v>308953.33333333331</v>
      </c>
      <c r="G2328" s="14">
        <f>16.5*(2/3*10)</f>
        <v>109.99999999999999</v>
      </c>
      <c r="H2328" s="14">
        <f>24.4*(2/3*10)</f>
        <v>162.66666666666663</v>
      </c>
      <c r="I2328" s="14">
        <f>4142.8*(2/3*10)</f>
        <v>27618.666666666664</v>
      </c>
      <c r="K2328" s="15">
        <v>2325</v>
      </c>
      <c r="L2328">
        <f t="shared" si="36"/>
        <v>5</v>
      </c>
    </row>
    <row r="2329" spans="1:12" ht="16.5" x14ac:dyDescent="0.2">
      <c r="A2329" s="4" t="s">
        <v>56</v>
      </c>
      <c r="B2329">
        <v>2012</v>
      </c>
      <c r="C2329" s="14">
        <f>7.9*(2/3*10)</f>
        <v>52.666666666666664</v>
      </c>
      <c r="D2329" s="14">
        <f>0*(2/3*10)</f>
        <v>0</v>
      </c>
      <c r="E2329" s="14">
        <f>624.2*(2/3*10)</f>
        <v>4161.333333333333</v>
      </c>
      <c r="F2329" s="14">
        <f>46346.7*(2/3*10)</f>
        <v>308977.99999999994</v>
      </c>
      <c r="G2329" s="14">
        <f>16.6*(2/3*10)</f>
        <v>110.66666666666667</v>
      </c>
      <c r="H2329" s="14">
        <f>24.4*(2/3*10)</f>
        <v>162.66666666666663</v>
      </c>
      <c r="I2329" s="14">
        <f>4142.8*(2/3*10)</f>
        <v>27618.666666666664</v>
      </c>
      <c r="K2329">
        <v>2326</v>
      </c>
      <c r="L2329">
        <f t="shared" si="36"/>
        <v>6</v>
      </c>
    </row>
    <row r="2330" spans="1:12" ht="16.5" x14ac:dyDescent="0.2">
      <c r="A2330" s="4" t="s">
        <v>56</v>
      </c>
      <c r="B2330">
        <v>2013</v>
      </c>
      <c r="C2330" s="14">
        <f>7.9*(2/3*10)</f>
        <v>52.666666666666664</v>
      </c>
      <c r="D2330" s="14">
        <f>0*(2/3*10)</f>
        <v>0</v>
      </c>
      <c r="E2330" s="14">
        <f>624.2*(2/3*10)</f>
        <v>4161.333333333333</v>
      </c>
      <c r="F2330" s="14">
        <f>46346.5*(2/3*10)</f>
        <v>308976.66666666663</v>
      </c>
      <c r="G2330" s="14">
        <f>16.8*(2/3*10)</f>
        <v>112</v>
      </c>
      <c r="H2330" s="14">
        <f>24.5*(2/3*10)</f>
        <v>163.33333333333331</v>
      </c>
      <c r="I2330" s="14">
        <f>4142.7*(2/3*10)</f>
        <v>27617.999999999996</v>
      </c>
      <c r="K2330">
        <v>2327</v>
      </c>
      <c r="L2330">
        <f t="shared" si="36"/>
        <v>7</v>
      </c>
    </row>
    <row r="2331" spans="1:12" ht="16.5" x14ac:dyDescent="0.2">
      <c r="A2331" s="4" t="s">
        <v>56</v>
      </c>
      <c r="B2331">
        <v>2014</v>
      </c>
      <c r="C2331" s="14">
        <f>7.9*(2/3*10)</f>
        <v>52.666666666666664</v>
      </c>
      <c r="D2331" s="14">
        <f>0*(2/3*10)</f>
        <v>0</v>
      </c>
      <c r="E2331" s="14">
        <f>624.2*(2/3*10)</f>
        <v>4161.333333333333</v>
      </c>
      <c r="F2331" s="14">
        <f>46345.8*(2/3*10)</f>
        <v>308972</v>
      </c>
      <c r="G2331" s="14">
        <f>17.1*(2/3*10)</f>
        <v>114</v>
      </c>
      <c r="H2331" s="14">
        <f>24.9*(2/3*10)</f>
        <v>165.99999999999997</v>
      </c>
      <c r="I2331" s="14">
        <f>4142.7*(2/3*10)</f>
        <v>27617.999999999996</v>
      </c>
      <c r="K2331" s="15">
        <v>2328</v>
      </c>
      <c r="L2331">
        <f t="shared" si="36"/>
        <v>0</v>
      </c>
    </row>
    <row r="2332" spans="1:12" ht="16.5" x14ac:dyDescent="0.2">
      <c r="A2332" s="4" t="s">
        <v>56</v>
      </c>
      <c r="B2332">
        <v>2015</v>
      </c>
      <c r="C2332" s="14">
        <f>7.9*(2/3*10)</f>
        <v>52.666666666666664</v>
      </c>
      <c r="D2332" s="14">
        <f>0*(2/3*10)</f>
        <v>0</v>
      </c>
      <c r="E2332" s="14">
        <f>624.2*(2/3*10)</f>
        <v>4161.333333333333</v>
      </c>
      <c r="F2332" s="14">
        <f>46345.1*(2/3*10)</f>
        <v>308967.33333333331</v>
      </c>
      <c r="G2332" s="14">
        <f>17.4*(2/3*10)</f>
        <v>115.99999999999999</v>
      </c>
      <c r="H2332" s="14">
        <f>25.2*(2/3*10)</f>
        <v>167.99999999999997</v>
      </c>
      <c r="I2332" s="14">
        <f>4142.7*(2/3*10)</f>
        <v>27617.999999999996</v>
      </c>
      <c r="K2332">
        <v>2329</v>
      </c>
      <c r="L2332">
        <f t="shared" si="36"/>
        <v>1</v>
      </c>
    </row>
    <row r="2333" spans="1:12" ht="16.5" x14ac:dyDescent="0.2">
      <c r="A2333" s="4" t="s">
        <v>56</v>
      </c>
      <c r="B2333">
        <v>2016</v>
      </c>
      <c r="C2333" s="14">
        <f>7.8*(2/3*10)</f>
        <v>51.999999999999993</v>
      </c>
      <c r="D2333" s="14">
        <f>0*(2/3*10)</f>
        <v>0</v>
      </c>
      <c r="E2333" s="14">
        <f>624.2*(2/3*10)</f>
        <v>4161.333333333333</v>
      </c>
      <c r="F2333" s="14">
        <f>46344*(2/3*10)</f>
        <v>308960</v>
      </c>
      <c r="G2333" s="14">
        <f>17.8*(2/3*10)</f>
        <v>118.66666666666666</v>
      </c>
      <c r="H2333" s="14">
        <f>25.8*(2/3*10)</f>
        <v>172</v>
      </c>
      <c r="I2333" s="14">
        <f>4142.7*(2/3*10)</f>
        <v>27617.999999999996</v>
      </c>
      <c r="K2333" s="15">
        <v>2330</v>
      </c>
      <c r="L2333">
        <f t="shared" si="36"/>
        <v>2</v>
      </c>
    </row>
    <row r="2334" spans="1:12" ht="16.5" x14ac:dyDescent="0.2">
      <c r="A2334" s="4" t="s">
        <v>55</v>
      </c>
      <c r="B2334">
        <v>2009</v>
      </c>
      <c r="C2334" s="14">
        <f>5.3*(2/3*10)</f>
        <v>35.333333333333329</v>
      </c>
      <c r="D2334" s="14">
        <f>0.1*(2/3*10)</f>
        <v>0.66666666666666663</v>
      </c>
      <c r="E2334" s="14">
        <f>516.3*(2/3*10)</f>
        <v>3441.9999999999995</v>
      </c>
      <c r="F2334" s="14">
        <f>39031.8*(2/3*10)</f>
        <v>260212</v>
      </c>
      <c r="G2334" s="14">
        <f>8.4*(2/3*10)</f>
        <v>56</v>
      </c>
      <c r="H2334" s="14">
        <f>24.1*(2/3*10)</f>
        <v>160.66666666666666</v>
      </c>
      <c r="I2334" s="14">
        <f>2669*(2/3*10)</f>
        <v>17793.333333333332</v>
      </c>
      <c r="K2334">
        <v>2331</v>
      </c>
      <c r="L2334">
        <f t="shared" si="36"/>
        <v>3</v>
      </c>
    </row>
    <row r="2335" spans="1:12" ht="16.5" x14ac:dyDescent="0.2">
      <c r="A2335" s="4" t="s">
        <v>55</v>
      </c>
      <c r="B2335">
        <v>2010</v>
      </c>
      <c r="C2335" s="14">
        <f>5.3*(2/3*10)</f>
        <v>35.333333333333329</v>
      </c>
      <c r="D2335" s="14">
        <f>0.1*(2/3*10)</f>
        <v>0.66666666666666663</v>
      </c>
      <c r="E2335" s="14">
        <f>516.3*(2/3*10)</f>
        <v>3441.9999999999995</v>
      </c>
      <c r="F2335" s="14">
        <f>39031.8*(2/3*10)</f>
        <v>260212</v>
      </c>
      <c r="G2335" s="14">
        <f>8.5*(2/3*10)</f>
        <v>56.666666666666664</v>
      </c>
      <c r="H2335" s="14">
        <f>24.2*(2/3*10)</f>
        <v>161.33333333333331</v>
      </c>
      <c r="I2335" s="14">
        <f>2669*(2/3*10)</f>
        <v>17793.333333333332</v>
      </c>
      <c r="K2335">
        <v>2332</v>
      </c>
      <c r="L2335">
        <f t="shared" si="36"/>
        <v>4</v>
      </c>
    </row>
    <row r="2336" spans="1:12" ht="16.5" x14ac:dyDescent="0.2">
      <c r="A2336" s="4" t="s">
        <v>55</v>
      </c>
      <c r="B2336">
        <v>2011</v>
      </c>
      <c r="C2336" s="14">
        <f>5.3*(2/3*10)</f>
        <v>35.333333333333329</v>
      </c>
      <c r="D2336" s="14">
        <f>0.1*(2/3*10)</f>
        <v>0.66666666666666663</v>
      </c>
      <c r="E2336" s="14">
        <f>516.3*(2/3*10)</f>
        <v>3441.9999999999995</v>
      </c>
      <c r="F2336" s="14">
        <f>39031.5*(2/3*10)</f>
        <v>260209.99999999997</v>
      </c>
      <c r="G2336" s="14">
        <f>8.6*(2/3*10)</f>
        <v>57.333333333333329</v>
      </c>
      <c r="H2336" s="14">
        <f>24.3*(2/3*10)</f>
        <v>162</v>
      </c>
      <c r="I2336" s="14">
        <f>2668.9*(2/3*10)</f>
        <v>17792.666666666664</v>
      </c>
      <c r="K2336" s="15">
        <v>2333</v>
      </c>
      <c r="L2336">
        <f t="shared" si="36"/>
        <v>5</v>
      </c>
    </row>
    <row r="2337" spans="1:12" ht="16.5" x14ac:dyDescent="0.2">
      <c r="A2337" s="4" t="s">
        <v>55</v>
      </c>
      <c r="B2337">
        <v>2012</v>
      </c>
      <c r="C2337" s="14">
        <f>5.3*(2/3*10)</f>
        <v>35.333333333333329</v>
      </c>
      <c r="D2337" s="14">
        <f>0.1*(2/3*10)</f>
        <v>0.66666666666666663</v>
      </c>
      <c r="E2337" s="14">
        <f>516.3*(2/3*10)</f>
        <v>3441.9999999999995</v>
      </c>
      <c r="F2337" s="14">
        <f>39031.4*(2/3*10)</f>
        <v>260209.33333333331</v>
      </c>
      <c r="G2337" s="14">
        <f>8.8*(2/3*10)</f>
        <v>58.666666666666664</v>
      </c>
      <c r="H2337" s="14">
        <f>24.3*(2/3*10)</f>
        <v>162</v>
      </c>
      <c r="I2337" s="14">
        <f>2668.9*(2/3*10)</f>
        <v>17792.666666666664</v>
      </c>
      <c r="K2337">
        <v>2334</v>
      </c>
      <c r="L2337">
        <f t="shared" si="36"/>
        <v>6</v>
      </c>
    </row>
    <row r="2338" spans="1:12" ht="16.5" x14ac:dyDescent="0.2">
      <c r="A2338" s="4" t="s">
        <v>55</v>
      </c>
      <c r="B2338">
        <v>2013</v>
      </c>
      <c r="C2338" s="14">
        <f>5.3*(2/3*10)</f>
        <v>35.333333333333329</v>
      </c>
      <c r="D2338" s="14">
        <f>0.1*(2/3*10)</f>
        <v>0.66666666666666663</v>
      </c>
      <c r="E2338" s="14">
        <f>516.3*(2/3*10)</f>
        <v>3441.9999999999995</v>
      </c>
      <c r="F2338" s="14">
        <f>39030.9*(2/3*10)</f>
        <v>260206</v>
      </c>
      <c r="G2338" s="14">
        <f>8.9*(2/3*10)</f>
        <v>59.333333333333321</v>
      </c>
      <c r="H2338" s="14">
        <f>24.7*(2/3*10)</f>
        <v>164.66666666666666</v>
      </c>
      <c r="I2338" s="14">
        <f>2668.9*(2/3*10)</f>
        <v>17792.666666666664</v>
      </c>
      <c r="K2338" s="15">
        <v>2335</v>
      </c>
      <c r="L2338">
        <f t="shared" si="36"/>
        <v>7</v>
      </c>
    </row>
    <row r="2339" spans="1:12" ht="16.5" x14ac:dyDescent="0.2">
      <c r="A2339" s="4" t="s">
        <v>55</v>
      </c>
      <c r="B2339">
        <v>2014</v>
      </c>
      <c r="C2339" s="14">
        <f>5.3*(2/3*10)</f>
        <v>35.333333333333329</v>
      </c>
      <c r="D2339" s="14">
        <f>0.1*(2/3*10)</f>
        <v>0.66666666666666663</v>
      </c>
      <c r="E2339" s="14">
        <f>516.3*(2/3*10)</f>
        <v>3441.9999999999995</v>
      </c>
      <c r="F2339" s="14">
        <f>39030.8*(2/3*10)</f>
        <v>260205.33333333334</v>
      </c>
      <c r="G2339" s="14">
        <f>9*(2/3*10)</f>
        <v>59.999999999999993</v>
      </c>
      <c r="H2339" s="14">
        <f>24.7*(2/3*10)</f>
        <v>164.66666666666666</v>
      </c>
      <c r="I2339" s="14">
        <f>2668.9*(2/3*10)</f>
        <v>17792.666666666664</v>
      </c>
      <c r="K2339">
        <v>2336</v>
      </c>
      <c r="L2339">
        <f t="shared" si="36"/>
        <v>0</v>
      </c>
    </row>
    <row r="2340" spans="1:12" ht="16.5" x14ac:dyDescent="0.2">
      <c r="A2340" s="4" t="s">
        <v>55</v>
      </c>
      <c r="B2340">
        <v>2015</v>
      </c>
      <c r="C2340" s="14">
        <f>5.3*(2/3*10)</f>
        <v>35.333333333333329</v>
      </c>
      <c r="D2340" s="14">
        <f>0.1*(2/3*10)</f>
        <v>0.66666666666666663</v>
      </c>
      <c r="E2340" s="14">
        <f>516.2*(2/3*10)</f>
        <v>3441.3333333333335</v>
      </c>
      <c r="F2340" s="14">
        <f>39030*(2/3*10)</f>
        <v>260199.99999999997</v>
      </c>
      <c r="G2340" s="14">
        <f>9.5*(2/3*10)</f>
        <v>63.333333333333329</v>
      </c>
      <c r="H2340" s="14">
        <f>24.9*(2/3*10)</f>
        <v>165.99999999999997</v>
      </c>
      <c r="I2340" s="14">
        <f>2668.9*(2/3*10)</f>
        <v>17792.666666666664</v>
      </c>
      <c r="K2340">
        <v>2337</v>
      </c>
      <c r="L2340">
        <f t="shared" si="36"/>
        <v>1</v>
      </c>
    </row>
    <row r="2341" spans="1:12" ht="16.5" x14ac:dyDescent="0.2">
      <c r="A2341" s="4" t="s">
        <v>55</v>
      </c>
      <c r="B2341">
        <v>2016</v>
      </c>
      <c r="C2341" s="14">
        <f>5.3*(2/3*10)</f>
        <v>35.333333333333329</v>
      </c>
      <c r="D2341" s="14">
        <f>0.1*(2/3*10)</f>
        <v>0.66666666666666663</v>
      </c>
      <c r="E2341" s="14">
        <f>516.2*(2/3*10)</f>
        <v>3441.3333333333335</v>
      </c>
      <c r="F2341" s="14">
        <f>39029.3*(2/3*10)</f>
        <v>260195.33333333334</v>
      </c>
      <c r="G2341" s="14">
        <f>9.7*(2/3*10)</f>
        <v>64.666666666666657</v>
      </c>
      <c r="H2341" s="14">
        <f>25*(2/3*10)</f>
        <v>166.66666666666666</v>
      </c>
      <c r="I2341" s="14">
        <f>2669.3*(2/3*10)</f>
        <v>17795.333333333332</v>
      </c>
      <c r="K2341" s="15">
        <v>2338</v>
      </c>
      <c r="L2341">
        <f t="shared" si="36"/>
        <v>2</v>
      </c>
    </row>
    <row r="2342" spans="1:12" ht="16.5" x14ac:dyDescent="0.2">
      <c r="A2342" s="4" t="s">
        <v>54</v>
      </c>
      <c r="B2342">
        <v>2009</v>
      </c>
      <c r="C2342" s="14">
        <f>80.8*(2/3*10)</f>
        <v>538.66666666666663</v>
      </c>
      <c r="D2342" s="14">
        <f>1.6*(2/3*10)</f>
        <v>10.666666666666666</v>
      </c>
      <c r="E2342" s="14">
        <f>9691.8*(2/3*10)</f>
        <v>64611.999999999993</v>
      </c>
      <c r="F2342" s="14">
        <f>3211.7*(2/3*10)</f>
        <v>21411.333333333328</v>
      </c>
      <c r="G2342" s="14">
        <f>17.3*(2/3*10)</f>
        <v>115.33333333333333</v>
      </c>
      <c r="H2342" s="14">
        <f>7.1*(2/3*10)</f>
        <v>47.333333333333329</v>
      </c>
      <c r="I2342" s="14">
        <f>952.5*(2/3*10)</f>
        <v>6349.9999999999991</v>
      </c>
      <c r="K2342">
        <v>2339</v>
      </c>
      <c r="L2342">
        <f t="shared" si="36"/>
        <v>3</v>
      </c>
    </row>
    <row r="2343" spans="1:12" ht="16.5" x14ac:dyDescent="0.2">
      <c r="A2343" s="4" t="s">
        <v>54</v>
      </c>
      <c r="B2343">
        <v>2010</v>
      </c>
      <c r="C2343" s="14">
        <f>80.7*(2/3*10)</f>
        <v>538</v>
      </c>
      <c r="D2343" s="14">
        <f>1.6*(2/3*10)</f>
        <v>10.666666666666666</v>
      </c>
      <c r="E2343" s="14">
        <f>9691.7*(2/3*10)</f>
        <v>64611.333333333336</v>
      </c>
      <c r="F2343" s="14">
        <f>3211.6*(2/3*10)</f>
        <v>21410.666666666664</v>
      </c>
      <c r="G2343" s="14">
        <f>17.4*(2/3*10)</f>
        <v>116</v>
      </c>
      <c r="H2343" s="14">
        <f>7.1*(2/3*10)</f>
        <v>47.333333333333329</v>
      </c>
      <c r="I2343" s="14">
        <f>952.5*(2/3*10)</f>
        <v>6349.9999999999991</v>
      </c>
      <c r="K2343" s="15">
        <v>2340</v>
      </c>
      <c r="L2343">
        <f t="shared" si="36"/>
        <v>4</v>
      </c>
    </row>
    <row r="2344" spans="1:12" ht="16.5" x14ac:dyDescent="0.2">
      <c r="A2344" s="4" t="s">
        <v>54</v>
      </c>
      <c r="B2344">
        <v>2011</v>
      </c>
      <c r="C2344" s="14">
        <f>80.7*(2/3*10)</f>
        <v>538</v>
      </c>
      <c r="D2344" s="14">
        <f>1.6*(2/3*10)</f>
        <v>10.666666666666666</v>
      </c>
      <c r="E2344" s="14">
        <f>9691.6*(2/3*10)</f>
        <v>64610.666666666664</v>
      </c>
      <c r="F2344" s="14">
        <f>3211.5*(2/3*10)</f>
        <v>21409.999999999996</v>
      </c>
      <c r="G2344" s="14">
        <f>17.5*(2/3*10)</f>
        <v>116.66666666666666</v>
      </c>
      <c r="H2344" s="14">
        <f>7.2*(2/3*10)</f>
        <v>48</v>
      </c>
      <c r="I2344" s="14">
        <f>952.5*(2/3*10)</f>
        <v>6349.9999999999991</v>
      </c>
      <c r="K2344">
        <v>2341</v>
      </c>
      <c r="L2344">
        <f t="shared" si="36"/>
        <v>5</v>
      </c>
    </row>
    <row r="2345" spans="1:12" ht="16.5" x14ac:dyDescent="0.2">
      <c r="A2345" s="4" t="s">
        <v>54</v>
      </c>
      <c r="B2345">
        <v>2012</v>
      </c>
      <c r="C2345" s="14">
        <f>80.7*(2/3*10)</f>
        <v>538</v>
      </c>
      <c r="D2345" s="14">
        <f>1.6*(2/3*10)</f>
        <v>10.666666666666666</v>
      </c>
      <c r="E2345" s="14">
        <f>9691.5*(2/3*10)</f>
        <v>64609.999999999993</v>
      </c>
      <c r="F2345" s="14">
        <f>3211.5*(2/3*10)</f>
        <v>21409.999999999996</v>
      </c>
      <c r="G2345" s="14">
        <f>17.6*(2/3*10)</f>
        <v>117.33333333333333</v>
      </c>
      <c r="H2345" s="14">
        <f>7.2*(2/3*10)</f>
        <v>48</v>
      </c>
      <c r="I2345" s="14">
        <f>952.5*(2/3*10)</f>
        <v>6349.9999999999991</v>
      </c>
      <c r="K2345">
        <v>2342</v>
      </c>
      <c r="L2345">
        <f t="shared" si="36"/>
        <v>6</v>
      </c>
    </row>
    <row r="2346" spans="1:12" ht="16.5" x14ac:dyDescent="0.2">
      <c r="A2346" s="4" t="s">
        <v>54</v>
      </c>
      <c r="B2346">
        <v>2013</v>
      </c>
      <c r="C2346" s="14">
        <f>80.7*(2/3*10)</f>
        <v>538</v>
      </c>
      <c r="D2346" s="14">
        <f>1.6*(2/3*10)</f>
        <v>10.666666666666666</v>
      </c>
      <c r="E2346" s="14">
        <f>9691.3*(2/3*10)</f>
        <v>64608.666666666657</v>
      </c>
      <c r="F2346" s="14">
        <f>3211.3*(2/3*10)</f>
        <v>21408.666666666664</v>
      </c>
      <c r="G2346" s="14">
        <f>17.7*(2/3*10)</f>
        <v>118.00000000000001</v>
      </c>
      <c r="H2346" s="14">
        <f>7.4*(2/3*10)</f>
        <v>49.333333333333329</v>
      </c>
      <c r="I2346" s="14">
        <f>952.5*(2/3*10)</f>
        <v>6349.9999999999991</v>
      </c>
      <c r="K2346" s="15">
        <v>2343</v>
      </c>
      <c r="L2346">
        <f t="shared" si="36"/>
        <v>7</v>
      </c>
    </row>
    <row r="2347" spans="1:12" ht="16.5" x14ac:dyDescent="0.2">
      <c r="A2347" s="4" t="s">
        <v>54</v>
      </c>
      <c r="B2347">
        <v>2014</v>
      </c>
      <c r="C2347" s="14">
        <f>80.7*(2/3*10)</f>
        <v>538</v>
      </c>
      <c r="D2347" s="14">
        <f>1.6*(2/3*10)</f>
        <v>10.666666666666666</v>
      </c>
      <c r="E2347" s="14">
        <f>9690.6*(2/3*10)</f>
        <v>64604</v>
      </c>
      <c r="F2347" s="14">
        <f>3210.8*(2/3*10)</f>
        <v>21405.333333333332</v>
      </c>
      <c r="G2347" s="14">
        <f>18*(2/3*10)</f>
        <v>119.99999999999999</v>
      </c>
      <c r="H2347" s="14">
        <f>8.6*(2/3*10)</f>
        <v>57.333333333333329</v>
      </c>
      <c r="I2347" s="14">
        <f>952.2*(2/3*10)</f>
        <v>6348</v>
      </c>
      <c r="K2347">
        <v>2344</v>
      </c>
      <c r="L2347">
        <f t="shared" si="36"/>
        <v>0</v>
      </c>
    </row>
    <row r="2348" spans="1:12" ht="16.5" x14ac:dyDescent="0.2">
      <c r="A2348" s="4" t="s">
        <v>53</v>
      </c>
      <c r="B2348">
        <v>2009</v>
      </c>
      <c r="C2348" s="14">
        <f>453.2*(2/3*10)</f>
        <v>3021.333333333333</v>
      </c>
      <c r="D2348" s="14">
        <f>48.3*(2/3*10)</f>
        <v>321.99999999999994</v>
      </c>
      <c r="E2348" s="14">
        <f>724.6*(2/3*10)</f>
        <v>4830.6666666666661</v>
      </c>
      <c r="F2348" s="14">
        <f>35.5*(2/3*10)</f>
        <v>236.66666666666666</v>
      </c>
      <c r="G2348" s="14">
        <f>175.7*(2/3*10)</f>
        <v>1171.3333333333333</v>
      </c>
      <c r="H2348" s="14">
        <f>29.8*(2/3*10)</f>
        <v>198.66666666666666</v>
      </c>
      <c r="I2348" s="14">
        <f>32.1*(2/3*10)</f>
        <v>214</v>
      </c>
      <c r="K2348" s="15">
        <v>2345</v>
      </c>
      <c r="L2348">
        <f t="shared" si="36"/>
        <v>1</v>
      </c>
    </row>
    <row r="2349" spans="1:12" ht="16.5" x14ac:dyDescent="0.2">
      <c r="A2349" s="4" t="s">
        <v>53</v>
      </c>
      <c r="B2349">
        <v>2010</v>
      </c>
      <c r="C2349" s="14">
        <f>448.5*(2/3*10)</f>
        <v>2989.9999999999995</v>
      </c>
      <c r="D2349" s="14">
        <f>47.4*(2/3*10)</f>
        <v>315.99999999999994</v>
      </c>
      <c r="E2349" s="14">
        <f>724.1*(2/3*10)</f>
        <v>4827.333333333333</v>
      </c>
      <c r="F2349" s="14">
        <f>35.5*(2/3*10)</f>
        <v>236.66666666666666</v>
      </c>
      <c r="G2349" s="14">
        <f>180.6*(2/3*10)</f>
        <v>1203.9999999999998</v>
      </c>
      <c r="H2349" s="14">
        <f>31.2*(2/3*10)</f>
        <v>207.99999999999997</v>
      </c>
      <c r="I2349" s="14">
        <f>32*(2/3*10)</f>
        <v>213.33333333333331</v>
      </c>
      <c r="K2349">
        <v>2346</v>
      </c>
      <c r="L2349">
        <f t="shared" si="36"/>
        <v>2</v>
      </c>
    </row>
    <row r="2350" spans="1:12" ht="16.5" x14ac:dyDescent="0.2">
      <c r="A2350" s="4" t="s">
        <v>53</v>
      </c>
      <c r="B2350">
        <v>2011</v>
      </c>
      <c r="C2350" s="14">
        <f>444.8*(2/3*10)</f>
        <v>2965.333333333333</v>
      </c>
      <c r="D2350" s="14">
        <f>46.2*(2/3*10)</f>
        <v>308</v>
      </c>
      <c r="E2350" s="14">
        <f>722.4*(2/3*10)</f>
        <v>4815.9999999999991</v>
      </c>
      <c r="F2350" s="14">
        <f>35.6*(2/3*10)</f>
        <v>237.33333333333331</v>
      </c>
      <c r="G2350" s="14">
        <f>186.3*(2/3*10)</f>
        <v>1241.9999999999998</v>
      </c>
      <c r="H2350" s="14">
        <f>32.3*(2/3*10)</f>
        <v>215.33333333333329</v>
      </c>
      <c r="I2350" s="14">
        <f>31.4*(2/3*10)</f>
        <v>209.33333333333331</v>
      </c>
      <c r="K2350">
        <v>2347</v>
      </c>
      <c r="L2350">
        <f t="shared" si="36"/>
        <v>3</v>
      </c>
    </row>
    <row r="2351" spans="1:12" ht="16.5" x14ac:dyDescent="0.2">
      <c r="A2351" s="4" t="s">
        <v>53</v>
      </c>
      <c r="B2351">
        <v>2012</v>
      </c>
      <c r="C2351" s="14">
        <f>438.6*(2/3*10)</f>
        <v>2924</v>
      </c>
      <c r="D2351" s="14">
        <f>44.6*(2/3*10)</f>
        <v>297.33333333333331</v>
      </c>
      <c r="E2351" s="14">
        <f>721.7*(2/3*10)</f>
        <v>4811.333333333333</v>
      </c>
      <c r="F2351" s="14">
        <f>35.6*(2/3*10)</f>
        <v>237.33333333333331</v>
      </c>
      <c r="G2351" s="14">
        <f>194*(2/3*10)</f>
        <v>1293.3333333333333</v>
      </c>
      <c r="H2351" s="14">
        <f>33.1*(2/3*10)</f>
        <v>220.66666666666666</v>
      </c>
      <c r="I2351" s="14">
        <f>31.1*(2/3*10)</f>
        <v>207.33333333333331</v>
      </c>
      <c r="K2351" s="15">
        <v>2348</v>
      </c>
      <c r="L2351">
        <f t="shared" si="36"/>
        <v>4</v>
      </c>
    </row>
    <row r="2352" spans="1:12" ht="16.5" x14ac:dyDescent="0.2">
      <c r="A2352" s="4" t="s">
        <v>53</v>
      </c>
      <c r="B2352">
        <v>2013</v>
      </c>
      <c r="C2352" s="14">
        <f>434.4*(2/3*10)</f>
        <v>2895.9999999999995</v>
      </c>
      <c r="D2352" s="14">
        <f>44.2*(2/3*10)</f>
        <v>294.66666666666669</v>
      </c>
      <c r="E2352" s="14">
        <f>721.3*(2/3*10)</f>
        <v>4808.6666666666661</v>
      </c>
      <c r="F2352" s="14">
        <f>35.3*(2/3*10)</f>
        <v>235.33333333333329</v>
      </c>
      <c r="G2352" s="14">
        <f>198.4*(2/3*10)</f>
        <v>1322.6666666666663</v>
      </c>
      <c r="H2352" s="14">
        <f>33.7*(2/3*10)</f>
        <v>224.66666666666666</v>
      </c>
      <c r="I2352" s="14">
        <f>31*(2/3*10)</f>
        <v>206.66666666666666</v>
      </c>
      <c r="K2352">
        <v>2349</v>
      </c>
      <c r="L2352">
        <f t="shared" si="36"/>
        <v>5</v>
      </c>
    </row>
    <row r="2353" spans="1:12" ht="16.5" x14ac:dyDescent="0.2">
      <c r="A2353" s="4" t="s">
        <v>53</v>
      </c>
      <c r="B2353">
        <v>2014</v>
      </c>
      <c r="C2353" s="14">
        <f>427.5*(2/3*10)</f>
        <v>2849.9999999999995</v>
      </c>
      <c r="D2353" s="14">
        <f>42.7*(2/3*10)</f>
        <v>284.66666666666669</v>
      </c>
      <c r="E2353" s="14">
        <f>721.1*(2/3*10)</f>
        <v>4807.333333333333</v>
      </c>
      <c r="F2353" s="14">
        <f>35.1*(2/3*10)</f>
        <v>234</v>
      </c>
      <c r="G2353" s="14">
        <f>205.1*(2/3*10)</f>
        <v>1367.3333333333333</v>
      </c>
      <c r="H2353" s="14">
        <f>35.2*(2/3*10)</f>
        <v>234.66666666666666</v>
      </c>
      <c r="I2353" s="14">
        <f>30.8*(2/3*10)</f>
        <v>205.33333333333331</v>
      </c>
      <c r="K2353" s="15">
        <v>2350</v>
      </c>
      <c r="L2353">
        <f t="shared" si="36"/>
        <v>6</v>
      </c>
    </row>
    <row r="2354" spans="1:12" ht="16.5" x14ac:dyDescent="0.2">
      <c r="A2354" s="4" t="s">
        <v>53</v>
      </c>
      <c r="B2354">
        <v>2015</v>
      </c>
      <c r="C2354" s="14">
        <f>423.8*(2/3*10)</f>
        <v>2825.333333333333</v>
      </c>
      <c r="D2354" s="14">
        <f>42.3*(2/3*10)</f>
        <v>281.99999999999994</v>
      </c>
      <c r="E2354" s="14">
        <f>721.1*(2/3*10)</f>
        <v>4807.333333333333</v>
      </c>
      <c r="F2354" s="14">
        <f>35.1*(2/3*10)</f>
        <v>234</v>
      </c>
      <c r="G2354" s="14">
        <f>209*(2/3*10)</f>
        <v>1393.3333333333333</v>
      </c>
      <c r="H2354" s="14">
        <f>35.4*(2/3*10)</f>
        <v>235.99999999999997</v>
      </c>
      <c r="I2354" s="14">
        <f>30.8*(2/3*10)</f>
        <v>205.33333333333331</v>
      </c>
      <c r="K2354">
        <v>2351</v>
      </c>
      <c r="L2354">
        <f t="shared" si="36"/>
        <v>7</v>
      </c>
    </row>
    <row r="2355" spans="1:12" ht="16.5" x14ac:dyDescent="0.2">
      <c r="A2355" s="4" t="s">
        <v>53</v>
      </c>
      <c r="B2355">
        <v>2016</v>
      </c>
      <c r="C2355" s="14">
        <f>419.9*(2/3*10)</f>
        <v>2799.333333333333</v>
      </c>
      <c r="D2355" s="14">
        <f>41.8*(2/3*10)</f>
        <v>278.66666666666663</v>
      </c>
      <c r="E2355" s="14">
        <f>720.9*(2/3*10)</f>
        <v>4805.9999999999991</v>
      </c>
      <c r="F2355" s="14">
        <f>35.1*(2/3*10)</f>
        <v>234</v>
      </c>
      <c r="G2355" s="14">
        <f>213.1*(2/3*10)</f>
        <v>1420.6666666666663</v>
      </c>
      <c r="H2355" s="14">
        <f>35.7*(2/3*10)</f>
        <v>238</v>
      </c>
      <c r="I2355" s="14">
        <f>30.8*(2/3*10)</f>
        <v>205.33333333333331</v>
      </c>
      <c r="K2355">
        <v>2352</v>
      </c>
      <c r="L2355">
        <f t="shared" si="36"/>
        <v>0</v>
      </c>
    </row>
    <row r="2356" spans="1:12" ht="16.5" x14ac:dyDescent="0.2">
      <c r="A2356" s="4" t="s">
        <v>52</v>
      </c>
      <c r="B2356">
        <v>2009</v>
      </c>
      <c r="C2356" s="14">
        <f>148.3*(2/3*10)</f>
        <v>988.66666666666663</v>
      </c>
      <c r="D2356" s="14">
        <f>30.2*(2/3*10)</f>
        <v>201.33333333333331</v>
      </c>
      <c r="E2356" s="14">
        <f>304.6*(2/3*10)</f>
        <v>2030.6666666666667</v>
      </c>
      <c r="F2356" s="14">
        <f>52.9*(2/3*10)</f>
        <v>352.66666666666663</v>
      </c>
      <c r="G2356" s="14">
        <f>25.1*(2/3*10)</f>
        <v>167.33333333333331</v>
      </c>
      <c r="H2356" s="14">
        <f>8.4*(2/3*10)</f>
        <v>56</v>
      </c>
      <c r="I2356" s="14">
        <f>3.9*(2/3*10)</f>
        <v>25.999999999999996</v>
      </c>
      <c r="K2356" s="15">
        <v>2353</v>
      </c>
      <c r="L2356">
        <f t="shared" si="36"/>
        <v>1</v>
      </c>
    </row>
    <row r="2357" spans="1:12" ht="16.5" x14ac:dyDescent="0.2">
      <c r="A2357" s="4" t="s">
        <v>52</v>
      </c>
      <c r="B2357">
        <v>2010</v>
      </c>
      <c r="C2357" s="14">
        <f>148.1*(2/3*10)</f>
        <v>987.33333333333326</v>
      </c>
      <c r="D2357" s="14">
        <f>29.9*(2/3*10)</f>
        <v>199.33333333333331</v>
      </c>
      <c r="E2357" s="14">
        <f>304.3*(2/3*10)</f>
        <v>2028.6666666666665</v>
      </c>
      <c r="F2357" s="14">
        <f>52.7*(2/3*10)</f>
        <v>351.33333333333331</v>
      </c>
      <c r="G2357" s="14">
        <f>25.7*(2/3*10)</f>
        <v>171.33333333333334</v>
      </c>
      <c r="H2357" s="14">
        <f>8.5*(2/3*10)</f>
        <v>56.666666666666664</v>
      </c>
      <c r="I2357" s="14">
        <f>4.1*(2/3*10)</f>
        <v>27.333333333333329</v>
      </c>
      <c r="K2357">
        <v>2354</v>
      </c>
      <c r="L2357">
        <f t="shared" si="36"/>
        <v>2</v>
      </c>
    </row>
    <row r="2358" spans="1:12" ht="16.5" x14ac:dyDescent="0.2">
      <c r="A2358" s="4" t="s">
        <v>52</v>
      </c>
      <c r="B2358">
        <v>2011</v>
      </c>
      <c r="C2358" s="14">
        <f>147.7*(2/3*10)</f>
        <v>984.66666666666652</v>
      </c>
      <c r="D2358" s="14">
        <f>30*(2/3*10)</f>
        <v>199.99999999999997</v>
      </c>
      <c r="E2358" s="14">
        <f>304.2*(2/3*10)</f>
        <v>2027.9999999999998</v>
      </c>
      <c r="F2358" s="14">
        <f>52.8*(2/3*10)</f>
        <v>351.99999999999994</v>
      </c>
      <c r="G2358" s="14">
        <f>25.9*(2/3*10)</f>
        <v>172.66666666666663</v>
      </c>
      <c r="H2358" s="14">
        <f>8.5*(2/3*10)</f>
        <v>56.666666666666664</v>
      </c>
      <c r="I2358" s="14">
        <f>4.3*(2/3*10)</f>
        <v>28.666666666666664</v>
      </c>
      <c r="K2358" s="15">
        <v>2355</v>
      </c>
      <c r="L2358">
        <f t="shared" si="36"/>
        <v>3</v>
      </c>
    </row>
    <row r="2359" spans="1:12" ht="16.5" x14ac:dyDescent="0.2">
      <c r="A2359" s="4" t="s">
        <v>52</v>
      </c>
      <c r="B2359">
        <v>2012</v>
      </c>
      <c r="C2359" s="14">
        <f>146.9*(2/3*10)</f>
        <v>979.33333333333326</v>
      </c>
      <c r="D2359" s="14">
        <f>30*(2/3*10)</f>
        <v>199.99999999999997</v>
      </c>
      <c r="E2359" s="14">
        <f>303.9*(2/3*10)</f>
        <v>2025.9999999999998</v>
      </c>
      <c r="F2359" s="14">
        <f>52.8*(2/3*10)</f>
        <v>351.99999999999994</v>
      </c>
      <c r="G2359" s="14">
        <f>26.6*(2/3*10)</f>
        <v>177.33333333333331</v>
      </c>
      <c r="H2359" s="14">
        <f>8.8*(2/3*10)</f>
        <v>58.666666666666664</v>
      </c>
      <c r="I2359" s="14">
        <f>4.3*(2/3*10)</f>
        <v>28.666666666666664</v>
      </c>
      <c r="K2359">
        <v>2356</v>
      </c>
      <c r="L2359">
        <f t="shared" si="36"/>
        <v>4</v>
      </c>
    </row>
    <row r="2360" spans="1:12" ht="16.5" x14ac:dyDescent="0.2">
      <c r="A2360" s="4" t="s">
        <v>52</v>
      </c>
      <c r="B2360">
        <v>2013</v>
      </c>
      <c r="C2360" s="14">
        <f>147.1*(2/3*10)</f>
        <v>980.66666666666652</v>
      </c>
      <c r="D2360" s="14">
        <f>29.9*(2/3*10)</f>
        <v>199.33333333333331</v>
      </c>
      <c r="E2360" s="14">
        <f>303.5*(2/3*10)</f>
        <v>2023.3333333333333</v>
      </c>
      <c r="F2360" s="14">
        <f>52.2*(2/3*10)</f>
        <v>348</v>
      </c>
      <c r="G2360" s="14">
        <f>26.9*(2/3*10)</f>
        <v>179.33333333333334</v>
      </c>
      <c r="H2360" s="14">
        <f>9.3*(2/3*10)</f>
        <v>62</v>
      </c>
      <c r="I2360" s="14">
        <f>4.2*(2/3*10)</f>
        <v>28</v>
      </c>
      <c r="K2360">
        <v>2357</v>
      </c>
      <c r="L2360">
        <f t="shared" si="36"/>
        <v>5</v>
      </c>
    </row>
    <row r="2361" spans="1:12" ht="16.5" x14ac:dyDescent="0.2">
      <c r="A2361" s="4" t="s">
        <v>52</v>
      </c>
      <c r="B2361">
        <v>2014</v>
      </c>
      <c r="C2361" s="14">
        <f>147.4*(2/3*10)</f>
        <v>982.66666666666663</v>
      </c>
      <c r="D2361" s="14">
        <f>29.8*(2/3*10)</f>
        <v>198.66666666666666</v>
      </c>
      <c r="E2361" s="14">
        <f>303.2*(2/3*10)</f>
        <v>2021.333333333333</v>
      </c>
      <c r="F2361" s="14">
        <f>51.9*(2/3*10)</f>
        <v>345.99999999999994</v>
      </c>
      <c r="G2361" s="14">
        <f>27*(2/3*10)</f>
        <v>179.99999999999997</v>
      </c>
      <c r="H2361" s="14">
        <f>9.6*(2/3*10)</f>
        <v>63.999999999999993</v>
      </c>
      <c r="I2361" s="14">
        <f>4.2*(2/3*10)</f>
        <v>28</v>
      </c>
      <c r="K2361" s="15">
        <v>2358</v>
      </c>
      <c r="L2361">
        <f t="shared" si="36"/>
        <v>6</v>
      </c>
    </row>
    <row r="2362" spans="1:12" ht="16.5" x14ac:dyDescent="0.2">
      <c r="A2362" s="4" t="s">
        <v>52</v>
      </c>
      <c r="B2362">
        <v>2015</v>
      </c>
      <c r="C2362" s="14">
        <f>147.1*(2/3*10)</f>
        <v>980.66666666666652</v>
      </c>
      <c r="D2362" s="14">
        <f>29.7*(2/3*10)</f>
        <v>197.99999999999997</v>
      </c>
      <c r="E2362" s="14">
        <f>303.2*(2/3*10)</f>
        <v>2021.333333333333</v>
      </c>
      <c r="F2362" s="14">
        <f>51.9*(2/3*10)</f>
        <v>345.99999999999994</v>
      </c>
      <c r="G2362" s="14">
        <f>27.4*(2/3*10)</f>
        <v>182.66666666666666</v>
      </c>
      <c r="H2362" s="14">
        <f>9.7*(2/3*10)</f>
        <v>64.666666666666657</v>
      </c>
      <c r="I2362" s="14">
        <f>4.2*(2/3*10)</f>
        <v>28</v>
      </c>
      <c r="K2362">
        <v>2359</v>
      </c>
      <c r="L2362">
        <f t="shared" si="36"/>
        <v>7</v>
      </c>
    </row>
    <row r="2363" spans="1:12" ht="16.5" x14ac:dyDescent="0.2">
      <c r="A2363" s="4" t="s">
        <v>52</v>
      </c>
      <c r="B2363">
        <v>2016</v>
      </c>
      <c r="C2363" s="14">
        <f>147.3*(2/3*10)</f>
        <v>982</v>
      </c>
      <c r="D2363" s="14">
        <f>29.6*(2/3*10)</f>
        <v>197.33333333333331</v>
      </c>
      <c r="E2363" s="14">
        <f>302.6*(2/3*10)</f>
        <v>2017.3333333333333</v>
      </c>
      <c r="F2363" s="14">
        <f>52.1*(2/3*10)</f>
        <v>347.33333333333331</v>
      </c>
      <c r="G2363" s="14">
        <f>27.5*(2/3*10)</f>
        <v>183.33333333333331</v>
      </c>
      <c r="H2363" s="14">
        <f>9.7*(2/3*10)</f>
        <v>64.666666666666657</v>
      </c>
      <c r="I2363" s="14">
        <f>4.2*(2/3*10)</f>
        <v>28</v>
      </c>
      <c r="K2363" s="15">
        <v>2360</v>
      </c>
      <c r="L2363">
        <f t="shared" si="36"/>
        <v>0</v>
      </c>
    </row>
    <row r="2364" spans="1:12" ht="16.5" x14ac:dyDescent="0.2">
      <c r="A2364" s="4" t="s">
        <v>51</v>
      </c>
      <c r="B2364">
        <v>2009</v>
      </c>
      <c r="C2364" s="14">
        <f>544.2*(2/3*10)</f>
        <v>3628</v>
      </c>
      <c r="D2364" s="14">
        <f>64.8*(2/3*10)</f>
        <v>431.99999999999994</v>
      </c>
      <c r="E2364" s="14">
        <f>1770.5*(2/3*10)</f>
        <v>11803.333333333332</v>
      </c>
      <c r="F2364" s="14">
        <f>135.2*(2/3*10)</f>
        <v>901.33333333333314</v>
      </c>
      <c r="G2364" s="14">
        <f>97.2*(2/3*10)</f>
        <v>648</v>
      </c>
      <c r="H2364" s="14">
        <f>32.2*(2/3*10)</f>
        <v>214.66666666666666</v>
      </c>
      <c r="I2364" s="14">
        <f>39.1*(2/3*10)</f>
        <v>260.66666666666663</v>
      </c>
      <c r="K2364">
        <v>2361</v>
      </c>
      <c r="L2364">
        <f t="shared" si="36"/>
        <v>1</v>
      </c>
    </row>
    <row r="2365" spans="1:12" ht="16.5" x14ac:dyDescent="0.2">
      <c r="A2365" s="4" t="s">
        <v>51</v>
      </c>
      <c r="B2365">
        <v>2010</v>
      </c>
      <c r="C2365" s="14">
        <f>543.2*(2/3*10)</f>
        <v>3621.3333333333335</v>
      </c>
      <c r="D2365" s="14">
        <f>64.7*(2/3*10)</f>
        <v>431.33333333333331</v>
      </c>
      <c r="E2365" s="14">
        <f>1769.6*(2/3*10)</f>
        <v>11797.333333333332</v>
      </c>
      <c r="F2365" s="14">
        <f>134.8*(2/3*10)</f>
        <v>898.66666666666663</v>
      </c>
      <c r="G2365" s="14">
        <f>98.6*(2/3*10)</f>
        <v>657.33333333333326</v>
      </c>
      <c r="H2365" s="14">
        <f>32.6*(2/3*10)</f>
        <v>217.33333333333331</v>
      </c>
      <c r="I2365" s="14">
        <f>39.5*(2/3*10)</f>
        <v>263.33333333333331</v>
      </c>
      <c r="K2365">
        <v>2362</v>
      </c>
      <c r="L2365">
        <f t="shared" si="36"/>
        <v>2</v>
      </c>
    </row>
    <row r="2366" spans="1:12" ht="16.5" x14ac:dyDescent="0.2">
      <c r="A2366" s="4" t="s">
        <v>51</v>
      </c>
      <c r="B2366">
        <v>2011</v>
      </c>
      <c r="C2366" s="14">
        <f>544.2*(2/3*10)</f>
        <v>3628</v>
      </c>
      <c r="D2366" s="14">
        <f>64.5*(2/3*10)</f>
        <v>429.99999999999994</v>
      </c>
      <c r="E2366" s="14">
        <f>1768.6*(2/3*10)</f>
        <v>11790.666666666664</v>
      </c>
      <c r="F2366" s="14">
        <f>134.6*(2/3*10)</f>
        <v>897.33333333333326</v>
      </c>
      <c r="G2366" s="14">
        <f>99.8*(2/3*10)</f>
        <v>665.33333333333326</v>
      </c>
      <c r="H2366" s="14">
        <f>32.9*(2/3*10)</f>
        <v>219.33333333333331</v>
      </c>
      <c r="I2366" s="14">
        <f>38.3*(2/3*10)</f>
        <v>255.33333333333329</v>
      </c>
      <c r="K2366" s="15">
        <v>2363</v>
      </c>
      <c r="L2366">
        <f t="shared" si="36"/>
        <v>3</v>
      </c>
    </row>
    <row r="2367" spans="1:12" ht="16.5" x14ac:dyDescent="0.2">
      <c r="A2367" s="4" t="s">
        <v>51</v>
      </c>
      <c r="B2367">
        <v>2012</v>
      </c>
      <c r="C2367" s="14">
        <f>542.4*(2/3*10)</f>
        <v>3615.9999999999995</v>
      </c>
      <c r="D2367" s="14">
        <f>63*(2/3*10)</f>
        <v>419.99999999999994</v>
      </c>
      <c r="E2367" s="14">
        <f>1767.5*(2/3*10)</f>
        <v>11783.333333333332</v>
      </c>
      <c r="F2367" s="14">
        <f>134.4*(2/3*10)</f>
        <v>896</v>
      </c>
      <c r="G2367" s="14">
        <f>103.7*(2/3*10)</f>
        <v>691.33333333333337</v>
      </c>
      <c r="H2367" s="14">
        <f>33.4*(2/3*10)</f>
        <v>222.66666666666663</v>
      </c>
      <c r="I2367" s="14">
        <f>38.2*(2/3*10)</f>
        <v>254.66666666666666</v>
      </c>
      <c r="K2367">
        <v>2364</v>
      </c>
      <c r="L2367">
        <f t="shared" si="36"/>
        <v>4</v>
      </c>
    </row>
    <row r="2368" spans="1:12" ht="16.5" x14ac:dyDescent="0.2">
      <c r="A2368" s="4" t="s">
        <v>51</v>
      </c>
      <c r="B2368">
        <v>2013</v>
      </c>
      <c r="C2368" s="14">
        <f>541.8*(2/3*10)</f>
        <v>3611.9999999999995</v>
      </c>
      <c r="D2368" s="14">
        <f>62*(2/3*10)</f>
        <v>413.33333333333331</v>
      </c>
      <c r="E2368" s="14">
        <f>1767*(2/3*10)</f>
        <v>11779.999999999998</v>
      </c>
      <c r="F2368" s="14">
        <f>134.6*(2/3*10)</f>
        <v>897.33333333333326</v>
      </c>
      <c r="G2368" s="14">
        <f>105.5*(2/3*10)</f>
        <v>703.33333333333326</v>
      </c>
      <c r="H2368" s="14">
        <f>33.6*(2/3*10)</f>
        <v>224</v>
      </c>
      <c r="I2368" s="14">
        <f>37.9*(2/3*10)</f>
        <v>252.66666666666663</v>
      </c>
      <c r="K2368" s="15">
        <v>2365</v>
      </c>
      <c r="L2368">
        <f t="shared" ref="L2368:L2431" si="37">MOD(K2368,8)</f>
        <v>5</v>
      </c>
    </row>
    <row r="2369" spans="1:12" ht="16.5" x14ac:dyDescent="0.2">
      <c r="A2369" s="4" t="s">
        <v>51</v>
      </c>
      <c r="B2369">
        <v>2014</v>
      </c>
      <c r="C2369" s="14">
        <f>541.6*(2/3*10)</f>
        <v>3610.6666666666665</v>
      </c>
      <c r="D2369" s="14">
        <f>61.6*(2/3*10)</f>
        <v>410.66666666666663</v>
      </c>
      <c r="E2369" s="14">
        <f>1766.7*(2/3*10)</f>
        <v>11778</v>
      </c>
      <c r="F2369" s="14">
        <f>133.2*(2/3*10)</f>
        <v>887.99999999999989</v>
      </c>
      <c r="G2369" s="14">
        <f>107*(2/3*10)</f>
        <v>713.33333333333326</v>
      </c>
      <c r="H2369" s="14">
        <f>34.4*(2/3*10)</f>
        <v>229.33333333333331</v>
      </c>
      <c r="I2369" s="14">
        <f>37.8*(2/3*10)</f>
        <v>251.99999999999997</v>
      </c>
      <c r="K2369">
        <v>2366</v>
      </c>
      <c r="L2369">
        <f t="shared" si="37"/>
        <v>6</v>
      </c>
    </row>
    <row r="2370" spans="1:12" ht="16.5" x14ac:dyDescent="0.2">
      <c r="A2370" s="4" t="s">
        <v>51</v>
      </c>
      <c r="B2370">
        <v>2015</v>
      </c>
      <c r="C2370" s="14">
        <f>541.6*(2/3*10)</f>
        <v>3610.6666666666665</v>
      </c>
      <c r="D2370" s="14">
        <f>61.6*(2/3*10)</f>
        <v>410.66666666666663</v>
      </c>
      <c r="E2370" s="14">
        <f>1766.6*(2/3*10)</f>
        <v>11777.333333333332</v>
      </c>
      <c r="F2370" s="14">
        <f>132.3*(2/3*10)</f>
        <v>882</v>
      </c>
      <c r="G2370" s="14">
        <f>107.8*(2/3*10)</f>
        <v>718.66666666666663</v>
      </c>
      <c r="H2370" s="14">
        <f>34.5*(2/3*10)</f>
        <v>229.99999999999997</v>
      </c>
      <c r="I2370" s="14">
        <f>37.8*(2/3*10)</f>
        <v>251.99999999999997</v>
      </c>
      <c r="K2370">
        <v>2367</v>
      </c>
      <c r="L2370">
        <f t="shared" si="37"/>
        <v>7</v>
      </c>
    </row>
    <row r="2371" spans="1:12" ht="16.5" x14ac:dyDescent="0.2">
      <c r="A2371" s="4" t="s">
        <v>51</v>
      </c>
      <c r="B2371">
        <v>2016</v>
      </c>
      <c r="C2371" s="14">
        <f>540.8*(2/3*10)</f>
        <v>3605.3333333333326</v>
      </c>
      <c r="D2371" s="14">
        <f>61.2*(2/3*10)</f>
        <v>408</v>
      </c>
      <c r="E2371" s="14">
        <f>1765.1*(2/3*10)</f>
        <v>11767.333333333332</v>
      </c>
      <c r="F2371" s="14">
        <f>133.2*(2/3*10)</f>
        <v>887.99999999999989</v>
      </c>
      <c r="G2371" s="14">
        <f>108.9*(2/3*10)</f>
        <v>726</v>
      </c>
      <c r="H2371" s="14">
        <f>34.8*(2/3*10)</f>
        <v>231.99999999999997</v>
      </c>
      <c r="I2371" s="14">
        <f>37.7*(2/3*10)</f>
        <v>251.33333333333334</v>
      </c>
      <c r="K2371" s="15">
        <v>2368</v>
      </c>
      <c r="L2371">
        <f t="shared" si="37"/>
        <v>0</v>
      </c>
    </row>
    <row r="2372" spans="1:12" ht="16.5" x14ac:dyDescent="0.2">
      <c r="A2372" s="4" t="s">
        <v>50</v>
      </c>
      <c r="B2372">
        <v>2009</v>
      </c>
      <c r="C2372" s="14">
        <f>548*(2/3*10)</f>
        <v>3653.333333333333</v>
      </c>
      <c r="D2372" s="14">
        <f>243.8*(2/3*10)</f>
        <v>1625.3333333333333</v>
      </c>
      <c r="E2372" s="14">
        <f>334.4*(2/3*10)</f>
        <v>2229.333333333333</v>
      </c>
      <c r="F2372" s="14">
        <f>186.9*(2/3*10)</f>
        <v>1246</v>
      </c>
      <c r="G2372" s="14">
        <f>147*(2/3*10)</f>
        <v>979.99999999999989</v>
      </c>
      <c r="H2372" s="14">
        <f>39*(2/3*10)</f>
        <v>260</v>
      </c>
      <c r="I2372" s="14">
        <f>28.5*(2/3*10)</f>
        <v>189.99999999999997</v>
      </c>
      <c r="K2372">
        <v>2369</v>
      </c>
      <c r="L2372">
        <f t="shared" si="37"/>
        <v>1</v>
      </c>
    </row>
    <row r="2373" spans="1:12" ht="16.5" x14ac:dyDescent="0.2">
      <c r="A2373" s="4" t="s">
        <v>50</v>
      </c>
      <c r="B2373">
        <v>2010</v>
      </c>
      <c r="C2373" s="14">
        <f>547.3*(2/3*10)</f>
        <v>3648.6666666666661</v>
      </c>
      <c r="D2373" s="14">
        <f>241.4*(2/3*10)</f>
        <v>1609.3333333333333</v>
      </c>
      <c r="E2373" s="14">
        <f>334*(2/3*10)</f>
        <v>2226.6666666666665</v>
      </c>
      <c r="F2373" s="14">
        <f>186.6*(2/3*10)</f>
        <v>1243.9999999999998</v>
      </c>
      <c r="G2373" s="14">
        <f>149.5*(2/3*10)</f>
        <v>996.66666666666663</v>
      </c>
      <c r="H2373" s="14">
        <f>40.1*(2/3*10)</f>
        <v>267.33333333333331</v>
      </c>
      <c r="I2373" s="14">
        <f>28.3*(2/3*10)</f>
        <v>188.66666666666666</v>
      </c>
      <c r="K2373" s="15">
        <v>2370</v>
      </c>
      <c r="L2373">
        <f t="shared" si="37"/>
        <v>2</v>
      </c>
    </row>
    <row r="2374" spans="1:12" ht="16.5" x14ac:dyDescent="0.2">
      <c r="A2374" s="4" t="s">
        <v>50</v>
      </c>
      <c r="B2374">
        <v>2011</v>
      </c>
      <c r="C2374" s="14">
        <f>546.9*(2/3*10)</f>
        <v>3645.9999999999995</v>
      </c>
      <c r="D2374" s="14">
        <f>240.4*(2/3*10)</f>
        <v>1602.6666666666665</v>
      </c>
      <c r="E2374" s="14">
        <f>333.7*(2/3*10)</f>
        <v>2224.6666666666665</v>
      </c>
      <c r="F2374" s="14">
        <f>186.2*(2/3*10)</f>
        <v>1241.3333333333333</v>
      </c>
      <c r="G2374" s="14">
        <f>151.2*(2/3*10)</f>
        <v>1008</v>
      </c>
      <c r="H2374" s="14">
        <f>40.4*(2/3*10)</f>
        <v>269.33333333333331</v>
      </c>
      <c r="I2374" s="14">
        <f>28.3*(2/3*10)</f>
        <v>188.66666666666666</v>
      </c>
      <c r="K2374">
        <v>2371</v>
      </c>
      <c r="L2374">
        <f t="shared" si="37"/>
        <v>3</v>
      </c>
    </row>
    <row r="2375" spans="1:12" ht="16.5" x14ac:dyDescent="0.2">
      <c r="A2375" s="4" t="s">
        <v>50</v>
      </c>
      <c r="B2375">
        <v>2012</v>
      </c>
      <c r="C2375" s="14">
        <f>545.8*(2/3*10)</f>
        <v>3638.6666666666661</v>
      </c>
      <c r="D2375" s="14">
        <f>237.5*(2/3*10)</f>
        <v>1583.3333333333333</v>
      </c>
      <c r="E2375" s="14">
        <f>333.4*(2/3*10)</f>
        <v>2222.6666666666665</v>
      </c>
      <c r="F2375" s="14">
        <f>185.9*(2/3*10)</f>
        <v>1239.3333333333333</v>
      </c>
      <c r="G2375" s="14">
        <f>154.5*(2/3*10)</f>
        <v>1030</v>
      </c>
      <c r="H2375" s="14">
        <f>41.7*(2/3*10)</f>
        <v>278</v>
      </c>
      <c r="I2375" s="14">
        <f>28.3*(2/3*10)</f>
        <v>188.66666666666666</v>
      </c>
      <c r="K2375">
        <v>2372</v>
      </c>
      <c r="L2375">
        <f t="shared" si="37"/>
        <v>4</v>
      </c>
    </row>
    <row r="2376" spans="1:12" ht="16.5" x14ac:dyDescent="0.2">
      <c r="A2376" s="4" t="s">
        <v>50</v>
      </c>
      <c r="B2376">
        <v>2013</v>
      </c>
      <c r="C2376" s="14">
        <f>543.8*(2/3*10)</f>
        <v>3625.3333333333326</v>
      </c>
      <c r="D2376" s="14">
        <f>237*(2/3*10)</f>
        <v>1579.9999999999998</v>
      </c>
      <c r="E2376" s="14">
        <f>333.2*(2/3*10)</f>
        <v>2221.333333333333</v>
      </c>
      <c r="F2376" s="14">
        <f>185.8*(2/3*10)</f>
        <v>1238.6666666666667</v>
      </c>
      <c r="G2376" s="14">
        <f>156.4*(2/3*10)</f>
        <v>1042.6666666666665</v>
      </c>
      <c r="H2376" s="14">
        <f>42.5*(2/3*10)</f>
        <v>283.33333333333331</v>
      </c>
      <c r="I2376" s="14">
        <f>28.3*(2/3*10)</f>
        <v>188.66666666666666</v>
      </c>
      <c r="K2376" s="15">
        <v>2373</v>
      </c>
      <c r="L2376">
        <f t="shared" si="37"/>
        <v>5</v>
      </c>
    </row>
    <row r="2377" spans="1:12" ht="16.5" x14ac:dyDescent="0.2">
      <c r="A2377" s="4" t="s">
        <v>50</v>
      </c>
      <c r="B2377">
        <v>2014</v>
      </c>
      <c r="C2377" s="14">
        <f>541.2*(2/3*10)</f>
        <v>3608</v>
      </c>
      <c r="D2377" s="14">
        <f>234.7*(2/3*10)</f>
        <v>1564.6666666666665</v>
      </c>
      <c r="E2377" s="14">
        <f>333.1*(2/3*10)</f>
        <v>2220.6666666666665</v>
      </c>
      <c r="F2377" s="14">
        <f>185.6*(2/3*10)</f>
        <v>1237.3333333333333</v>
      </c>
      <c r="G2377" s="14">
        <f>159.8*(2/3*10)</f>
        <v>1065.3333333333333</v>
      </c>
      <c r="H2377" s="14">
        <f>43.6*(2/3*10)</f>
        <v>290.66666666666663</v>
      </c>
      <c r="I2377" s="14">
        <f>28.3*(2/3*10)</f>
        <v>188.66666666666666</v>
      </c>
      <c r="K2377">
        <v>2374</v>
      </c>
      <c r="L2377">
        <f t="shared" si="37"/>
        <v>6</v>
      </c>
    </row>
    <row r="2378" spans="1:12" ht="16.5" x14ac:dyDescent="0.2">
      <c r="A2378" s="4" t="s">
        <v>50</v>
      </c>
      <c r="B2378">
        <v>2015</v>
      </c>
      <c r="C2378" s="14">
        <f>539.4*(2/3*10)</f>
        <v>3595.9999999999995</v>
      </c>
      <c r="D2378" s="14">
        <f>234*(2/3*10)</f>
        <v>1559.9999999999998</v>
      </c>
      <c r="E2378" s="14">
        <f>332.9*(2/3*10)</f>
        <v>2219.333333333333</v>
      </c>
      <c r="F2378" s="14">
        <f>185*(2/3*10)</f>
        <v>1233.3333333333333</v>
      </c>
      <c r="G2378" s="14">
        <f>162.6*(2/3*10)</f>
        <v>1083.9999999999998</v>
      </c>
      <c r="H2378" s="14">
        <f>44*(2/3*10)</f>
        <v>293.33333333333331</v>
      </c>
      <c r="I2378" s="14">
        <f>28.1*(2/3*10)</f>
        <v>187.33333333333331</v>
      </c>
      <c r="K2378" s="15">
        <v>2375</v>
      </c>
      <c r="L2378">
        <f t="shared" si="37"/>
        <v>7</v>
      </c>
    </row>
    <row r="2379" spans="1:12" ht="16.5" x14ac:dyDescent="0.2">
      <c r="A2379" s="4" t="s">
        <v>50</v>
      </c>
      <c r="B2379">
        <v>2016</v>
      </c>
      <c r="C2379" s="14">
        <f>537.4*(2/3*10)</f>
        <v>3582.6666666666661</v>
      </c>
      <c r="D2379" s="14">
        <f>233.4*(2/3*10)</f>
        <v>1556</v>
      </c>
      <c r="E2379" s="14">
        <f>332.5*(2/3*10)</f>
        <v>2216.6666666666665</v>
      </c>
      <c r="F2379" s="14">
        <f>185.1*(2/3*10)</f>
        <v>1233.9999999999998</v>
      </c>
      <c r="G2379" s="14">
        <f>164.8*(2/3*10)</f>
        <v>1098.6666666666667</v>
      </c>
      <c r="H2379" s="14">
        <f>44.5*(2/3*10)</f>
        <v>296.66666666666663</v>
      </c>
      <c r="I2379" s="14">
        <f>27.9*(2/3*10)</f>
        <v>185.99999999999997</v>
      </c>
      <c r="K2379">
        <v>2376</v>
      </c>
      <c r="L2379">
        <f t="shared" si="37"/>
        <v>0</v>
      </c>
    </row>
    <row r="2380" spans="1:12" ht="16.5" x14ac:dyDescent="0.2">
      <c r="A2380" s="4" t="s">
        <v>49</v>
      </c>
      <c r="B2380">
        <v>2009</v>
      </c>
      <c r="C2380" s="14">
        <f>860*(2/3*10)</f>
        <v>5733.333333333333</v>
      </c>
      <c r="D2380" s="14">
        <f>272.1*(2/3*10)</f>
        <v>1814</v>
      </c>
      <c r="E2380" s="14">
        <f>308.3*(2/3*10)</f>
        <v>2055.333333333333</v>
      </c>
      <c r="F2380" s="14">
        <f>197.2*(2/3*10)</f>
        <v>1314.6666666666665</v>
      </c>
      <c r="G2380" s="14">
        <f>164.4*(2/3*10)</f>
        <v>1096</v>
      </c>
      <c r="H2380" s="14">
        <f>45.6*(2/3*10)</f>
        <v>304</v>
      </c>
      <c r="I2380" s="14">
        <f>66.1*(2/3*10)</f>
        <v>440.66666666666657</v>
      </c>
      <c r="K2380">
        <v>2377</v>
      </c>
      <c r="L2380">
        <f t="shared" si="37"/>
        <v>1</v>
      </c>
    </row>
    <row r="2381" spans="1:12" ht="16.5" x14ac:dyDescent="0.2">
      <c r="A2381" s="4" t="s">
        <v>49</v>
      </c>
      <c r="B2381">
        <v>2010</v>
      </c>
      <c r="C2381" s="14">
        <f>858.2*(2/3*10)</f>
        <v>5721.333333333333</v>
      </c>
      <c r="D2381" s="14">
        <f>271.7*(2/3*10)</f>
        <v>1811.333333333333</v>
      </c>
      <c r="E2381" s="14">
        <f>308.1*(2/3*10)</f>
        <v>2054</v>
      </c>
      <c r="F2381" s="14">
        <f>197.3*(2/3*10)</f>
        <v>1315.3333333333333</v>
      </c>
      <c r="G2381" s="14">
        <f>166.2*(2/3*10)</f>
        <v>1107.9999999999998</v>
      </c>
      <c r="H2381" s="14">
        <f>45.9*(2/3*10)</f>
        <v>305.99999999999994</v>
      </c>
      <c r="I2381" s="14">
        <f>66.1*(2/3*10)</f>
        <v>440.66666666666657</v>
      </c>
      <c r="K2381" s="15">
        <v>2378</v>
      </c>
      <c r="L2381">
        <f t="shared" si="37"/>
        <v>2</v>
      </c>
    </row>
    <row r="2382" spans="1:12" ht="16.5" x14ac:dyDescent="0.2">
      <c r="A2382" s="4" t="s">
        <v>49</v>
      </c>
      <c r="B2382">
        <v>2011</v>
      </c>
      <c r="C2382" s="14">
        <f>856.8*(2/3*10)</f>
        <v>5711.9999999999991</v>
      </c>
      <c r="D2382" s="14">
        <f>271.4*(2/3*10)</f>
        <v>1809.333333333333</v>
      </c>
      <c r="E2382" s="14">
        <f>307.9*(2/3*10)</f>
        <v>2052.6666666666665</v>
      </c>
      <c r="F2382" s="14">
        <f>196.8*(2/3*10)</f>
        <v>1312</v>
      </c>
      <c r="G2382" s="14">
        <f>167.7*(2/3*10)</f>
        <v>1118</v>
      </c>
      <c r="H2382" s="14">
        <f>46.5*(2/3*10)</f>
        <v>310</v>
      </c>
      <c r="I2382" s="14">
        <f>66.3*(2/3*10)</f>
        <v>441.99999999999994</v>
      </c>
      <c r="K2382">
        <v>2379</v>
      </c>
      <c r="L2382">
        <f t="shared" si="37"/>
        <v>3</v>
      </c>
    </row>
    <row r="2383" spans="1:12" ht="16.5" x14ac:dyDescent="0.2">
      <c r="A2383" s="4" t="s">
        <v>49</v>
      </c>
      <c r="B2383">
        <v>2012</v>
      </c>
      <c r="C2383" s="14">
        <f>860.4*(2/3*10)</f>
        <v>5735.9999999999991</v>
      </c>
      <c r="D2383" s="14">
        <f>265.7*(2/3*10)</f>
        <v>1771.333333333333</v>
      </c>
      <c r="E2383" s="14">
        <f>307.6*(2/3*10)</f>
        <v>2050.6666666666665</v>
      </c>
      <c r="F2383" s="14">
        <f>195.9*(2/3*10)</f>
        <v>1306</v>
      </c>
      <c r="G2383" s="14">
        <f>170.2*(2/3*10)</f>
        <v>1134.6666666666665</v>
      </c>
      <c r="H2383" s="14">
        <f>47*(2/3*10)</f>
        <v>313.33333333333331</v>
      </c>
      <c r="I2383" s="14">
        <f>66.4*(2/3*10)</f>
        <v>442.66666666666669</v>
      </c>
      <c r="K2383" s="15">
        <v>2380</v>
      </c>
      <c r="L2383">
        <f t="shared" si="37"/>
        <v>4</v>
      </c>
    </row>
    <row r="2384" spans="1:12" ht="16.5" x14ac:dyDescent="0.2">
      <c r="A2384" s="4" t="s">
        <v>49</v>
      </c>
      <c r="B2384">
        <v>2013</v>
      </c>
      <c r="C2384" s="14">
        <f>860.7*(2/3*10)</f>
        <v>5738</v>
      </c>
      <c r="D2384" s="14">
        <f>265.2*(2/3*10)</f>
        <v>1767.9999999999998</v>
      </c>
      <c r="E2384" s="14">
        <f>307.4*(2/3*10)</f>
        <v>2049.333333333333</v>
      </c>
      <c r="F2384" s="14">
        <f>194.4*(2/3*10)</f>
        <v>1296</v>
      </c>
      <c r="G2384" s="14">
        <f>171.5*(2/3*10)</f>
        <v>1143.3333333333333</v>
      </c>
      <c r="H2384" s="14">
        <f>47.6*(2/3*10)</f>
        <v>317.33333333333331</v>
      </c>
      <c r="I2384" s="14">
        <f>67.5*(2/3*10)</f>
        <v>449.99999999999994</v>
      </c>
      <c r="K2384">
        <v>2381</v>
      </c>
      <c r="L2384">
        <f t="shared" si="37"/>
        <v>5</v>
      </c>
    </row>
    <row r="2385" spans="1:12" ht="16.5" x14ac:dyDescent="0.2">
      <c r="A2385" s="4" t="s">
        <v>49</v>
      </c>
      <c r="B2385">
        <v>2014</v>
      </c>
      <c r="C2385" s="14">
        <f>863.5*(2/3*10)</f>
        <v>5756.6666666666661</v>
      </c>
      <c r="D2385" s="14">
        <f>264.5*(2/3*10)</f>
        <v>1763.3333333333333</v>
      </c>
      <c r="E2385" s="14">
        <f>307.3*(2/3*10)</f>
        <v>2048.6666666666665</v>
      </c>
      <c r="F2385" s="14">
        <f>190.6*(2/3*10)</f>
        <v>1270.6666666666665</v>
      </c>
      <c r="G2385" s="14">
        <f>172.7*(2/3*10)</f>
        <v>1151.3333333333333</v>
      </c>
      <c r="H2385" s="14">
        <f>48.2*(2/3*10)</f>
        <v>321.33333333333331</v>
      </c>
      <c r="I2385" s="14">
        <f>67.3*(2/3*10)</f>
        <v>448.66666666666663</v>
      </c>
      <c r="K2385">
        <v>2382</v>
      </c>
      <c r="L2385">
        <f t="shared" si="37"/>
        <v>6</v>
      </c>
    </row>
    <row r="2386" spans="1:12" ht="16.5" x14ac:dyDescent="0.2">
      <c r="A2386" s="4" t="s">
        <v>49</v>
      </c>
      <c r="B2386">
        <v>2015</v>
      </c>
      <c r="C2386" s="14">
        <f>866.1*(2/3*10)</f>
        <v>5774</v>
      </c>
      <c r="D2386" s="14">
        <f>263.4*(2/3*10)</f>
        <v>1755.9999999999998</v>
      </c>
      <c r="E2386" s="14">
        <f>307.2*(2/3*10)</f>
        <v>2047.9999999999998</v>
      </c>
      <c r="F2386" s="14">
        <f>187.8*(2/3*10)</f>
        <v>1252</v>
      </c>
      <c r="G2386" s="14">
        <f>174.2*(2/3*10)</f>
        <v>1161.3333333333333</v>
      </c>
      <c r="H2386" s="14">
        <f>48.3*(2/3*10)</f>
        <v>321.99999999999994</v>
      </c>
      <c r="I2386" s="14">
        <f>67.2*(2/3*10)</f>
        <v>448</v>
      </c>
      <c r="K2386" s="15">
        <v>2383</v>
      </c>
      <c r="L2386">
        <f t="shared" si="37"/>
        <v>7</v>
      </c>
    </row>
    <row r="2387" spans="1:12" ht="16.5" x14ac:dyDescent="0.2">
      <c r="A2387" s="4" t="s">
        <v>49</v>
      </c>
      <c r="B2387">
        <v>2016</v>
      </c>
      <c r="C2387" s="14">
        <f>866.9*(2/3*10)</f>
        <v>5779.333333333333</v>
      </c>
      <c r="D2387" s="14">
        <f>263.1*(2/3*10)</f>
        <v>1754</v>
      </c>
      <c r="E2387" s="14">
        <f>306.1*(2/3*10)</f>
        <v>2040.6666666666667</v>
      </c>
      <c r="F2387" s="14">
        <f>186.8*(2/3*10)</f>
        <v>1245.3333333333333</v>
      </c>
      <c r="G2387" s="14">
        <f>175.3*(2/3*10)</f>
        <v>1168.6666666666667</v>
      </c>
      <c r="H2387" s="14">
        <f>48.6*(2/3*10)</f>
        <v>324</v>
      </c>
      <c r="I2387" s="14">
        <f>67.1*(2/3*10)</f>
        <v>447.33333333333326</v>
      </c>
      <c r="K2387">
        <v>2384</v>
      </c>
      <c r="L2387">
        <f t="shared" si="37"/>
        <v>0</v>
      </c>
    </row>
    <row r="2388" spans="1:12" ht="16.5" x14ac:dyDescent="0.2">
      <c r="A2388" s="4" t="s">
        <v>48</v>
      </c>
      <c r="B2388">
        <v>2009</v>
      </c>
      <c r="C2388" s="14">
        <f>541.1*(2/3*10)</f>
        <v>3607.333333333333</v>
      </c>
      <c r="D2388" s="14">
        <f>237.2*(2/3*10)</f>
        <v>1581.333333333333</v>
      </c>
      <c r="E2388" s="14">
        <f>3216*(2/3*10)</f>
        <v>21439.999999999996</v>
      </c>
      <c r="F2388" s="14">
        <f>1342.3*(2/3*10)</f>
        <v>8948.6666666666661</v>
      </c>
      <c r="G2388" s="14">
        <f>86.5*(2/3*10)</f>
        <v>576.66666666666663</v>
      </c>
      <c r="H2388" s="14">
        <f>51.7*(2/3*10)</f>
        <v>344.66666666666663</v>
      </c>
      <c r="I2388" s="14">
        <f>41.8*(2/3*10)</f>
        <v>278.66666666666663</v>
      </c>
      <c r="K2388" s="15">
        <v>2385</v>
      </c>
      <c r="L2388">
        <f t="shared" si="37"/>
        <v>1</v>
      </c>
    </row>
    <row r="2389" spans="1:12" ht="16.5" x14ac:dyDescent="0.2">
      <c r="A2389" s="4" t="s">
        <v>48</v>
      </c>
      <c r="B2389">
        <v>2010</v>
      </c>
      <c r="C2389" s="14">
        <f>542*(2/3*10)</f>
        <v>3613.333333333333</v>
      </c>
      <c r="D2389" s="14">
        <f>236.9*(2/3*10)</f>
        <v>1579.3333333333333</v>
      </c>
      <c r="E2389" s="14">
        <f>3214.6*(2/3*10)</f>
        <v>21430.666666666664</v>
      </c>
      <c r="F2389" s="14">
        <f>1341.9*(2/3*10)</f>
        <v>8946</v>
      </c>
      <c r="G2389" s="14">
        <f>87*(2/3*10)</f>
        <v>580</v>
      </c>
      <c r="H2389" s="14">
        <f>52.1*(2/3*10)</f>
        <v>347.33333333333331</v>
      </c>
      <c r="I2389" s="14">
        <f>41.8*(2/3*10)</f>
        <v>278.66666666666663</v>
      </c>
      <c r="K2389">
        <v>2386</v>
      </c>
      <c r="L2389">
        <f t="shared" si="37"/>
        <v>2</v>
      </c>
    </row>
    <row r="2390" spans="1:12" ht="16.5" x14ac:dyDescent="0.2">
      <c r="A2390" s="4" t="s">
        <v>48</v>
      </c>
      <c r="B2390">
        <v>2011</v>
      </c>
      <c r="C2390" s="14">
        <f>542.3*(2/3*10)</f>
        <v>3615.3333333333326</v>
      </c>
      <c r="D2390" s="14">
        <f>236.9*(2/3*10)</f>
        <v>1579.3333333333333</v>
      </c>
      <c r="E2390" s="14">
        <f>3213.6*(2/3*10)</f>
        <v>21423.999999999996</v>
      </c>
      <c r="F2390" s="14">
        <f>1341.9*(2/3*10)</f>
        <v>8946</v>
      </c>
      <c r="G2390" s="14">
        <f>87.5*(2/3*10)</f>
        <v>583.33333333333326</v>
      </c>
      <c r="H2390" s="14">
        <f>52.3*(2/3*10)</f>
        <v>348.66666666666663</v>
      </c>
      <c r="I2390" s="14">
        <f>41.8*(2/3*10)</f>
        <v>278.66666666666663</v>
      </c>
      <c r="K2390">
        <v>2387</v>
      </c>
      <c r="L2390">
        <f t="shared" si="37"/>
        <v>3</v>
      </c>
    </row>
    <row r="2391" spans="1:12" ht="16.5" x14ac:dyDescent="0.2">
      <c r="A2391" s="4" t="s">
        <v>48</v>
      </c>
      <c r="B2391">
        <v>2012</v>
      </c>
      <c r="C2391" s="14">
        <f>542.9*(2/3*10)</f>
        <v>3619.333333333333</v>
      </c>
      <c r="D2391" s="14">
        <f>236.3*(2/3*10)</f>
        <v>1575.3333333333333</v>
      </c>
      <c r="E2391" s="14">
        <f>3212.1*(2/3*10)</f>
        <v>21413.999999999996</v>
      </c>
      <c r="F2391" s="14">
        <f>1341.7*(2/3*10)</f>
        <v>8944.6666666666661</v>
      </c>
      <c r="G2391" s="14">
        <f>89*(2/3*10)</f>
        <v>593.33333333333326</v>
      </c>
      <c r="H2391" s="14">
        <f>52.5*(2/3*10)</f>
        <v>349.99999999999994</v>
      </c>
      <c r="I2391" s="14">
        <f>41.7*(2/3*10)</f>
        <v>278</v>
      </c>
      <c r="K2391" s="15">
        <v>2388</v>
      </c>
      <c r="L2391">
        <f t="shared" si="37"/>
        <v>4</v>
      </c>
    </row>
    <row r="2392" spans="1:12" ht="16.5" x14ac:dyDescent="0.2">
      <c r="A2392" s="4" t="s">
        <v>48</v>
      </c>
      <c r="B2392">
        <v>2013</v>
      </c>
      <c r="C2392" s="14">
        <f>555.7*(2/3*10)</f>
        <v>3704.6666666666665</v>
      </c>
      <c r="D2392" s="14">
        <f>227.2*(2/3*10)</f>
        <v>1514.6666666666665</v>
      </c>
      <c r="E2392" s="14">
        <f>3206.7*(2/3*10)</f>
        <v>21377.999999999996</v>
      </c>
      <c r="F2392" s="14">
        <f>1341.1*(2/3*10)</f>
        <v>8940.6666666666661</v>
      </c>
      <c r="G2392" s="14">
        <f>89.9*(2/3*10)</f>
        <v>599.33333333333337</v>
      </c>
      <c r="H2392" s="14">
        <f>53.2*(2/3*10)</f>
        <v>354.66666666666663</v>
      </c>
      <c r="I2392" s="14">
        <f>41.5*(2/3*10)</f>
        <v>276.66666666666663</v>
      </c>
      <c r="K2392">
        <v>2389</v>
      </c>
      <c r="L2392">
        <f t="shared" si="37"/>
        <v>5</v>
      </c>
    </row>
    <row r="2393" spans="1:12" ht="16.5" x14ac:dyDescent="0.2">
      <c r="A2393" s="4" t="s">
        <v>48</v>
      </c>
      <c r="B2393">
        <v>2014</v>
      </c>
      <c r="C2393" s="14">
        <f>554.7*(2/3*10)</f>
        <v>3698</v>
      </c>
      <c r="D2393" s="14">
        <f>226.7*(2/3*10)</f>
        <v>1511.333333333333</v>
      </c>
      <c r="E2393" s="14">
        <f>3204.1*(2/3*10)</f>
        <v>21360.666666666664</v>
      </c>
      <c r="F2393" s="14">
        <f>1340.8*(2/3*10)</f>
        <v>8938.6666666666661</v>
      </c>
      <c r="G2393" s="14">
        <f>92.2*(2/3*10)</f>
        <v>614.66666666666663</v>
      </c>
      <c r="H2393" s="14">
        <f>55.2*(2/3*10)</f>
        <v>368</v>
      </c>
      <c r="I2393" s="14">
        <f>41.4*(2/3*10)</f>
        <v>275.99999999999994</v>
      </c>
      <c r="K2393" s="15">
        <v>2390</v>
      </c>
      <c r="L2393">
        <f t="shared" si="37"/>
        <v>6</v>
      </c>
    </row>
    <row r="2394" spans="1:12" ht="16.5" x14ac:dyDescent="0.2">
      <c r="A2394" s="4" t="s">
        <v>48</v>
      </c>
      <c r="B2394">
        <v>2015</v>
      </c>
      <c r="C2394" s="14">
        <f>555.5*(2/3*10)</f>
        <v>3703.333333333333</v>
      </c>
      <c r="D2394" s="14">
        <f>226.4*(2/3*10)</f>
        <v>1509.3333333333333</v>
      </c>
      <c r="E2394" s="14">
        <f>3203*(2/3*10)</f>
        <v>21353.333333333332</v>
      </c>
      <c r="F2394" s="14">
        <f>1339.2*(2/3*10)</f>
        <v>8928</v>
      </c>
      <c r="G2394" s="14">
        <f>93.8*(2/3*10)</f>
        <v>625.33333333333326</v>
      </c>
      <c r="H2394" s="14">
        <f>55.5*(2/3*10)</f>
        <v>369.99999999999994</v>
      </c>
      <c r="I2394" s="14">
        <f>41.3*(2/3*10)</f>
        <v>275.33333333333331</v>
      </c>
      <c r="K2394">
        <v>2391</v>
      </c>
      <c r="L2394">
        <f t="shared" si="37"/>
        <v>7</v>
      </c>
    </row>
    <row r="2395" spans="1:12" ht="16.5" x14ac:dyDescent="0.2">
      <c r="A2395" s="4" t="s">
        <v>48</v>
      </c>
      <c r="B2395">
        <v>2016</v>
      </c>
      <c r="C2395" s="14">
        <f>555.6*(2/3*10)</f>
        <v>3704</v>
      </c>
      <c r="D2395" s="14">
        <f>226.2*(2/3*10)</f>
        <v>1507.9999999999998</v>
      </c>
      <c r="E2395" s="14">
        <f>3197.4*(2/3*10)</f>
        <v>21316</v>
      </c>
      <c r="F2395" s="14">
        <f>1343.8*(2/3*10)</f>
        <v>8958.6666666666661</v>
      </c>
      <c r="G2395" s="14">
        <f>94.8*(2/3*10)</f>
        <v>631.99999999999989</v>
      </c>
      <c r="H2395" s="14">
        <f>55.9*(2/3*10)</f>
        <v>372.66666666666663</v>
      </c>
      <c r="I2395" s="14">
        <f>41.1*(2/3*10)</f>
        <v>274</v>
      </c>
      <c r="K2395">
        <v>2392</v>
      </c>
      <c r="L2395">
        <f t="shared" si="37"/>
        <v>0</v>
      </c>
    </row>
    <row r="2396" spans="1:12" ht="16.5" x14ac:dyDescent="0.2">
      <c r="A2396" s="4" t="s">
        <v>47</v>
      </c>
      <c r="B2396">
        <v>2009</v>
      </c>
      <c r="C2396" s="14">
        <f>537.7*(2/3*10)</f>
        <v>3584.6666666666665</v>
      </c>
      <c r="D2396" s="14">
        <f>45.5*(2/3*10)</f>
        <v>303.33333333333331</v>
      </c>
      <c r="E2396" s="14">
        <f>3189.4*(2/3*10)</f>
        <v>21262.666666666664</v>
      </c>
      <c r="F2396" s="14">
        <f>57.9*(2/3*10)</f>
        <v>385.99999999999994</v>
      </c>
      <c r="G2396" s="14">
        <f>80.8*(2/3*10)</f>
        <v>538.66666666666674</v>
      </c>
      <c r="H2396" s="14">
        <f>30.2*(2/3*10)</f>
        <v>201.33333333333331</v>
      </c>
      <c r="I2396" s="14">
        <f>72*(2/3*10)</f>
        <v>479.99999999999994</v>
      </c>
      <c r="K2396" s="15">
        <v>2393</v>
      </c>
      <c r="L2396">
        <f t="shared" si="37"/>
        <v>1</v>
      </c>
    </row>
    <row r="2397" spans="1:12" ht="16.5" x14ac:dyDescent="0.2">
      <c r="A2397" s="4" t="s">
        <v>47</v>
      </c>
      <c r="B2397">
        <v>2010</v>
      </c>
      <c r="C2397" s="14">
        <f>535.9*(2/3*10)</f>
        <v>3572.6666666666661</v>
      </c>
      <c r="D2397" s="14">
        <f>45*(2/3*10)</f>
        <v>300</v>
      </c>
      <c r="E2397" s="14">
        <f>3188.4*(2/3*10)</f>
        <v>21256</v>
      </c>
      <c r="F2397" s="14">
        <f>58.2*(2/3*10)</f>
        <v>388</v>
      </c>
      <c r="G2397" s="14">
        <f>83.2*(2/3*10)</f>
        <v>554.66666666666663</v>
      </c>
      <c r="H2397" s="14">
        <f>30.3*(2/3*10)</f>
        <v>202</v>
      </c>
      <c r="I2397" s="14">
        <f>72.1*(2/3*10)</f>
        <v>480.66666666666657</v>
      </c>
      <c r="K2397">
        <v>2394</v>
      </c>
      <c r="L2397">
        <f t="shared" si="37"/>
        <v>2</v>
      </c>
    </row>
    <row r="2398" spans="1:12" ht="16.5" x14ac:dyDescent="0.2">
      <c r="A2398" s="4" t="s">
        <v>47</v>
      </c>
      <c r="B2398">
        <v>2011</v>
      </c>
      <c r="C2398" s="14">
        <f>536.4*(2/3*10)</f>
        <v>3575.9999999999995</v>
      </c>
      <c r="D2398" s="14">
        <f>44.6*(2/3*10)</f>
        <v>297.33333333333331</v>
      </c>
      <c r="E2398" s="14">
        <f>3186.7*(2/3*10)</f>
        <v>21244.666666666664</v>
      </c>
      <c r="F2398" s="14">
        <f>55.3*(2/3*10)</f>
        <v>368.66666666666663</v>
      </c>
      <c r="G2398" s="14">
        <f>87.2*(2/3*10)</f>
        <v>581.33333333333326</v>
      </c>
      <c r="H2398" s="14">
        <f>30.4*(2/3*10)</f>
        <v>202.66666666666663</v>
      </c>
      <c r="I2398" s="14">
        <f>71.8*(2/3*10)</f>
        <v>478.66666666666663</v>
      </c>
      <c r="K2398" s="15">
        <v>2395</v>
      </c>
      <c r="L2398">
        <f t="shared" si="37"/>
        <v>3</v>
      </c>
    </row>
    <row r="2399" spans="1:12" ht="16.5" x14ac:dyDescent="0.2">
      <c r="A2399" s="4" t="s">
        <v>47</v>
      </c>
      <c r="B2399">
        <v>2012</v>
      </c>
      <c r="C2399" s="14">
        <f>534.4*(2/3*10)</f>
        <v>3562.6666666666661</v>
      </c>
      <c r="D2399" s="14">
        <f>44.6*(2/3*10)</f>
        <v>297.33333333333331</v>
      </c>
      <c r="E2399" s="14">
        <f>3185.7*(2/3*10)</f>
        <v>21237.999999999996</v>
      </c>
      <c r="F2399" s="14">
        <f>55.9*(2/3*10)</f>
        <v>372.66666666666663</v>
      </c>
      <c r="G2399" s="14">
        <f>89.4*(2/3*10)</f>
        <v>596</v>
      </c>
      <c r="H2399" s="14">
        <f>30.5*(2/3*10)</f>
        <v>203.33333333333331</v>
      </c>
      <c r="I2399" s="14">
        <f>72.1*(2/3*10)</f>
        <v>480.66666666666657</v>
      </c>
      <c r="K2399">
        <v>2396</v>
      </c>
      <c r="L2399">
        <f t="shared" si="37"/>
        <v>4</v>
      </c>
    </row>
    <row r="2400" spans="1:12" ht="16.5" x14ac:dyDescent="0.2">
      <c r="A2400" s="4" t="s">
        <v>47</v>
      </c>
      <c r="B2400">
        <v>2013</v>
      </c>
      <c r="C2400" s="14">
        <f>534.5*(2/3*10)</f>
        <v>3563.333333333333</v>
      </c>
      <c r="D2400" s="14">
        <f>44.4*(2/3*10)</f>
        <v>295.99999999999994</v>
      </c>
      <c r="E2400" s="14">
        <f>3184.7*(2/3*10)</f>
        <v>21231.333333333328</v>
      </c>
      <c r="F2400" s="14">
        <f>55.9*(2/3*10)</f>
        <v>372.66666666666663</v>
      </c>
      <c r="G2400" s="14">
        <f>90*(2/3*10)</f>
        <v>600</v>
      </c>
      <c r="H2400" s="14">
        <f>31.2*(2/3*10)</f>
        <v>207.99999999999997</v>
      </c>
      <c r="I2400" s="14">
        <f>72*(2/3*10)</f>
        <v>479.99999999999994</v>
      </c>
      <c r="K2400">
        <v>2397</v>
      </c>
      <c r="L2400">
        <f t="shared" si="37"/>
        <v>5</v>
      </c>
    </row>
    <row r="2401" spans="1:12" ht="16.5" x14ac:dyDescent="0.2">
      <c r="A2401" s="4" t="s">
        <v>47</v>
      </c>
      <c r="B2401">
        <v>2014</v>
      </c>
      <c r="C2401" s="14">
        <f>534.6*(2/3*10)</f>
        <v>3564</v>
      </c>
      <c r="D2401" s="14">
        <f>44.2*(2/3*10)</f>
        <v>294.66666666666669</v>
      </c>
      <c r="E2401" s="14">
        <f>3184*(2/3*10)</f>
        <v>21226.666666666664</v>
      </c>
      <c r="F2401" s="14">
        <f>55.3*(2/3*10)</f>
        <v>368.66666666666663</v>
      </c>
      <c r="G2401" s="14">
        <f>90.9*(2/3*10)</f>
        <v>606</v>
      </c>
      <c r="H2401" s="14">
        <f>31.5*(2/3*10)</f>
        <v>209.99999999999997</v>
      </c>
      <c r="I2401" s="14">
        <f>72*(2/3*10)</f>
        <v>479.99999999999994</v>
      </c>
      <c r="K2401" s="15">
        <v>2398</v>
      </c>
      <c r="L2401">
        <f t="shared" si="37"/>
        <v>6</v>
      </c>
    </row>
    <row r="2402" spans="1:12" ht="16.5" x14ac:dyDescent="0.2">
      <c r="A2402" s="4" t="s">
        <v>47</v>
      </c>
      <c r="B2402">
        <v>2015</v>
      </c>
      <c r="C2402" s="14">
        <f>534.5*(2/3*10)</f>
        <v>3563.333333333333</v>
      </c>
      <c r="D2402" s="14">
        <f>44.1*(2/3*10)</f>
        <v>294</v>
      </c>
      <c r="E2402" s="14">
        <f>3183.6*(2/3*10)</f>
        <v>21223.999999999996</v>
      </c>
      <c r="F2402" s="14">
        <f>54.5*(2/3*10)</f>
        <v>363.33333333333331</v>
      </c>
      <c r="G2402" s="14">
        <f>91.8*(2/3*10)</f>
        <v>612</v>
      </c>
      <c r="H2402" s="14">
        <f>32.1*(2/3*10)</f>
        <v>214</v>
      </c>
      <c r="I2402" s="14">
        <f>71.9*(2/3*10)</f>
        <v>479.33333333333331</v>
      </c>
      <c r="K2402">
        <v>2399</v>
      </c>
      <c r="L2402">
        <f t="shared" si="37"/>
        <v>7</v>
      </c>
    </row>
    <row r="2403" spans="1:12" ht="16.5" x14ac:dyDescent="0.2">
      <c r="A2403" s="4" t="s">
        <v>47</v>
      </c>
      <c r="B2403">
        <v>2016</v>
      </c>
      <c r="C2403" s="14">
        <f>533.4*(2/3*10)</f>
        <v>3555.9999999999995</v>
      </c>
      <c r="D2403" s="14">
        <f>44*(2/3*10)</f>
        <v>293.33333333333331</v>
      </c>
      <c r="E2403" s="14">
        <f>3177.3*(2/3*10)</f>
        <v>21182</v>
      </c>
      <c r="F2403" s="14">
        <f>60.5*(2/3*10)</f>
        <v>403.33333333333331</v>
      </c>
      <c r="G2403" s="14">
        <f>92.9*(2/3*10)</f>
        <v>619.33333333333326</v>
      </c>
      <c r="H2403" s="14">
        <f>32.7*(2/3*10)</f>
        <v>218</v>
      </c>
      <c r="I2403" s="14">
        <f>71.9*(2/3*10)</f>
        <v>479.33333333333331</v>
      </c>
      <c r="K2403" s="15">
        <v>2400</v>
      </c>
      <c r="L2403">
        <f t="shared" si="37"/>
        <v>0</v>
      </c>
    </row>
    <row r="2404" spans="1:12" ht="16.5" x14ac:dyDescent="0.2">
      <c r="A2404" s="4" t="s">
        <v>46</v>
      </c>
      <c r="B2404">
        <v>2009</v>
      </c>
      <c r="C2404" s="14">
        <f>1544.6*(2/3*10)</f>
        <v>10297.333333333332</v>
      </c>
      <c r="D2404" s="14">
        <f>281.8*(2/3*10)</f>
        <v>1878.6666666666665</v>
      </c>
      <c r="E2404" s="14">
        <f>1861.5*(2/3*10)</f>
        <v>12409.999999999998</v>
      </c>
      <c r="F2404" s="14">
        <f>2196.5*(2/3*10)</f>
        <v>14643.333333333332</v>
      </c>
      <c r="G2404" s="14">
        <f>166.2*(2/3*10)</f>
        <v>1107.9999999999998</v>
      </c>
      <c r="H2404" s="14">
        <f>74.7*(2/3*10)</f>
        <v>498</v>
      </c>
      <c r="I2404" s="14">
        <f>90.5*(2/3*10)</f>
        <v>603.33333333333326</v>
      </c>
      <c r="K2404">
        <v>2401</v>
      </c>
      <c r="L2404">
        <f t="shared" si="37"/>
        <v>1</v>
      </c>
    </row>
    <row r="2405" spans="1:12" ht="16.5" x14ac:dyDescent="0.2">
      <c r="A2405" s="4" t="s">
        <v>46</v>
      </c>
      <c r="B2405">
        <v>2010</v>
      </c>
      <c r="C2405" s="14">
        <f>1546.2*(2/3*10)</f>
        <v>10308</v>
      </c>
      <c r="D2405" s="14">
        <f>280.9*(2/3*10)</f>
        <v>1872.6666666666663</v>
      </c>
      <c r="E2405" s="14">
        <f>1858.6*(2/3*10)</f>
        <v>12390.666666666664</v>
      </c>
      <c r="F2405" s="14">
        <f>2192.7*(2/3*10)</f>
        <v>14617.999999999998</v>
      </c>
      <c r="G2405" s="14">
        <f>169.4*(2/3*10)</f>
        <v>1129.333333333333</v>
      </c>
      <c r="H2405" s="14">
        <f>76.7*(2/3*10)</f>
        <v>511.33333333333331</v>
      </c>
      <c r="I2405" s="14">
        <f>90.3*(2/3*10)</f>
        <v>601.99999999999989</v>
      </c>
      <c r="K2405">
        <v>2402</v>
      </c>
      <c r="L2405">
        <f t="shared" si="37"/>
        <v>2</v>
      </c>
    </row>
    <row r="2406" spans="1:12" ht="16.5" x14ac:dyDescent="0.2">
      <c r="A2406" s="4" t="s">
        <v>46</v>
      </c>
      <c r="B2406">
        <v>2011</v>
      </c>
      <c r="C2406" s="14">
        <f>1548.4*(2/3*10)</f>
        <v>10322.666666666666</v>
      </c>
      <c r="D2406" s="14">
        <f>280.5*(2/3*10)</f>
        <v>1869.9999999999998</v>
      </c>
      <c r="E2406" s="14">
        <f>1855.9*(2/3*10)</f>
        <v>12372.666666666666</v>
      </c>
      <c r="F2406" s="14">
        <f>2191.3*(2/3*10)</f>
        <v>14608.666666666666</v>
      </c>
      <c r="G2406" s="14">
        <f>171.7*(2/3*10)</f>
        <v>1144.6666666666665</v>
      </c>
      <c r="H2406" s="14">
        <f>77*(2/3*10)</f>
        <v>513.33333333333326</v>
      </c>
      <c r="I2406" s="14">
        <f>90.2*(2/3*10)</f>
        <v>601.33333333333326</v>
      </c>
      <c r="K2406" s="15">
        <v>2403</v>
      </c>
      <c r="L2406">
        <f t="shared" si="37"/>
        <v>3</v>
      </c>
    </row>
    <row r="2407" spans="1:12" ht="16.5" x14ac:dyDescent="0.2">
      <c r="A2407" s="4" t="s">
        <v>46</v>
      </c>
      <c r="B2407">
        <v>2012</v>
      </c>
      <c r="C2407" s="14">
        <f>1550.9*(2/3*10)</f>
        <v>10339.333333333332</v>
      </c>
      <c r="D2407" s="14">
        <f>280.1*(2/3*10)</f>
        <v>1867.3333333333333</v>
      </c>
      <c r="E2407" s="14">
        <f>1848.9*(2/3*10)</f>
        <v>12326</v>
      </c>
      <c r="F2407" s="14">
        <f>2186.8*(2/3*10)</f>
        <v>14578.666666666666</v>
      </c>
      <c r="G2407" s="14">
        <f>180.3*(2/3*10)</f>
        <v>1202</v>
      </c>
      <c r="H2407" s="14">
        <f>79.4*(2/3*10)</f>
        <v>529.33333333333337</v>
      </c>
      <c r="I2407" s="14">
        <f>90.2*(2/3*10)</f>
        <v>601.33333333333326</v>
      </c>
      <c r="K2407">
        <v>2404</v>
      </c>
      <c r="L2407">
        <f t="shared" si="37"/>
        <v>4</v>
      </c>
    </row>
    <row r="2408" spans="1:12" ht="16.5" x14ac:dyDescent="0.2">
      <c r="A2408" s="4" t="s">
        <v>46</v>
      </c>
      <c r="B2408">
        <v>2013</v>
      </c>
      <c r="C2408" s="14">
        <f>1554.9*(2/3*10)</f>
        <v>10366</v>
      </c>
      <c r="D2408" s="14">
        <f>280.1*(2/3*10)</f>
        <v>1867.3333333333333</v>
      </c>
      <c r="E2408" s="14">
        <f>1845.5*(2/3*10)</f>
        <v>12303.333333333332</v>
      </c>
      <c r="F2408" s="14">
        <f>2184.2*(2/3*10)</f>
        <v>14561.33333333333</v>
      </c>
      <c r="G2408" s="14">
        <f>183.4*(2/3*10)</f>
        <v>1222.6666666666665</v>
      </c>
      <c r="H2408" s="14">
        <f>80.3*(2/3*10)</f>
        <v>535.33333333333326</v>
      </c>
      <c r="I2408" s="14">
        <f>90.1*(2/3*10)</f>
        <v>600.66666666666663</v>
      </c>
      <c r="K2408" s="15">
        <v>2405</v>
      </c>
      <c r="L2408">
        <f t="shared" si="37"/>
        <v>5</v>
      </c>
    </row>
    <row r="2409" spans="1:12" ht="16.5" x14ac:dyDescent="0.2">
      <c r="A2409" s="4" t="s">
        <v>46</v>
      </c>
      <c r="B2409">
        <v>2014</v>
      </c>
      <c r="C2409" s="14">
        <f>1567.3*(2/3*10)</f>
        <v>10448.666666666666</v>
      </c>
      <c r="D2409" s="14">
        <f>280.1*(2/3*10)</f>
        <v>1867.3333333333333</v>
      </c>
      <c r="E2409" s="14">
        <f>1842.7*(2/3*10)</f>
        <v>12284.666666666666</v>
      </c>
      <c r="F2409" s="14">
        <f>2171.5*(2/3*10)</f>
        <v>14476.666666666666</v>
      </c>
      <c r="G2409" s="14">
        <f>187.1*(2/3*10)</f>
        <v>1247.3333333333333</v>
      </c>
      <c r="H2409" s="14">
        <f>81.5*(2/3*10)</f>
        <v>543.33333333333326</v>
      </c>
      <c r="I2409" s="14">
        <f>90*(2/3*10)</f>
        <v>600</v>
      </c>
      <c r="K2409">
        <v>2406</v>
      </c>
      <c r="L2409">
        <f t="shared" si="37"/>
        <v>6</v>
      </c>
    </row>
    <row r="2410" spans="1:12" ht="16.5" x14ac:dyDescent="0.2">
      <c r="A2410" s="4" t="s">
        <v>46</v>
      </c>
      <c r="B2410">
        <v>2015</v>
      </c>
      <c r="C2410" s="14">
        <f>1570.5*(2/3*10)</f>
        <v>10469.999999999998</v>
      </c>
      <c r="D2410" s="14">
        <f>279.9*(2/3*10)</f>
        <v>1865.9999999999998</v>
      </c>
      <c r="E2410" s="14">
        <f>1840.4*(2/3*10)</f>
        <v>12269.333333333332</v>
      </c>
      <c r="F2410" s="14">
        <f>2167.8*(2/3*10)</f>
        <v>14452</v>
      </c>
      <c r="G2410" s="14">
        <f>189.5*(2/3*10)</f>
        <v>1263.3333333333333</v>
      </c>
      <c r="H2410" s="14">
        <f>83.3*(2/3*10)</f>
        <v>555.33333333333326</v>
      </c>
      <c r="I2410" s="14">
        <f>89.9*(2/3*10)</f>
        <v>599.33333333333337</v>
      </c>
      <c r="K2410">
        <v>2407</v>
      </c>
      <c r="L2410">
        <f t="shared" si="37"/>
        <v>7</v>
      </c>
    </row>
    <row r="2411" spans="1:12" ht="16.5" x14ac:dyDescent="0.2">
      <c r="A2411" s="4" t="s">
        <v>46</v>
      </c>
      <c r="B2411">
        <v>2016</v>
      </c>
      <c r="C2411" s="14">
        <f>1569.8*(2/3*10)</f>
        <v>10465.333333333332</v>
      </c>
      <c r="D2411" s="14">
        <f>279.9*(2/3*10)</f>
        <v>1865.9999999999998</v>
      </c>
      <c r="E2411" s="14">
        <f>1832.9*(2/3*10)</f>
        <v>12219.333333333332</v>
      </c>
      <c r="F2411" s="14">
        <f>2172.9*(2/3*10)</f>
        <v>14486</v>
      </c>
      <c r="G2411" s="14">
        <f>191.5*(2/3*10)</f>
        <v>1276.6666666666665</v>
      </c>
      <c r="H2411" s="14">
        <f>84.6*(2/3*10)</f>
        <v>563.99999999999989</v>
      </c>
      <c r="I2411" s="14">
        <f>89.8*(2/3*10)</f>
        <v>598.66666666666663</v>
      </c>
      <c r="K2411" s="15">
        <v>2408</v>
      </c>
      <c r="L2411">
        <f t="shared" si="37"/>
        <v>0</v>
      </c>
    </row>
    <row r="2412" spans="1:12" ht="16.5" x14ac:dyDescent="0.2">
      <c r="A2412" s="4" t="s">
        <v>45</v>
      </c>
      <c r="B2412">
        <v>2009</v>
      </c>
      <c r="C2412" s="14">
        <f>512.7*(2/3*10)</f>
        <v>3418</v>
      </c>
      <c r="D2412" s="14">
        <f>27.2*(2/3*10)</f>
        <v>181.33333333333331</v>
      </c>
      <c r="E2412" s="14">
        <f>2761.7*(2/3*10)</f>
        <v>18411.333333333332</v>
      </c>
      <c r="F2412" s="14">
        <f>42.3*(2/3*10)</f>
        <v>281.99999999999994</v>
      </c>
      <c r="G2412" s="14">
        <f>50.8*(2/3*10)</f>
        <v>338.66666666666663</v>
      </c>
      <c r="H2412" s="14">
        <f>21.4*(2/3*10)</f>
        <v>142.66666666666666</v>
      </c>
      <c r="I2412" s="14">
        <f>53.6*(2/3*10)</f>
        <v>357.33333333333331</v>
      </c>
      <c r="K2412">
        <v>2409</v>
      </c>
      <c r="L2412">
        <f t="shared" si="37"/>
        <v>1</v>
      </c>
    </row>
    <row r="2413" spans="1:12" ht="16.5" x14ac:dyDescent="0.2">
      <c r="A2413" s="4" t="s">
        <v>45</v>
      </c>
      <c r="B2413">
        <v>2010</v>
      </c>
      <c r="C2413" s="14">
        <f>512.9*(2/3*10)</f>
        <v>3419.333333333333</v>
      </c>
      <c r="D2413" s="14">
        <f>26.9*(2/3*10)</f>
        <v>179.33333333333331</v>
      </c>
      <c r="E2413" s="14">
        <f>2760.9*(2/3*10)</f>
        <v>18406</v>
      </c>
      <c r="F2413" s="14">
        <f>42.1*(2/3*10)</f>
        <v>280.66666666666663</v>
      </c>
      <c r="G2413" s="14">
        <f>51.3*(2/3*10)</f>
        <v>342</v>
      </c>
      <c r="H2413" s="14">
        <f>21.6*(2/3*10)</f>
        <v>144</v>
      </c>
      <c r="I2413" s="14">
        <f>53.7*(2/3*10)</f>
        <v>358</v>
      </c>
      <c r="K2413" s="15">
        <v>2410</v>
      </c>
      <c r="L2413">
        <f t="shared" si="37"/>
        <v>2</v>
      </c>
    </row>
    <row r="2414" spans="1:12" ht="16.5" x14ac:dyDescent="0.2">
      <c r="A2414" s="4" t="s">
        <v>45</v>
      </c>
      <c r="B2414">
        <v>2011</v>
      </c>
      <c r="C2414" s="14">
        <f>512.7*(2/3*10)</f>
        <v>3418</v>
      </c>
      <c r="D2414" s="14">
        <f>26.5*(2/3*10)</f>
        <v>176.66666666666666</v>
      </c>
      <c r="E2414" s="14">
        <f>2760.3*(2/3*10)</f>
        <v>18402</v>
      </c>
      <c r="F2414" s="14">
        <f>41.9*(2/3*10)</f>
        <v>279.33333333333331</v>
      </c>
      <c r="G2414" s="14">
        <f>52.2*(2/3*10)</f>
        <v>348</v>
      </c>
      <c r="H2414" s="14">
        <f>21.8*(2/3*10)</f>
        <v>145.33333333333331</v>
      </c>
      <c r="I2414" s="14">
        <f>53.8*(2/3*10)</f>
        <v>358.66666666666663</v>
      </c>
      <c r="K2414">
        <v>2411</v>
      </c>
      <c r="L2414">
        <f t="shared" si="37"/>
        <v>3</v>
      </c>
    </row>
    <row r="2415" spans="1:12" ht="16.5" x14ac:dyDescent="0.2">
      <c r="A2415" s="4" t="s">
        <v>45</v>
      </c>
      <c r="B2415">
        <v>2012</v>
      </c>
      <c r="C2415" s="14">
        <f>512.6*(2/3*10)</f>
        <v>3417.333333333333</v>
      </c>
      <c r="D2415" s="14">
        <f>24.5*(2/3*10)</f>
        <v>163.33333333333331</v>
      </c>
      <c r="E2415" s="14">
        <f>2759.4*(2/3*10)</f>
        <v>18396</v>
      </c>
      <c r="F2415" s="14">
        <f>42.8*(2/3*10)</f>
        <v>285.33333333333331</v>
      </c>
      <c r="G2415" s="14">
        <f>54.2*(2/3*10)</f>
        <v>361.33333333333326</v>
      </c>
      <c r="H2415" s="14">
        <f>21.8*(2/3*10)</f>
        <v>145.33333333333331</v>
      </c>
      <c r="I2415" s="14">
        <f>53.8*(2/3*10)</f>
        <v>358.66666666666663</v>
      </c>
      <c r="K2415">
        <v>2412</v>
      </c>
      <c r="L2415">
        <f t="shared" si="37"/>
        <v>4</v>
      </c>
    </row>
    <row r="2416" spans="1:12" ht="16.5" x14ac:dyDescent="0.2">
      <c r="A2416" s="4" t="s">
        <v>45</v>
      </c>
      <c r="B2416">
        <v>2013</v>
      </c>
      <c r="C2416" s="14">
        <f>512.7*(2/3*10)</f>
        <v>3418</v>
      </c>
      <c r="D2416" s="14">
        <f>25*(2/3*10)</f>
        <v>166.66666666666666</v>
      </c>
      <c r="E2416" s="14">
        <f>2758.9*(2/3*10)</f>
        <v>18392.666666666664</v>
      </c>
      <c r="F2416" s="14">
        <f>42*(2/3*10)</f>
        <v>280</v>
      </c>
      <c r="G2416" s="14">
        <f>55*(2/3*10)</f>
        <v>366.66666666666663</v>
      </c>
      <c r="H2416" s="14">
        <f>21.8*(2/3*10)</f>
        <v>145.33333333333331</v>
      </c>
      <c r="I2416" s="14">
        <f>53.7*(2/3*10)</f>
        <v>358</v>
      </c>
      <c r="K2416" s="15">
        <v>2413</v>
      </c>
      <c r="L2416">
        <f t="shared" si="37"/>
        <v>5</v>
      </c>
    </row>
    <row r="2417" spans="1:12" ht="16.5" x14ac:dyDescent="0.2">
      <c r="A2417" s="4" t="s">
        <v>45</v>
      </c>
      <c r="B2417">
        <v>2014</v>
      </c>
      <c r="C2417" s="14">
        <f>512.2*(2/3*10)</f>
        <v>3414.6666666666665</v>
      </c>
      <c r="D2417" s="14">
        <f>24.8*(2/3*10)</f>
        <v>165.33333333333331</v>
      </c>
      <c r="E2417" s="14">
        <f>2758.5*(2/3*10)</f>
        <v>18390</v>
      </c>
      <c r="F2417" s="14">
        <f>41.8*(2/3*10)</f>
        <v>278.66666666666663</v>
      </c>
      <c r="G2417" s="14">
        <f>55.7*(2/3*10)</f>
        <v>371.33333333333326</v>
      </c>
      <c r="H2417" s="14">
        <f>22.4*(2/3*10)</f>
        <v>149.33333333333331</v>
      </c>
      <c r="I2417" s="14">
        <f>53.6*(2/3*10)</f>
        <v>357.33333333333331</v>
      </c>
      <c r="K2417">
        <v>2414</v>
      </c>
      <c r="L2417">
        <f t="shared" si="37"/>
        <v>6</v>
      </c>
    </row>
    <row r="2418" spans="1:12" ht="16.5" x14ac:dyDescent="0.2">
      <c r="A2418" s="4" t="s">
        <v>45</v>
      </c>
      <c r="B2418">
        <v>2015</v>
      </c>
      <c r="C2418" s="14">
        <f>512.4*(2/3*10)</f>
        <v>3415.9999999999995</v>
      </c>
      <c r="D2418" s="14">
        <f>24.7*(2/3*10)</f>
        <v>164.66666666666666</v>
      </c>
      <c r="E2418" s="14">
        <f>2758.3*(2/3*10)</f>
        <v>18388.666666666668</v>
      </c>
      <c r="F2418" s="14">
        <f>41.4*(2/3*10)</f>
        <v>275.99999999999994</v>
      </c>
      <c r="G2418" s="14">
        <f>56.2*(2/3*10)</f>
        <v>374.66666666666663</v>
      </c>
      <c r="H2418" s="14">
        <f>22.4*(2/3*10)</f>
        <v>149.33333333333331</v>
      </c>
      <c r="I2418" s="14">
        <f>53.6*(2/3*10)</f>
        <v>357.33333333333331</v>
      </c>
      <c r="K2418" s="15">
        <v>2415</v>
      </c>
      <c r="L2418">
        <f t="shared" si="37"/>
        <v>7</v>
      </c>
    </row>
    <row r="2419" spans="1:12" ht="16.5" x14ac:dyDescent="0.2">
      <c r="A2419" s="4" t="s">
        <v>45</v>
      </c>
      <c r="B2419">
        <v>2016</v>
      </c>
      <c r="C2419" s="14">
        <f>512.2*(2/3*10)</f>
        <v>3414.6666666666665</v>
      </c>
      <c r="D2419" s="14">
        <f>24.6*(2/3*10)</f>
        <v>164</v>
      </c>
      <c r="E2419" s="14">
        <f>2748.6*(2/3*10)</f>
        <v>18323.999999999996</v>
      </c>
      <c r="F2419" s="14">
        <f>50.7*(2/3*10)</f>
        <v>338</v>
      </c>
      <c r="G2419" s="14">
        <f>56.7*(2/3*10)</f>
        <v>378</v>
      </c>
      <c r="H2419" s="14">
        <f>22.5*(2/3*10)</f>
        <v>150</v>
      </c>
      <c r="I2419" s="14">
        <f>53.5*(2/3*10)</f>
        <v>356.66666666666663</v>
      </c>
      <c r="K2419">
        <v>2416</v>
      </c>
      <c r="L2419">
        <f t="shared" si="37"/>
        <v>0</v>
      </c>
    </row>
    <row r="2420" spans="1:12" ht="16.5" x14ac:dyDescent="0.2">
      <c r="A2420" s="4" t="s">
        <v>44</v>
      </c>
      <c r="B2420">
        <v>2009</v>
      </c>
      <c r="C2420" s="14">
        <f>306.7*(2/3*10)</f>
        <v>2044.6666666666665</v>
      </c>
      <c r="D2420" s="14">
        <f>24.2*(2/3*10)</f>
        <v>161.33333333333331</v>
      </c>
      <c r="E2420" s="14">
        <f>2376.6*(2/3*10)</f>
        <v>15843.999999999998</v>
      </c>
      <c r="F2420" s="14">
        <f>85.7*(2/3*10)</f>
        <v>571.33333333333326</v>
      </c>
      <c r="G2420" s="14">
        <f>52*(2/3*10)</f>
        <v>346.66666666666663</v>
      </c>
      <c r="H2420" s="14">
        <f>18.3*(2/3*10)</f>
        <v>122</v>
      </c>
      <c r="I2420" s="14">
        <f>37.1*(2/3*10)</f>
        <v>247.33333333333331</v>
      </c>
      <c r="K2420">
        <v>2417</v>
      </c>
      <c r="L2420">
        <f t="shared" si="37"/>
        <v>1</v>
      </c>
    </row>
    <row r="2421" spans="1:12" ht="16.5" x14ac:dyDescent="0.2">
      <c r="A2421" s="4" t="s">
        <v>44</v>
      </c>
      <c r="B2421">
        <v>2010</v>
      </c>
      <c r="C2421" s="14">
        <f>305.3*(2/3*10)</f>
        <v>2035.3333333333333</v>
      </c>
      <c r="D2421" s="14">
        <f>24.2*(2/3*10)</f>
        <v>161.33333333333331</v>
      </c>
      <c r="E2421" s="14">
        <f>2376.3*(2/3*10)</f>
        <v>15842</v>
      </c>
      <c r="F2421" s="14">
        <f>85.6*(2/3*10)</f>
        <v>570.66666666666663</v>
      </c>
      <c r="G2421" s="14">
        <f>52.6*(2/3*10)</f>
        <v>350.66666666666663</v>
      </c>
      <c r="H2421" s="14">
        <f>18.4*(2/3*10)</f>
        <v>122.66666666666664</v>
      </c>
      <c r="I2421" s="14">
        <f>38.1*(2/3*10)</f>
        <v>254</v>
      </c>
      <c r="K2421" s="15">
        <v>2418</v>
      </c>
      <c r="L2421">
        <f t="shared" si="37"/>
        <v>2</v>
      </c>
    </row>
    <row r="2422" spans="1:12" ht="16.5" x14ac:dyDescent="0.2">
      <c r="A2422" s="4" t="s">
        <v>44</v>
      </c>
      <c r="B2422">
        <v>2011</v>
      </c>
      <c r="C2422" s="14">
        <f>304.6*(2/3*10)</f>
        <v>2030.6666666666667</v>
      </c>
      <c r="D2422" s="14">
        <f>24*(2/3*10)</f>
        <v>160</v>
      </c>
      <c r="E2422" s="14">
        <f>2376.1*(2/3*10)</f>
        <v>15840.666666666664</v>
      </c>
      <c r="F2422" s="14">
        <f>85.4*(2/3*10)</f>
        <v>569.33333333333337</v>
      </c>
      <c r="G2422" s="14">
        <f>53.2*(2/3*10)</f>
        <v>354.66666666666663</v>
      </c>
      <c r="H2422" s="14">
        <f>18.6*(2/3*10)</f>
        <v>124</v>
      </c>
      <c r="I2422" s="14">
        <f>38.3*(2/3*10)</f>
        <v>255.33333333333329</v>
      </c>
      <c r="K2422">
        <v>2419</v>
      </c>
      <c r="L2422">
        <f t="shared" si="37"/>
        <v>3</v>
      </c>
    </row>
    <row r="2423" spans="1:12" ht="16.5" x14ac:dyDescent="0.2">
      <c r="A2423" s="4" t="s">
        <v>44</v>
      </c>
      <c r="B2423">
        <v>2012</v>
      </c>
      <c r="C2423" s="14">
        <f>303.6*(2/3*10)</f>
        <v>2024</v>
      </c>
      <c r="D2423" s="14">
        <f>23.6*(2/3*10)</f>
        <v>157.33333333333334</v>
      </c>
      <c r="E2423" s="14">
        <f>2375.9*(2/3*10)</f>
        <v>15839.333333333332</v>
      </c>
      <c r="F2423" s="14">
        <f>85.4*(2/3*10)</f>
        <v>569.33333333333337</v>
      </c>
      <c r="G2423" s="14">
        <f>54.6*(2/3*10)</f>
        <v>363.99999999999994</v>
      </c>
      <c r="H2423" s="14">
        <f>18.6*(2/3*10)</f>
        <v>124</v>
      </c>
      <c r="I2423" s="14">
        <f>38.5*(2/3*10)</f>
        <v>256.66666666666663</v>
      </c>
      <c r="K2423" s="15">
        <v>2420</v>
      </c>
      <c r="L2423">
        <f t="shared" si="37"/>
        <v>4</v>
      </c>
    </row>
    <row r="2424" spans="1:12" ht="16.5" x14ac:dyDescent="0.2">
      <c r="A2424" s="4" t="s">
        <v>44</v>
      </c>
      <c r="B2424">
        <v>2013</v>
      </c>
      <c r="C2424" s="14">
        <f>302.5*(2/3*10)</f>
        <v>2016.6666666666665</v>
      </c>
      <c r="D2424" s="14">
        <f>23.5*(2/3*10)</f>
        <v>156.66666666666666</v>
      </c>
      <c r="E2424" s="14">
        <f>2375.6*(2/3*10)</f>
        <v>15837.333333333332</v>
      </c>
      <c r="F2424" s="14">
        <f>85.5*(2/3*10)</f>
        <v>570</v>
      </c>
      <c r="G2424" s="14">
        <f>55.8*(2/3*10)</f>
        <v>371.99999999999994</v>
      </c>
      <c r="H2424" s="14">
        <f>18.9*(2/3*10)</f>
        <v>125.99999999999999</v>
      </c>
      <c r="I2424" s="14">
        <f>38.4*(2/3*10)</f>
        <v>255.99999999999997</v>
      </c>
      <c r="K2424">
        <v>2421</v>
      </c>
      <c r="L2424">
        <f t="shared" si="37"/>
        <v>5</v>
      </c>
    </row>
    <row r="2425" spans="1:12" ht="16.5" x14ac:dyDescent="0.2">
      <c r="A2425" s="4" t="s">
        <v>44</v>
      </c>
      <c r="B2425">
        <v>2014</v>
      </c>
      <c r="C2425" s="14">
        <f>302.1*(2/3*10)</f>
        <v>2014</v>
      </c>
      <c r="D2425" s="14">
        <f>23.5*(2/3*10)</f>
        <v>156.66666666666666</v>
      </c>
      <c r="E2425" s="14">
        <f>2375.5*(2/3*10)</f>
        <v>15836.666666666666</v>
      </c>
      <c r="F2425" s="14">
        <f>85.4*(2/3*10)</f>
        <v>569.33333333333337</v>
      </c>
      <c r="G2425" s="14">
        <f>56.5*(2/3*10)</f>
        <v>376.66666666666669</v>
      </c>
      <c r="H2425" s="14">
        <f>19.1*(2/3*10)</f>
        <v>127.33333333333333</v>
      </c>
      <c r="I2425" s="14">
        <f>38*(2/3*10)</f>
        <v>253.33333333333331</v>
      </c>
      <c r="K2425">
        <v>2422</v>
      </c>
      <c r="L2425">
        <f t="shared" si="37"/>
        <v>6</v>
      </c>
    </row>
    <row r="2426" spans="1:12" ht="16.5" x14ac:dyDescent="0.2">
      <c r="A2426" s="4" t="s">
        <v>44</v>
      </c>
      <c r="B2426">
        <v>2015</v>
      </c>
      <c r="C2426" s="14">
        <f>301.8*(2/3*10)</f>
        <v>2012</v>
      </c>
      <c r="D2426" s="14">
        <f>23.5*(2/3*10)</f>
        <v>156.66666666666666</v>
      </c>
      <c r="E2426" s="14">
        <f>2375.4*(2/3*10)</f>
        <v>15836</v>
      </c>
      <c r="F2426" s="14">
        <f>85.4*(2/3*10)</f>
        <v>569.33333333333337</v>
      </c>
      <c r="G2426" s="14">
        <f>57*(2/3*10)</f>
        <v>379.99999999999994</v>
      </c>
      <c r="H2426" s="14">
        <f>19.2*(2/3*10)</f>
        <v>127.99999999999999</v>
      </c>
      <c r="I2426" s="14">
        <f>37.9*(2/3*10)</f>
        <v>252.66666666666663</v>
      </c>
      <c r="K2426" s="15">
        <v>2423</v>
      </c>
      <c r="L2426">
        <f t="shared" si="37"/>
        <v>7</v>
      </c>
    </row>
    <row r="2427" spans="1:12" ht="16.5" x14ac:dyDescent="0.2">
      <c r="A2427" s="4" t="s">
        <v>44</v>
      </c>
      <c r="B2427">
        <v>2016</v>
      </c>
      <c r="C2427" s="14">
        <f>301*(2/3*10)</f>
        <v>2006.6666666666665</v>
      </c>
      <c r="D2427" s="14">
        <f>23.5*(2/3*10)</f>
        <v>156.66666666666666</v>
      </c>
      <c r="E2427" s="14">
        <f>2374.5*(2/3*10)</f>
        <v>15829.999999999998</v>
      </c>
      <c r="F2427" s="14">
        <f>86.2*(2/3*10)</f>
        <v>574.66666666666663</v>
      </c>
      <c r="G2427" s="14">
        <f>57.6*(2/3*10)</f>
        <v>384</v>
      </c>
      <c r="H2427" s="14">
        <f>19.3*(2/3*10)</f>
        <v>128.66666666666666</v>
      </c>
      <c r="I2427" s="14">
        <f>38*(2/3*10)</f>
        <v>253.33333333333331</v>
      </c>
      <c r="K2427">
        <v>2424</v>
      </c>
      <c r="L2427">
        <f t="shared" si="37"/>
        <v>0</v>
      </c>
    </row>
    <row r="2428" spans="1:12" ht="16.5" x14ac:dyDescent="0.2">
      <c r="A2428" s="4" t="s">
        <v>43</v>
      </c>
      <c r="B2428">
        <v>2009</v>
      </c>
      <c r="C2428" s="14">
        <f>434.5*(2/3*10)</f>
        <v>2896.6666666666665</v>
      </c>
      <c r="D2428" s="14">
        <f>15.6*(2/3*10)</f>
        <v>103.99999999999999</v>
      </c>
      <c r="E2428" s="14">
        <f>159.4*(2/3*10)</f>
        <v>1062.6666666666665</v>
      </c>
      <c r="F2428" s="14">
        <f>1148.6*(2/3*10)</f>
        <v>7657.3333333333321</v>
      </c>
      <c r="G2428" s="14">
        <f>82.4*(2/3*10)</f>
        <v>549.33333333333326</v>
      </c>
      <c r="H2428" s="14">
        <f>25.3*(2/3*10)</f>
        <v>168.66666666666666</v>
      </c>
      <c r="I2428" s="14">
        <f>18.6*(2/3*10)</f>
        <v>124</v>
      </c>
      <c r="K2428" s="15">
        <v>2425</v>
      </c>
      <c r="L2428">
        <f t="shared" si="37"/>
        <v>1</v>
      </c>
    </row>
    <row r="2429" spans="1:12" ht="16.5" x14ac:dyDescent="0.2">
      <c r="A2429" s="4" t="s">
        <v>43</v>
      </c>
      <c r="B2429">
        <v>2010</v>
      </c>
      <c r="C2429" s="14">
        <f>433.9*(2/3*10)</f>
        <v>2892.6666666666661</v>
      </c>
      <c r="D2429" s="14">
        <f>15.4*(2/3*10)</f>
        <v>102.66666666666666</v>
      </c>
      <c r="E2429" s="14">
        <f>159.3*(2/3*10)</f>
        <v>1062</v>
      </c>
      <c r="F2429" s="14">
        <f>1147.9*(2/3*10)</f>
        <v>7652.666666666667</v>
      </c>
      <c r="G2429" s="14">
        <f>83.6*(2/3*10)</f>
        <v>557.33333333333337</v>
      </c>
      <c r="H2429" s="14">
        <f>25.6*(2/3*10)</f>
        <v>170.66666666666666</v>
      </c>
      <c r="I2429" s="14">
        <f>18.6*(2/3*10)</f>
        <v>124</v>
      </c>
      <c r="K2429">
        <v>2426</v>
      </c>
      <c r="L2429">
        <f t="shared" si="37"/>
        <v>2</v>
      </c>
    </row>
    <row r="2430" spans="1:12" ht="16.5" x14ac:dyDescent="0.2">
      <c r="A2430" s="4" t="s">
        <v>43</v>
      </c>
      <c r="B2430">
        <v>2011</v>
      </c>
      <c r="C2430" s="14">
        <f>433.4*(2/3*10)</f>
        <v>2889.333333333333</v>
      </c>
      <c r="D2430" s="14">
        <f>15.1*(2/3*10)</f>
        <v>100.66666666666666</v>
      </c>
      <c r="E2430" s="14">
        <f>159.2*(2/3*10)</f>
        <v>1061.3333333333333</v>
      </c>
      <c r="F2430" s="14">
        <f>1145.8*(2/3*10)</f>
        <v>7638.6666666666661</v>
      </c>
      <c r="G2430" s="14">
        <f>86.6*(2/3*10)</f>
        <v>577.33333333333337</v>
      </c>
      <c r="H2430" s="14">
        <f>25.8*(2/3*10)</f>
        <v>172</v>
      </c>
      <c r="I2430" s="14">
        <f>18.5*(2/3*10)</f>
        <v>123.33333333333333</v>
      </c>
      <c r="K2430">
        <v>2427</v>
      </c>
      <c r="L2430">
        <f t="shared" si="37"/>
        <v>3</v>
      </c>
    </row>
    <row r="2431" spans="1:12" ht="16.5" x14ac:dyDescent="0.2">
      <c r="A2431" s="4" t="s">
        <v>43</v>
      </c>
      <c r="B2431">
        <v>2012</v>
      </c>
      <c r="C2431" s="14">
        <f>432.2*(2/3*10)</f>
        <v>2881.333333333333</v>
      </c>
      <c r="D2431" s="14">
        <f>14.8*(2/3*10)</f>
        <v>98.666666666666657</v>
      </c>
      <c r="E2431" s="14">
        <f>159.1*(2/3*10)</f>
        <v>1060.6666666666665</v>
      </c>
      <c r="F2431" s="14">
        <f>1145.2*(2/3*10)</f>
        <v>7634.6666666666661</v>
      </c>
      <c r="G2431" s="14">
        <f>88.7*(2/3*10)</f>
        <v>591.33333333333326</v>
      </c>
      <c r="H2431" s="14">
        <f>26.2*(2/3*10)</f>
        <v>174.66666666666666</v>
      </c>
      <c r="I2431" s="14">
        <f>18.5*(2/3*10)</f>
        <v>123.33333333333333</v>
      </c>
      <c r="K2431" s="15">
        <v>2428</v>
      </c>
      <c r="L2431">
        <f t="shared" si="37"/>
        <v>4</v>
      </c>
    </row>
    <row r="2432" spans="1:12" ht="16.5" x14ac:dyDescent="0.2">
      <c r="A2432" s="4" t="s">
        <v>43</v>
      </c>
      <c r="B2432">
        <v>2013</v>
      </c>
      <c r="C2432" s="14">
        <f>428.4*(2/3*10)</f>
        <v>2855.9999999999995</v>
      </c>
      <c r="D2432" s="14">
        <f>14.3*(2/3*10)</f>
        <v>95.333333333333329</v>
      </c>
      <c r="E2432" s="14">
        <f>158.8*(2/3*10)</f>
        <v>1058.6666666666667</v>
      </c>
      <c r="F2432" s="14">
        <f>1143.4*(2/3*10)</f>
        <v>7622.666666666667</v>
      </c>
      <c r="G2432" s="14">
        <f>95.1*(2/3*10)</f>
        <v>634</v>
      </c>
      <c r="H2432" s="14">
        <f>26.4*(2/3*10)</f>
        <v>175.99999999999997</v>
      </c>
      <c r="I2432" s="14">
        <f>18.4*(2/3*10)</f>
        <v>122.66666666666664</v>
      </c>
      <c r="K2432">
        <v>2429</v>
      </c>
      <c r="L2432">
        <f t="shared" ref="L2432:L2495" si="38">MOD(K2432,8)</f>
        <v>5</v>
      </c>
    </row>
    <row r="2433" spans="1:12" ht="16.5" x14ac:dyDescent="0.2">
      <c r="A2433" s="4" t="s">
        <v>43</v>
      </c>
      <c r="B2433">
        <v>2014</v>
      </c>
      <c r="C2433" s="14">
        <f>426.2*(2/3*10)</f>
        <v>2841.333333333333</v>
      </c>
      <c r="D2433" s="14">
        <f>14*(2/3*10)</f>
        <v>93.333333333333329</v>
      </c>
      <c r="E2433" s="14">
        <f>158.6*(2/3*10)</f>
        <v>1057.3333333333333</v>
      </c>
      <c r="F2433" s="14">
        <f>1141.8*(2/3*10)</f>
        <v>7611.9999999999991</v>
      </c>
      <c r="G2433" s="14">
        <f>97.6*(2/3*10)</f>
        <v>650.66666666666652</v>
      </c>
      <c r="H2433" s="14">
        <f>28.1*(2/3*10)</f>
        <v>187.33333333333331</v>
      </c>
      <c r="I2433" s="14">
        <f>18.3*(2/3*10)</f>
        <v>122</v>
      </c>
      <c r="K2433" s="15">
        <v>2430</v>
      </c>
      <c r="L2433">
        <f t="shared" si="38"/>
        <v>6</v>
      </c>
    </row>
    <row r="2434" spans="1:12" ht="16.5" x14ac:dyDescent="0.2">
      <c r="A2434" s="4" t="s">
        <v>43</v>
      </c>
      <c r="B2434">
        <v>2015</v>
      </c>
      <c r="C2434" s="14">
        <f>424.3*(2/3*10)</f>
        <v>2828.6666666666665</v>
      </c>
      <c r="D2434" s="14">
        <f>13.8*(2/3*10)</f>
        <v>92</v>
      </c>
      <c r="E2434" s="14">
        <f>158.5*(2/3*10)</f>
        <v>1056.6666666666665</v>
      </c>
      <c r="F2434" s="14">
        <f>1140.5*(2/3*10)</f>
        <v>7603.333333333333</v>
      </c>
      <c r="G2434" s="14">
        <f>100.4*(2/3*10)</f>
        <v>669.33333333333326</v>
      </c>
      <c r="H2434" s="14">
        <f>28.9*(2/3*10)</f>
        <v>192.66666666666663</v>
      </c>
      <c r="I2434" s="14">
        <f>18.3*(2/3*10)</f>
        <v>122</v>
      </c>
      <c r="K2434">
        <v>2431</v>
      </c>
      <c r="L2434">
        <f t="shared" si="38"/>
        <v>7</v>
      </c>
    </row>
    <row r="2435" spans="1:12" ht="16.5" x14ac:dyDescent="0.2">
      <c r="A2435" s="4" t="s">
        <v>43</v>
      </c>
      <c r="B2435">
        <v>2016</v>
      </c>
      <c r="C2435" s="14">
        <f>422.3*(2/3*10)</f>
        <v>2815.333333333333</v>
      </c>
      <c r="D2435" s="14">
        <f>13.6*(2/3*10)</f>
        <v>90.666666666666657</v>
      </c>
      <c r="E2435" s="14">
        <f>158.3*(2/3*10)</f>
        <v>1055.3333333333333</v>
      </c>
      <c r="F2435" s="14">
        <f>1139.3*(2/3*10)</f>
        <v>7595.3333333333321</v>
      </c>
      <c r="G2435" s="14">
        <f>104*(2/3*10)</f>
        <v>693.33333333333326</v>
      </c>
      <c r="H2435" s="14">
        <f>29*(2/3*10)</f>
        <v>193.33333333333331</v>
      </c>
      <c r="I2435" s="14">
        <f>18.3*(2/3*10)</f>
        <v>122</v>
      </c>
      <c r="K2435">
        <v>2432</v>
      </c>
      <c r="L2435">
        <f t="shared" si="38"/>
        <v>0</v>
      </c>
    </row>
    <row r="2436" spans="1:12" ht="16.5" x14ac:dyDescent="0.2">
      <c r="A2436" s="4" t="s">
        <v>42</v>
      </c>
      <c r="B2436">
        <v>2009</v>
      </c>
      <c r="C2436" s="14">
        <f>10*(2/3*10)</f>
        <v>66.666666666666657</v>
      </c>
      <c r="D2436" s="14">
        <f>4.4*(2/3*10)</f>
        <v>29.333333333333332</v>
      </c>
      <c r="E2436" s="14">
        <f>1.5*(2/3*10)</f>
        <v>10</v>
      </c>
      <c r="F2436" s="14">
        <f>11.1*(2/3*10)</f>
        <v>73.999999999999986</v>
      </c>
      <c r="G2436" s="14">
        <f>13.4*(2/3*10)</f>
        <v>89.333333333333329</v>
      </c>
      <c r="H2436" s="14">
        <f>2.5*(2/3*10)</f>
        <v>16.666666666666664</v>
      </c>
      <c r="I2436" s="14">
        <f>2.4*(2/3*10)</f>
        <v>15.999999999999998</v>
      </c>
      <c r="K2436" s="15">
        <v>2433</v>
      </c>
      <c r="L2436">
        <f t="shared" si="38"/>
        <v>1</v>
      </c>
    </row>
    <row r="2437" spans="1:12" ht="16.5" x14ac:dyDescent="0.2">
      <c r="A2437" s="4" t="s">
        <v>42</v>
      </c>
      <c r="B2437">
        <v>2010</v>
      </c>
      <c r="C2437" s="14">
        <f>10.1*(2/3*10)</f>
        <v>67.333333333333329</v>
      </c>
      <c r="D2437" s="14">
        <f>4.4*(2/3*10)</f>
        <v>29.333333333333332</v>
      </c>
      <c r="E2437" s="14">
        <f>1.5*(2/3*10)</f>
        <v>10</v>
      </c>
      <c r="F2437" s="14">
        <f>11.1*(2/3*10)</f>
        <v>73.999999999999986</v>
      </c>
      <c r="G2437" s="14">
        <f>14*(2/3*10)</f>
        <v>93.333333333333343</v>
      </c>
      <c r="H2437" s="14">
        <f>2.6*(2/3*10)</f>
        <v>17.333333333333332</v>
      </c>
      <c r="I2437" s="14">
        <f>2.4*(2/3*10)</f>
        <v>15.999999999999998</v>
      </c>
      <c r="K2437">
        <v>2434</v>
      </c>
      <c r="L2437">
        <f t="shared" si="38"/>
        <v>2</v>
      </c>
    </row>
    <row r="2438" spans="1:12" ht="16.5" x14ac:dyDescent="0.2">
      <c r="A2438" s="4" t="s">
        <v>42</v>
      </c>
      <c r="B2438">
        <v>2011</v>
      </c>
      <c r="C2438" s="14">
        <f>10.2*(2/3*10)</f>
        <v>67.999999999999986</v>
      </c>
      <c r="D2438" s="14">
        <f>4.4*(2/3*10)</f>
        <v>29.333333333333332</v>
      </c>
      <c r="E2438" s="14">
        <f>1.5*(2/3*10)</f>
        <v>10</v>
      </c>
      <c r="F2438" s="14">
        <f>11.1*(2/3*10)</f>
        <v>73.999999999999986</v>
      </c>
      <c r="G2438" s="14">
        <f>14.2*(2/3*10)</f>
        <v>94.666666666666671</v>
      </c>
      <c r="H2438" s="14">
        <f>2.7*(2/3*10)</f>
        <v>18</v>
      </c>
      <c r="I2438" s="14">
        <f>2.4*(2/3*10)</f>
        <v>15.999999999999998</v>
      </c>
      <c r="K2438" s="15">
        <v>2435</v>
      </c>
      <c r="L2438">
        <f t="shared" si="38"/>
        <v>3</v>
      </c>
    </row>
    <row r="2439" spans="1:12" ht="16.5" x14ac:dyDescent="0.2">
      <c r="A2439" s="4" t="s">
        <v>42</v>
      </c>
      <c r="B2439">
        <v>2012</v>
      </c>
      <c r="C2439" s="14">
        <f>10.2*(2/3*10)</f>
        <v>67.999999999999986</v>
      </c>
      <c r="D2439" s="14">
        <f>4.4*(2/3*10)</f>
        <v>29.333333333333332</v>
      </c>
      <c r="E2439" s="14">
        <f>1.6*(2/3*10)</f>
        <v>10.666666666666666</v>
      </c>
      <c r="F2439" s="14">
        <f>11.9*(2/3*10)</f>
        <v>79.333333333333329</v>
      </c>
      <c r="G2439" s="14">
        <f>16.1*(2/3*10)</f>
        <v>107.33333333333333</v>
      </c>
      <c r="H2439" s="14">
        <f>2.8*(2/3*10)</f>
        <v>18.666666666666664</v>
      </c>
      <c r="I2439" s="14">
        <f>2.4*(2/3*10)</f>
        <v>15.999999999999998</v>
      </c>
      <c r="K2439">
        <v>2436</v>
      </c>
      <c r="L2439">
        <f t="shared" si="38"/>
        <v>4</v>
      </c>
    </row>
    <row r="2440" spans="1:12" ht="16.5" x14ac:dyDescent="0.2">
      <c r="A2440" s="4" t="s">
        <v>42</v>
      </c>
      <c r="B2440">
        <v>2013</v>
      </c>
      <c r="C2440" s="14">
        <f>10.2*(2/3*10)</f>
        <v>67.999999999999986</v>
      </c>
      <c r="D2440" s="14">
        <f>4.4*(2/3*10)</f>
        <v>29.333333333333332</v>
      </c>
      <c r="E2440" s="14">
        <f>1.6*(2/3*10)</f>
        <v>10.666666666666666</v>
      </c>
      <c r="F2440" s="14">
        <f>11.6*(2/3*10)</f>
        <v>77.333333333333329</v>
      </c>
      <c r="G2440" s="14">
        <f>17.6*(2/3*10)</f>
        <v>117.33333333333333</v>
      </c>
      <c r="H2440" s="14">
        <f>2.9*(2/3*10)</f>
        <v>19.333333333333332</v>
      </c>
      <c r="I2440" s="14">
        <f>2.4*(2/3*10)</f>
        <v>15.999999999999998</v>
      </c>
      <c r="K2440">
        <v>2437</v>
      </c>
      <c r="L2440">
        <f t="shared" si="38"/>
        <v>5</v>
      </c>
    </row>
    <row r="2441" spans="1:12" ht="16.5" x14ac:dyDescent="0.2">
      <c r="A2441" s="4" t="s">
        <v>42</v>
      </c>
      <c r="B2441">
        <v>2014</v>
      </c>
      <c r="C2441" s="14">
        <f>10.2*(2/3*10)</f>
        <v>67.999999999999986</v>
      </c>
      <c r="D2441" s="14">
        <f>4.4*(2/3*10)</f>
        <v>29.333333333333332</v>
      </c>
      <c r="E2441" s="14">
        <f>1.6*(2/3*10)</f>
        <v>10.666666666666666</v>
      </c>
      <c r="F2441" s="14">
        <f>11.5*(2/3*10)</f>
        <v>76.666666666666657</v>
      </c>
      <c r="G2441" s="14">
        <f>18*(2/3*10)</f>
        <v>120.00000000000001</v>
      </c>
      <c r="H2441" s="14">
        <f>2.9*(2/3*10)</f>
        <v>19.333333333333332</v>
      </c>
      <c r="I2441" s="14">
        <f>2.4*(2/3*10)</f>
        <v>15.999999999999998</v>
      </c>
      <c r="K2441" s="15">
        <v>2438</v>
      </c>
      <c r="L2441">
        <f t="shared" si="38"/>
        <v>6</v>
      </c>
    </row>
    <row r="2442" spans="1:12" ht="16.5" x14ac:dyDescent="0.2">
      <c r="A2442" s="4" t="s">
        <v>42</v>
      </c>
      <c r="B2442">
        <v>2015</v>
      </c>
      <c r="C2442" s="14">
        <f>10.4*(2/3*10)</f>
        <v>69.333333333333329</v>
      </c>
      <c r="D2442" s="14">
        <f>4.4*(2/3*10)</f>
        <v>29.333333333333332</v>
      </c>
      <c r="E2442" s="14">
        <f>1.6*(2/3*10)</f>
        <v>10.666666666666666</v>
      </c>
      <c r="F2442" s="14">
        <f>11.4*(2/3*10)</f>
        <v>76</v>
      </c>
      <c r="G2442" s="14">
        <f>18.7*(2/3*10)</f>
        <v>124.66666666666666</v>
      </c>
      <c r="H2442" s="14">
        <f>3*(2/3*10)</f>
        <v>20</v>
      </c>
      <c r="I2442" s="14">
        <f>2.4*(2/3*10)</f>
        <v>15.999999999999998</v>
      </c>
      <c r="K2442">
        <v>2439</v>
      </c>
      <c r="L2442">
        <f t="shared" si="38"/>
        <v>7</v>
      </c>
    </row>
    <row r="2443" spans="1:12" ht="16.5" x14ac:dyDescent="0.2">
      <c r="A2443" s="4" t="s">
        <v>42</v>
      </c>
      <c r="B2443">
        <v>2016</v>
      </c>
      <c r="C2443" s="14">
        <f>10.4*(2/3*10)</f>
        <v>69.333333333333329</v>
      </c>
      <c r="D2443" s="14">
        <f>4.4*(2/3*10)</f>
        <v>29.333333333333332</v>
      </c>
      <c r="E2443" s="14">
        <f>1.6*(2/3*10)</f>
        <v>10.666666666666666</v>
      </c>
      <c r="F2443" s="14">
        <f>11.4*(2/3*10)</f>
        <v>76</v>
      </c>
      <c r="G2443" s="14">
        <f>18.7*(2/3*10)</f>
        <v>124.66666666666666</v>
      </c>
      <c r="H2443" s="14">
        <f>3*(2/3*10)</f>
        <v>20</v>
      </c>
      <c r="I2443" s="14">
        <f>2.4*(2/3*10)</f>
        <v>15.999999999999998</v>
      </c>
      <c r="K2443" s="15">
        <v>2440</v>
      </c>
      <c r="L2443">
        <f t="shared" si="38"/>
        <v>0</v>
      </c>
    </row>
    <row r="2444" spans="1:12" ht="16.5" x14ac:dyDescent="0.2">
      <c r="A2444" s="4" t="s">
        <v>41</v>
      </c>
      <c r="B2444">
        <v>2009</v>
      </c>
      <c r="C2444" s="14">
        <f>170.9*(2/3*10)</f>
        <v>1139.3333333333333</v>
      </c>
      <c r="D2444" s="14">
        <f>1*(2/3*10)</f>
        <v>6.6666666666666661</v>
      </c>
      <c r="E2444" s="14">
        <f>162.4*(2/3*10)</f>
        <v>1082.6666666666665</v>
      </c>
      <c r="F2444" s="14">
        <f>215.6*(2/3*10)</f>
        <v>1437.3333333333333</v>
      </c>
      <c r="G2444" s="14">
        <f>26*(2/3*10)</f>
        <v>173.33333333333331</v>
      </c>
      <c r="H2444" s="14">
        <f>9.1*(2/3*10)</f>
        <v>60.666666666666657</v>
      </c>
      <c r="I2444" s="14">
        <f>21.8*(2/3*10)</f>
        <v>145.33333333333331</v>
      </c>
      <c r="K2444">
        <v>2441</v>
      </c>
      <c r="L2444">
        <f t="shared" si="38"/>
        <v>1</v>
      </c>
    </row>
    <row r="2445" spans="1:12" ht="16.5" x14ac:dyDescent="0.2">
      <c r="A2445" s="4" t="s">
        <v>41</v>
      </c>
      <c r="B2445">
        <v>2010</v>
      </c>
      <c r="C2445" s="14">
        <f>172*(2/3*10)</f>
        <v>1146.6666666666665</v>
      </c>
      <c r="D2445" s="14">
        <f>1*(2/3*10)</f>
        <v>6.6666666666666661</v>
      </c>
      <c r="E2445" s="14">
        <f>162.8*(2/3*10)</f>
        <v>1085.3333333333333</v>
      </c>
      <c r="F2445" s="14">
        <f>215.5*(2/3*10)</f>
        <v>1436.6666666666665</v>
      </c>
      <c r="G2445" s="14">
        <f>26.9*(2/3*10)</f>
        <v>179.33333333333331</v>
      </c>
      <c r="H2445" s="14">
        <f>9.6*(2/3*10)</f>
        <v>63.999999999999993</v>
      </c>
      <c r="I2445" s="14">
        <f>21.8*(2/3*10)</f>
        <v>145.33333333333331</v>
      </c>
      <c r="K2445">
        <v>2442</v>
      </c>
      <c r="L2445">
        <f t="shared" si="38"/>
        <v>2</v>
      </c>
    </row>
    <row r="2446" spans="1:12" ht="16.5" x14ac:dyDescent="0.2">
      <c r="A2446" s="4" t="s">
        <v>41</v>
      </c>
      <c r="B2446">
        <v>2011</v>
      </c>
      <c r="C2446" s="14">
        <f>167.4*(2/3*10)</f>
        <v>1116</v>
      </c>
      <c r="D2446" s="14">
        <f>0.9*(2/3*10)</f>
        <v>6</v>
      </c>
      <c r="E2446" s="14">
        <f>162.8*(2/3*10)</f>
        <v>1085.3333333333333</v>
      </c>
      <c r="F2446" s="14">
        <f>220.2*(2/3*10)</f>
        <v>1467.9999999999998</v>
      </c>
      <c r="G2446" s="14">
        <f>28.6*(2/3*10)</f>
        <v>190.66666666666666</v>
      </c>
      <c r="H2446" s="14">
        <f>9.7*(2/3*10)</f>
        <v>64.666666666666657</v>
      </c>
      <c r="I2446" s="14">
        <f>21.8*(2/3*10)</f>
        <v>145.33333333333331</v>
      </c>
      <c r="K2446" s="15">
        <v>2443</v>
      </c>
      <c r="L2446">
        <f t="shared" si="38"/>
        <v>3</v>
      </c>
    </row>
    <row r="2447" spans="1:12" ht="16.5" x14ac:dyDescent="0.2">
      <c r="A2447" s="4" t="s">
        <v>41</v>
      </c>
      <c r="B2447">
        <v>2012</v>
      </c>
      <c r="C2447" s="14">
        <f>166.7*(2/3*10)</f>
        <v>1111.3333333333333</v>
      </c>
      <c r="D2447" s="14">
        <f>0.9*(2/3*10)</f>
        <v>6</v>
      </c>
      <c r="E2447" s="14">
        <f>163.2*(2/3*10)</f>
        <v>1087.9999999999998</v>
      </c>
      <c r="F2447" s="14">
        <f>220.6*(2/3*10)</f>
        <v>1470.6666666666665</v>
      </c>
      <c r="G2447" s="14">
        <f>29.4*(2/3*10)</f>
        <v>195.99999999999997</v>
      </c>
      <c r="H2447" s="14">
        <f>9.9*(2/3*10)</f>
        <v>66</v>
      </c>
      <c r="I2447" s="14">
        <f>21.8*(2/3*10)</f>
        <v>145.33333333333331</v>
      </c>
      <c r="K2447">
        <v>2444</v>
      </c>
      <c r="L2447">
        <f t="shared" si="38"/>
        <v>4</v>
      </c>
    </row>
    <row r="2448" spans="1:12" ht="16.5" x14ac:dyDescent="0.2">
      <c r="A2448" s="4" t="s">
        <v>41</v>
      </c>
      <c r="B2448">
        <v>2013</v>
      </c>
      <c r="C2448" s="14">
        <f>166.2*(2/3*10)</f>
        <v>1107.9999999999998</v>
      </c>
      <c r="D2448" s="14">
        <f>0.9*(2/3*10)</f>
        <v>6</v>
      </c>
      <c r="E2448" s="14">
        <f>163*(2/3*10)</f>
        <v>1086.6666666666665</v>
      </c>
      <c r="F2448" s="14">
        <f>220.9*(2/3*10)</f>
        <v>1472.6666666666665</v>
      </c>
      <c r="G2448" s="14">
        <f>30.2*(2/3*10)</f>
        <v>201.33333333333331</v>
      </c>
      <c r="H2448" s="14">
        <f>10.4*(2/3*10)</f>
        <v>69.333333333333329</v>
      </c>
      <c r="I2448" s="14">
        <f>21.8*(2/3*10)</f>
        <v>145.33333333333331</v>
      </c>
      <c r="K2448" s="15">
        <v>2445</v>
      </c>
      <c r="L2448">
        <f t="shared" si="38"/>
        <v>5</v>
      </c>
    </row>
    <row r="2449" spans="1:12" ht="16.5" x14ac:dyDescent="0.2">
      <c r="A2449" s="4" t="s">
        <v>41</v>
      </c>
      <c r="B2449">
        <v>2014</v>
      </c>
      <c r="C2449" s="14">
        <f>166.2*(2/3*10)</f>
        <v>1107.9999999999998</v>
      </c>
      <c r="D2449" s="14">
        <f>0.9*(2/3*10)</f>
        <v>6</v>
      </c>
      <c r="E2449" s="14">
        <f>163*(2/3*10)</f>
        <v>1086.6666666666665</v>
      </c>
      <c r="F2449" s="14">
        <f>220.6*(2/3*10)</f>
        <v>1470.6666666666665</v>
      </c>
      <c r="G2449" s="14">
        <f>30.7*(2/3*10)</f>
        <v>204.66666666666666</v>
      </c>
      <c r="H2449" s="14">
        <f>10.5*(2/3*10)</f>
        <v>70</v>
      </c>
      <c r="I2449" s="14">
        <f>21.8*(2/3*10)</f>
        <v>145.33333333333331</v>
      </c>
      <c r="K2449">
        <v>2446</v>
      </c>
      <c r="L2449">
        <f t="shared" si="38"/>
        <v>6</v>
      </c>
    </row>
    <row r="2450" spans="1:12" ht="16.5" x14ac:dyDescent="0.2">
      <c r="A2450" s="4" t="s">
        <v>41</v>
      </c>
      <c r="B2450">
        <v>2015</v>
      </c>
      <c r="C2450" s="14">
        <f>166.1*(2/3*10)</f>
        <v>1107.3333333333333</v>
      </c>
      <c r="D2450" s="14">
        <f>0.9*(2/3*10)</f>
        <v>6</v>
      </c>
      <c r="E2450" s="14">
        <f>163*(2/3*10)</f>
        <v>1086.6666666666665</v>
      </c>
      <c r="F2450" s="14">
        <f>220.4*(2/3*10)</f>
        <v>1469.3333333333333</v>
      </c>
      <c r="G2450" s="14">
        <f>31.2*(2/3*10)</f>
        <v>207.99999999999997</v>
      </c>
      <c r="H2450" s="14">
        <f>10.5*(2/3*10)</f>
        <v>70</v>
      </c>
      <c r="I2450" s="14">
        <f>21.8*(2/3*10)</f>
        <v>145.33333333333331</v>
      </c>
      <c r="K2450">
        <v>2447</v>
      </c>
      <c r="L2450">
        <f t="shared" si="38"/>
        <v>7</v>
      </c>
    </row>
    <row r="2451" spans="1:12" ht="16.5" x14ac:dyDescent="0.2">
      <c r="A2451" s="4" t="s">
        <v>41</v>
      </c>
      <c r="B2451">
        <v>2016</v>
      </c>
      <c r="C2451" s="14">
        <f>166.6*(2/3*10)</f>
        <v>1110.6666666666665</v>
      </c>
      <c r="D2451" s="14">
        <f>0.9*(2/3*10)</f>
        <v>6</v>
      </c>
      <c r="E2451" s="14">
        <f>162.9*(2/3*10)</f>
        <v>1086</v>
      </c>
      <c r="F2451" s="14">
        <f>220.3*(2/3*10)</f>
        <v>1468.6666666666665</v>
      </c>
      <c r="G2451" s="14">
        <f>31.4*(2/3*10)</f>
        <v>209.33333333333331</v>
      </c>
      <c r="H2451" s="14">
        <f>10.5*(2/3*10)</f>
        <v>70</v>
      </c>
      <c r="I2451" s="14">
        <f>21.8*(2/3*10)</f>
        <v>145.33333333333331</v>
      </c>
      <c r="K2451" s="15">
        <v>2448</v>
      </c>
      <c r="L2451">
        <f t="shared" si="38"/>
        <v>0</v>
      </c>
    </row>
    <row r="2452" spans="1:12" ht="16.5" x14ac:dyDescent="0.2">
      <c r="A2452" s="4" t="s">
        <v>40</v>
      </c>
      <c r="B2452">
        <v>2009</v>
      </c>
      <c r="C2452" s="14">
        <f>776.8*(2/3*10)</f>
        <v>5178.6666666666661</v>
      </c>
      <c r="D2452" s="14">
        <f>15.4*(2/3*10)</f>
        <v>102.66666666666666</v>
      </c>
      <c r="E2452" s="14">
        <f>161.5*(2/3*10)</f>
        <v>1076.6666666666665</v>
      </c>
      <c r="F2452" s="14">
        <f>1520.4*(2/3*10)</f>
        <v>10136</v>
      </c>
      <c r="G2452" s="14">
        <f>81.8*(2/3*10)</f>
        <v>545.33333333333326</v>
      </c>
      <c r="H2452" s="14">
        <f>29.9*(2/3*10)</f>
        <v>199.33333333333331</v>
      </c>
      <c r="I2452" s="14">
        <f>27.5*(2/3*10)</f>
        <v>183.33333333333331</v>
      </c>
      <c r="K2452">
        <v>2449</v>
      </c>
      <c r="L2452">
        <f t="shared" si="38"/>
        <v>1</v>
      </c>
    </row>
    <row r="2453" spans="1:12" ht="16.5" x14ac:dyDescent="0.2">
      <c r="A2453" s="4" t="s">
        <v>40</v>
      </c>
      <c r="B2453">
        <v>2010</v>
      </c>
      <c r="C2453" s="14">
        <f>776.7*(2/3*10)</f>
        <v>5178</v>
      </c>
      <c r="D2453" s="14">
        <f>15.4*(2/3*10)</f>
        <v>102.66666666666666</v>
      </c>
      <c r="E2453" s="14">
        <f>161.4*(2/3*10)</f>
        <v>1076</v>
      </c>
      <c r="F2453" s="14">
        <f>1519*(2/3*10)</f>
        <v>10126.666666666666</v>
      </c>
      <c r="G2453" s="14">
        <f>83.4*(2/3*10)</f>
        <v>556</v>
      </c>
      <c r="H2453" s="14">
        <f>29.9*(2/3*10)</f>
        <v>199.33333333333331</v>
      </c>
      <c r="I2453" s="14">
        <f>27.5*(2/3*10)</f>
        <v>183.33333333333331</v>
      </c>
      <c r="K2453" s="15">
        <v>2450</v>
      </c>
      <c r="L2453">
        <f t="shared" si="38"/>
        <v>2</v>
      </c>
    </row>
    <row r="2454" spans="1:12" ht="16.5" x14ac:dyDescent="0.2">
      <c r="A2454" s="4" t="s">
        <v>40</v>
      </c>
      <c r="B2454">
        <v>2011</v>
      </c>
      <c r="C2454" s="14">
        <f>776.9*(2/3*10)</f>
        <v>5179.333333333333</v>
      </c>
      <c r="D2454" s="14">
        <f>15.4*(2/3*10)</f>
        <v>102.66666666666666</v>
      </c>
      <c r="E2454" s="14">
        <f>161.3*(2/3*10)</f>
        <v>1075.3333333333333</v>
      </c>
      <c r="F2454" s="14">
        <f>1517.1*(2/3*10)</f>
        <v>10113.999999999998</v>
      </c>
      <c r="G2454" s="14">
        <f>84*(2/3*10)</f>
        <v>560</v>
      </c>
      <c r="H2454" s="14">
        <f>30.3*(2/3*10)</f>
        <v>202</v>
      </c>
      <c r="I2454" s="14">
        <f>27.6*(2/3*10)</f>
        <v>184</v>
      </c>
      <c r="K2454">
        <v>2451</v>
      </c>
      <c r="L2454">
        <f t="shared" si="38"/>
        <v>3</v>
      </c>
    </row>
    <row r="2455" spans="1:12" ht="16.5" x14ac:dyDescent="0.2">
      <c r="A2455" s="4" t="s">
        <v>40</v>
      </c>
      <c r="B2455">
        <v>2012</v>
      </c>
      <c r="C2455" s="14">
        <f>777.1*(2/3*10)</f>
        <v>5180.6666666666661</v>
      </c>
      <c r="D2455" s="14">
        <f>15.4*(2/3*10)</f>
        <v>102.66666666666666</v>
      </c>
      <c r="E2455" s="14">
        <f>161.3*(2/3*10)</f>
        <v>1075.3333333333333</v>
      </c>
      <c r="F2455" s="14">
        <f>1515.4*(2/3*10)</f>
        <v>10102.666666666666</v>
      </c>
      <c r="G2455" s="14">
        <f>85.2*(2/3*10)</f>
        <v>568</v>
      </c>
      <c r="H2455" s="14">
        <f>30.4*(2/3*10)</f>
        <v>202.66666666666663</v>
      </c>
      <c r="I2455" s="14">
        <f>27.6*(2/3*10)</f>
        <v>184</v>
      </c>
      <c r="K2455">
        <v>2452</v>
      </c>
      <c r="L2455">
        <f t="shared" si="38"/>
        <v>4</v>
      </c>
    </row>
    <row r="2456" spans="1:12" ht="16.5" x14ac:dyDescent="0.2">
      <c r="A2456" s="4" t="s">
        <v>40</v>
      </c>
      <c r="B2456">
        <v>2013</v>
      </c>
      <c r="C2456" s="14">
        <f>777.2*(2/3*10)</f>
        <v>5181.333333333333</v>
      </c>
      <c r="D2456" s="14">
        <f>15.3*(2/3*10)</f>
        <v>102</v>
      </c>
      <c r="E2456" s="14">
        <f>161.1*(2/3*10)</f>
        <v>1073.9999999999998</v>
      </c>
      <c r="F2456" s="14">
        <f>1513.6*(2/3*10)</f>
        <v>10090.666666666666</v>
      </c>
      <c r="G2456" s="14">
        <f>86.8*(2/3*10)</f>
        <v>578.66666666666652</v>
      </c>
      <c r="H2456" s="14">
        <f>30.7*(2/3*10)</f>
        <v>204.66666666666666</v>
      </c>
      <c r="I2456" s="14">
        <f>27.6*(2/3*10)</f>
        <v>184</v>
      </c>
      <c r="K2456" s="15">
        <v>2453</v>
      </c>
      <c r="L2456">
        <f t="shared" si="38"/>
        <v>5</v>
      </c>
    </row>
    <row r="2457" spans="1:12" ht="16.5" x14ac:dyDescent="0.2">
      <c r="A2457" s="4" t="s">
        <v>40</v>
      </c>
      <c r="B2457">
        <v>2014</v>
      </c>
      <c r="C2457" s="14">
        <f>777.1*(2/3*10)</f>
        <v>5180.6666666666661</v>
      </c>
      <c r="D2457" s="14">
        <f>15.3*(2/3*10)</f>
        <v>102</v>
      </c>
      <c r="E2457" s="14">
        <f>161.1*(2/3*10)</f>
        <v>1073.9999999999998</v>
      </c>
      <c r="F2457" s="14">
        <f>1512.2*(2/3*10)</f>
        <v>10081.333333333332</v>
      </c>
      <c r="G2457" s="14">
        <f>87.8*(2/3*10)</f>
        <v>585.33333333333326</v>
      </c>
      <c r="H2457" s="14">
        <f>30.8*(2/3*10)</f>
        <v>205.33333333333331</v>
      </c>
      <c r="I2457" s="14">
        <f>27.6*(2/3*10)</f>
        <v>184</v>
      </c>
      <c r="K2457">
        <v>2454</v>
      </c>
      <c r="L2457">
        <f t="shared" si="38"/>
        <v>6</v>
      </c>
    </row>
    <row r="2458" spans="1:12" ht="16.5" x14ac:dyDescent="0.2">
      <c r="A2458" s="4" t="s">
        <v>40</v>
      </c>
      <c r="B2458">
        <v>2015</v>
      </c>
      <c r="C2458" s="14">
        <f>776.4*(2/3*10)</f>
        <v>5175.9999999999991</v>
      </c>
      <c r="D2458" s="14">
        <f>15.3*(2/3*10)</f>
        <v>102</v>
      </c>
      <c r="E2458" s="14">
        <f>161.1*(2/3*10)</f>
        <v>1073.9999999999998</v>
      </c>
      <c r="F2458" s="14">
        <f>1511.6*(2/3*10)</f>
        <v>10077.333333333332</v>
      </c>
      <c r="G2458" s="14">
        <f>88.9*(2/3*10)</f>
        <v>592.66666666666663</v>
      </c>
      <c r="H2458" s="14">
        <f>30.9*(2/3*10)</f>
        <v>205.99999999999997</v>
      </c>
      <c r="I2458" s="14">
        <f>27.7*(2/3*10)</f>
        <v>184.66666666666666</v>
      </c>
      <c r="K2458" s="15">
        <v>2455</v>
      </c>
      <c r="L2458">
        <f t="shared" si="38"/>
        <v>7</v>
      </c>
    </row>
    <row r="2459" spans="1:12" ht="16.5" x14ac:dyDescent="0.2">
      <c r="A2459" s="4" t="s">
        <v>40</v>
      </c>
      <c r="B2459">
        <v>2016</v>
      </c>
      <c r="C2459" s="14">
        <f>777*(2/3*10)</f>
        <v>5179.9999999999991</v>
      </c>
      <c r="D2459" s="14">
        <f>15.2*(2/3*10)</f>
        <v>101.33333333333331</v>
      </c>
      <c r="E2459" s="14">
        <f>161*(2/3*10)</f>
        <v>1073.3333333333333</v>
      </c>
      <c r="F2459" s="14">
        <f>1510*(2/3*10)</f>
        <v>10066.666666666666</v>
      </c>
      <c r="G2459" s="14">
        <f>90.4*(2/3*10)</f>
        <v>602.66666666666663</v>
      </c>
      <c r="H2459" s="14">
        <f>31.1*(2/3*10)</f>
        <v>207.33333333333331</v>
      </c>
      <c r="I2459" s="14">
        <f>27.7*(2/3*10)</f>
        <v>184.66666666666666</v>
      </c>
      <c r="K2459">
        <v>2456</v>
      </c>
      <c r="L2459">
        <f t="shared" si="38"/>
        <v>0</v>
      </c>
    </row>
    <row r="2460" spans="1:12" ht="16.5" x14ac:dyDescent="0.2">
      <c r="A2460" s="4" t="s">
        <v>39</v>
      </c>
      <c r="B2460">
        <v>2009</v>
      </c>
      <c r="C2460" s="14">
        <f>800.5*(2/3*10)</f>
        <v>5336.6666666666661</v>
      </c>
      <c r="D2460" s="14">
        <f>93.2*(2/3*10)</f>
        <v>621.33333333333326</v>
      </c>
      <c r="E2460" s="14">
        <f>782.3*(2/3*10)</f>
        <v>5215.3333333333321</v>
      </c>
      <c r="F2460" s="14">
        <f>224.2*(2/3*10)</f>
        <v>1494.6666666666665</v>
      </c>
      <c r="G2460" s="14">
        <f>84.1*(2/3*10)</f>
        <v>560.66666666666663</v>
      </c>
      <c r="H2460" s="14">
        <f>23.3*(2/3*10)</f>
        <v>155.33333333333331</v>
      </c>
      <c r="I2460" s="14">
        <f>21.3*(2/3*10)</f>
        <v>142</v>
      </c>
      <c r="K2460">
        <v>2457</v>
      </c>
      <c r="L2460">
        <f t="shared" si="38"/>
        <v>1</v>
      </c>
    </row>
    <row r="2461" spans="1:12" ht="16.5" x14ac:dyDescent="0.2">
      <c r="A2461" s="4" t="s">
        <v>39</v>
      </c>
      <c r="B2461">
        <v>2010</v>
      </c>
      <c r="C2461" s="14">
        <f>800.2*(2/3*10)</f>
        <v>5334.6666666666661</v>
      </c>
      <c r="D2461" s="14">
        <f>92.8*(2/3*10)</f>
        <v>618.66666666666663</v>
      </c>
      <c r="E2461" s="14">
        <f>782.3*(2/3*10)</f>
        <v>5215.3333333333321</v>
      </c>
      <c r="F2461" s="14">
        <f>224.2*(2/3*10)</f>
        <v>1494.6666666666665</v>
      </c>
      <c r="G2461" s="14">
        <f>84.9*(2/3*10)</f>
        <v>566</v>
      </c>
      <c r="H2461" s="14">
        <f>23.4*(2/3*10)</f>
        <v>155.99999999999997</v>
      </c>
      <c r="I2461" s="14">
        <f>21.3*(2/3*10)</f>
        <v>142</v>
      </c>
      <c r="K2461" s="15">
        <v>2458</v>
      </c>
      <c r="L2461">
        <f t="shared" si="38"/>
        <v>2</v>
      </c>
    </row>
    <row r="2462" spans="1:12" ht="16.5" x14ac:dyDescent="0.2">
      <c r="A2462" s="4" t="s">
        <v>39</v>
      </c>
      <c r="B2462">
        <v>2011</v>
      </c>
      <c r="C2462" s="14">
        <f>800.4*(2/3*10)</f>
        <v>5335.9999999999991</v>
      </c>
      <c r="D2462" s="14">
        <f>92*(2/3*10)</f>
        <v>613.33333333333326</v>
      </c>
      <c r="E2462" s="14">
        <f>782.2*(2/3*10)</f>
        <v>5214.6666666666661</v>
      </c>
      <c r="F2462" s="14">
        <f>223.6*(2/3*10)</f>
        <v>1490.6666666666665</v>
      </c>
      <c r="G2462" s="14">
        <f>86.3*(2/3*10)</f>
        <v>575.33333333333337</v>
      </c>
      <c r="H2462" s="14">
        <f>23.5*(2/3*10)</f>
        <v>156.66666666666666</v>
      </c>
      <c r="I2462" s="14">
        <f>21.3*(2/3*10)</f>
        <v>142</v>
      </c>
      <c r="K2462">
        <v>2459</v>
      </c>
      <c r="L2462">
        <f t="shared" si="38"/>
        <v>3</v>
      </c>
    </row>
    <row r="2463" spans="1:12" ht="16.5" x14ac:dyDescent="0.2">
      <c r="A2463" s="4" t="s">
        <v>39</v>
      </c>
      <c r="B2463">
        <v>2012</v>
      </c>
      <c r="C2463" s="14">
        <f>800.4*(2/3*10)</f>
        <v>5335.9999999999991</v>
      </c>
      <c r="D2463" s="14">
        <f>91.4*(2/3*10)</f>
        <v>609.33333333333337</v>
      </c>
      <c r="E2463" s="14">
        <f>782.2*(2/3*10)</f>
        <v>5214.6666666666661</v>
      </c>
      <c r="F2463" s="14">
        <f>223*(2/3*10)</f>
        <v>1486.6666666666665</v>
      </c>
      <c r="G2463" s="14">
        <f>87.6*(2/3*10)</f>
        <v>584</v>
      </c>
      <c r="H2463" s="14">
        <f>23.7*(2/3*10)</f>
        <v>157.99999999999997</v>
      </c>
      <c r="I2463" s="14">
        <f>21.3*(2/3*10)</f>
        <v>142</v>
      </c>
      <c r="K2463" s="15">
        <v>2460</v>
      </c>
      <c r="L2463">
        <f t="shared" si="38"/>
        <v>4</v>
      </c>
    </row>
    <row r="2464" spans="1:12" ht="16.5" x14ac:dyDescent="0.2">
      <c r="A2464" s="4" t="s">
        <v>39</v>
      </c>
      <c r="B2464">
        <v>2013</v>
      </c>
      <c r="C2464" s="14">
        <f>800.3*(2/3*10)</f>
        <v>5335.3333333333321</v>
      </c>
      <c r="D2464" s="14">
        <f>91*(2/3*10)</f>
        <v>606.66666666666663</v>
      </c>
      <c r="E2464" s="14">
        <f>782.1*(2/3*10)</f>
        <v>5214</v>
      </c>
      <c r="F2464" s="14">
        <f>222.5*(2/3*10)</f>
        <v>1483.3333333333333</v>
      </c>
      <c r="G2464" s="14">
        <f>88.2*(2/3*10)</f>
        <v>588</v>
      </c>
      <c r="H2464" s="14">
        <f>24.1*(2/3*10)</f>
        <v>160.66666666666666</v>
      </c>
      <c r="I2464" s="14">
        <f>21.2*(2/3*10)</f>
        <v>141.33333333333331</v>
      </c>
      <c r="K2464">
        <v>2461</v>
      </c>
      <c r="L2464">
        <f t="shared" si="38"/>
        <v>5</v>
      </c>
    </row>
    <row r="2465" spans="1:12" ht="16.5" x14ac:dyDescent="0.2">
      <c r="A2465" s="4" t="s">
        <v>39</v>
      </c>
      <c r="B2465">
        <v>2014</v>
      </c>
      <c r="C2465" s="14">
        <f>799.3*(2/3*10)</f>
        <v>5328.6666666666661</v>
      </c>
      <c r="D2465" s="14">
        <f>90.8*(2/3*10)</f>
        <v>605.33333333333326</v>
      </c>
      <c r="E2465" s="14">
        <f>782*(2/3*10)</f>
        <v>5213.333333333333</v>
      </c>
      <c r="F2465" s="14">
        <f>222.3*(2/3*10)</f>
        <v>1482</v>
      </c>
      <c r="G2465" s="14">
        <f>89.1*(2/3*10)</f>
        <v>593.99999999999989</v>
      </c>
      <c r="H2465" s="14">
        <f>24.7*(2/3*10)</f>
        <v>164.66666666666666</v>
      </c>
      <c r="I2465" s="14">
        <f>21.1*(2/3*10)</f>
        <v>140.66666666666666</v>
      </c>
      <c r="K2465">
        <v>2462</v>
      </c>
      <c r="L2465">
        <f t="shared" si="38"/>
        <v>6</v>
      </c>
    </row>
    <row r="2466" spans="1:12" ht="16.5" x14ac:dyDescent="0.2">
      <c r="A2466" s="4" t="s">
        <v>39</v>
      </c>
      <c r="B2466">
        <v>2015</v>
      </c>
      <c r="C2466" s="14">
        <f>799*(2/3*10)</f>
        <v>5326.6666666666661</v>
      </c>
      <c r="D2466" s="14">
        <f>90.5*(2/3*10)</f>
        <v>603.33333333333326</v>
      </c>
      <c r="E2466" s="14">
        <f>782*(2/3*10)</f>
        <v>5213.333333333333</v>
      </c>
      <c r="F2466" s="14">
        <f>221.7*(2/3*10)</f>
        <v>1477.9999999999998</v>
      </c>
      <c r="G2466" s="14">
        <f>90.2*(2/3*10)</f>
        <v>601.33333333333326</v>
      </c>
      <c r="H2466" s="14">
        <f>24.8*(2/3*10)</f>
        <v>165.33333333333331</v>
      </c>
      <c r="I2466" s="14">
        <f>21.1*(2/3*10)</f>
        <v>140.66666666666666</v>
      </c>
      <c r="K2466" s="15">
        <v>2463</v>
      </c>
      <c r="L2466">
        <f t="shared" si="38"/>
        <v>7</v>
      </c>
    </row>
    <row r="2467" spans="1:12" ht="16.5" x14ac:dyDescent="0.2">
      <c r="A2467" s="4" t="s">
        <v>39</v>
      </c>
      <c r="B2467">
        <v>2016</v>
      </c>
      <c r="C2467" s="14">
        <f>798.4*(2/3*10)</f>
        <v>5322.6666666666661</v>
      </c>
      <c r="D2467" s="14">
        <f>90.3*(2/3*10)</f>
        <v>601.99999999999989</v>
      </c>
      <c r="E2467" s="14">
        <f>781.9*(2/3*10)</f>
        <v>5212.6666666666661</v>
      </c>
      <c r="F2467" s="14">
        <f>221.7*(2/3*10)</f>
        <v>1477.9999999999998</v>
      </c>
      <c r="G2467" s="14">
        <f>90.9*(2/3*10)</f>
        <v>606</v>
      </c>
      <c r="H2467" s="14">
        <f>24.9*(2/3*10)</f>
        <v>165.99999999999997</v>
      </c>
      <c r="I2467" s="14">
        <f>21*(2/3*10)</f>
        <v>140</v>
      </c>
      <c r="K2467">
        <v>2464</v>
      </c>
      <c r="L2467">
        <f t="shared" si="38"/>
        <v>0</v>
      </c>
    </row>
    <row r="2468" spans="1:12" ht="16.5" x14ac:dyDescent="0.2">
      <c r="A2468" s="4" t="s">
        <v>38</v>
      </c>
      <c r="B2468">
        <v>2009</v>
      </c>
      <c r="C2468" s="14">
        <f>693.9*(2/3*10)</f>
        <v>4625.9999999999991</v>
      </c>
      <c r="D2468" s="14">
        <f>12.1*(2/3*10)</f>
        <v>80.666666666666657</v>
      </c>
      <c r="E2468" s="14">
        <f>560.1*(2/3*10)</f>
        <v>3734</v>
      </c>
      <c r="F2468" s="14">
        <f>1466.2*(2/3*10)</f>
        <v>9774.6666666666661</v>
      </c>
      <c r="G2468" s="14">
        <f>73.6*(2/3*10)</f>
        <v>490.66666666666669</v>
      </c>
      <c r="H2468" s="14">
        <f>33.7*(2/3*10)</f>
        <v>224.66666666666666</v>
      </c>
      <c r="I2468" s="14">
        <f>57.2*(2/3*10)</f>
        <v>381.33333333333331</v>
      </c>
      <c r="K2468" s="15">
        <v>2465</v>
      </c>
      <c r="L2468">
        <f t="shared" si="38"/>
        <v>1</v>
      </c>
    </row>
    <row r="2469" spans="1:12" ht="16.5" x14ac:dyDescent="0.2">
      <c r="A2469" s="4" t="s">
        <v>38</v>
      </c>
      <c r="B2469">
        <v>2010</v>
      </c>
      <c r="C2469" s="14">
        <f>676.5*(2/3*10)</f>
        <v>4510</v>
      </c>
      <c r="D2469" s="14">
        <f>12.2*(2/3*10)</f>
        <v>81.333333333333314</v>
      </c>
      <c r="E2469" s="14">
        <f>560.1*(2/3*10)</f>
        <v>3734</v>
      </c>
      <c r="F2469" s="14">
        <f>1482.2*(2/3*10)</f>
        <v>9881.3333333333321</v>
      </c>
      <c r="G2469" s="14">
        <f>74.4*(2/3*10)</f>
        <v>496</v>
      </c>
      <c r="H2469" s="14">
        <f>34.4*(2/3*10)</f>
        <v>229.33333333333331</v>
      </c>
      <c r="I2469" s="14">
        <f>57.1*(2/3*10)</f>
        <v>380.66666666666663</v>
      </c>
      <c r="K2469">
        <v>2466</v>
      </c>
      <c r="L2469">
        <f t="shared" si="38"/>
        <v>2</v>
      </c>
    </row>
    <row r="2470" spans="1:12" ht="16.5" x14ac:dyDescent="0.2">
      <c r="A2470" s="4" t="s">
        <v>38</v>
      </c>
      <c r="B2470">
        <v>2011</v>
      </c>
      <c r="C2470" s="14">
        <f>666.9*(2/3*10)</f>
        <v>4445.9999999999991</v>
      </c>
      <c r="D2470" s="14">
        <f>11.9*(2/3*10)</f>
        <v>79.333333333333329</v>
      </c>
      <c r="E2470" s="14">
        <f>559.4*(2/3*10)</f>
        <v>3729.333333333333</v>
      </c>
      <c r="F2470" s="14">
        <f>1488.7*(2/3*10)</f>
        <v>9924.6666666666661</v>
      </c>
      <c r="G2470" s="14">
        <f>77*(2/3*10)</f>
        <v>513.33333333333326</v>
      </c>
      <c r="H2470" s="14">
        <f>36.6*(2/3*10)</f>
        <v>244</v>
      </c>
      <c r="I2470" s="14">
        <f>57.1*(2/3*10)</f>
        <v>380.66666666666663</v>
      </c>
      <c r="K2470">
        <v>2467</v>
      </c>
      <c r="L2470">
        <f t="shared" si="38"/>
        <v>3</v>
      </c>
    </row>
    <row r="2471" spans="1:12" ht="16.5" x14ac:dyDescent="0.2">
      <c r="A2471" s="4" t="s">
        <v>38</v>
      </c>
      <c r="B2471">
        <v>2012</v>
      </c>
      <c r="C2471" s="14">
        <f>662.6*(2/3*10)</f>
        <v>4417.333333333333</v>
      </c>
      <c r="D2471" s="14">
        <f>11.8*(2/3*10)</f>
        <v>78.666666666666671</v>
      </c>
      <c r="E2471" s="14">
        <f>559*(2/3*10)</f>
        <v>3726.6666666666665</v>
      </c>
      <c r="F2471" s="14">
        <f>1490.2*(2/3*10)</f>
        <v>9934.6666666666661</v>
      </c>
      <c r="G2471" s="14">
        <f>80.5*(2/3*10)</f>
        <v>536.66666666666663</v>
      </c>
      <c r="H2471" s="14">
        <f>37.2*(2/3*10)</f>
        <v>248</v>
      </c>
      <c r="I2471" s="14">
        <f>57*(2/3*10)</f>
        <v>379.99999999999994</v>
      </c>
      <c r="K2471" s="15">
        <v>2468</v>
      </c>
      <c r="L2471">
        <f t="shared" si="38"/>
        <v>4</v>
      </c>
    </row>
    <row r="2472" spans="1:12" ht="16.5" x14ac:dyDescent="0.2">
      <c r="A2472" s="4" t="s">
        <v>38</v>
      </c>
      <c r="B2472">
        <v>2013</v>
      </c>
      <c r="C2472" s="14">
        <f>660.4*(2/3*10)</f>
        <v>4402.6666666666661</v>
      </c>
      <c r="D2472" s="14">
        <f>11.8*(2/3*10)</f>
        <v>78.666666666666671</v>
      </c>
      <c r="E2472" s="14">
        <f>558.5*(2/3*10)</f>
        <v>3723.333333333333</v>
      </c>
      <c r="F2472" s="14">
        <f>1488.6*(2/3*10)</f>
        <v>9923.9999999999982</v>
      </c>
      <c r="G2472" s="14">
        <f>84.9*(2/3*10)</f>
        <v>565.99999999999989</v>
      </c>
      <c r="H2472" s="14">
        <f>37.9*(2/3*10)</f>
        <v>252.66666666666663</v>
      </c>
      <c r="I2472" s="14">
        <f>56.8*(2/3*10)</f>
        <v>378.66666666666663</v>
      </c>
      <c r="K2472">
        <v>2469</v>
      </c>
      <c r="L2472">
        <f t="shared" si="38"/>
        <v>5</v>
      </c>
    </row>
    <row r="2473" spans="1:12" ht="16.5" x14ac:dyDescent="0.2">
      <c r="A2473" s="4" t="s">
        <v>38</v>
      </c>
      <c r="B2473">
        <v>2014</v>
      </c>
      <c r="C2473" s="14">
        <f>663.2*(2/3*10)</f>
        <v>4421.333333333333</v>
      </c>
      <c r="D2473" s="14">
        <f>11.7*(2/3*10)</f>
        <v>77.999999999999986</v>
      </c>
      <c r="E2473" s="14">
        <f>556.2*(2/3*10)</f>
        <v>3708</v>
      </c>
      <c r="F2473" s="14">
        <f>1484.6*(2/3*10)</f>
        <v>9897.3333333333321</v>
      </c>
      <c r="G2473" s="14">
        <f>87.9*(2/3*10)</f>
        <v>585.99999999999989</v>
      </c>
      <c r="H2473" s="14">
        <f>38.4*(2/3*10)</f>
        <v>255.99999999999997</v>
      </c>
      <c r="I2473" s="14">
        <f>56.8*(2/3*10)</f>
        <v>378.66666666666663</v>
      </c>
      <c r="K2473" s="15">
        <v>2470</v>
      </c>
      <c r="L2473">
        <f t="shared" si="38"/>
        <v>6</v>
      </c>
    </row>
    <row r="2474" spans="1:12" ht="16.5" x14ac:dyDescent="0.2">
      <c r="A2474" s="4" t="s">
        <v>38</v>
      </c>
      <c r="B2474">
        <v>2015</v>
      </c>
      <c r="C2474" s="14">
        <f>663.5*(2/3*10)</f>
        <v>4423.333333333333</v>
      </c>
      <c r="D2474" s="14">
        <f>11.7*(2/3*10)</f>
        <v>77.999999999999986</v>
      </c>
      <c r="E2474" s="14">
        <f>555.9*(2/3*10)</f>
        <v>3705.9999999999995</v>
      </c>
      <c r="F2474" s="14">
        <f>1481.6*(2/3*10)</f>
        <v>9877.3333333333321</v>
      </c>
      <c r="G2474" s="14">
        <f>90*(2/3*10)</f>
        <v>600</v>
      </c>
      <c r="H2474" s="14">
        <f>38.9*(2/3*10)</f>
        <v>259.33333333333331</v>
      </c>
      <c r="I2474" s="14">
        <f>56.8*(2/3*10)</f>
        <v>378.66666666666663</v>
      </c>
      <c r="K2474">
        <v>2471</v>
      </c>
      <c r="L2474">
        <f t="shared" si="38"/>
        <v>7</v>
      </c>
    </row>
    <row r="2475" spans="1:12" ht="16.5" x14ac:dyDescent="0.2">
      <c r="A2475" s="4" t="s">
        <v>38</v>
      </c>
      <c r="B2475">
        <v>2016</v>
      </c>
      <c r="C2475" s="14">
        <f>665.2*(2/3*10)</f>
        <v>4434.666666666667</v>
      </c>
      <c r="D2475" s="14">
        <f>11.7*(2/3*10)</f>
        <v>77.999999999999986</v>
      </c>
      <c r="E2475" s="14">
        <f>555.7*(2/3*10)</f>
        <v>3704.6666666666665</v>
      </c>
      <c r="F2475" s="14">
        <f>1478*(2/3*10)</f>
        <v>9853.3333333333321</v>
      </c>
      <c r="G2475" s="14">
        <f>92.5*(2/3*10)</f>
        <v>616.66666666666663</v>
      </c>
      <c r="H2475" s="14">
        <f>39.5*(2/3*10)</f>
        <v>263.33333333333331</v>
      </c>
      <c r="I2475" s="14">
        <f>56.8*(2/3*10)</f>
        <v>378.66666666666663</v>
      </c>
      <c r="K2475">
        <v>2472</v>
      </c>
      <c r="L2475">
        <f t="shared" si="38"/>
        <v>0</v>
      </c>
    </row>
    <row r="2476" spans="1:12" ht="16.5" x14ac:dyDescent="0.2">
      <c r="A2476" s="4" t="s">
        <v>37</v>
      </c>
      <c r="B2476">
        <v>2009</v>
      </c>
      <c r="C2476" s="14">
        <f>461.3*(2/3*10)</f>
        <v>3075.333333333333</v>
      </c>
      <c r="D2476" s="14">
        <f>11.2*(2/3*10)</f>
        <v>74.666666666666657</v>
      </c>
      <c r="E2476" s="14">
        <f>558.3*(2/3*10)</f>
        <v>3721.9999999999995</v>
      </c>
      <c r="F2476" s="14">
        <f>3014.6*(2/3*10)</f>
        <v>20097.333333333332</v>
      </c>
      <c r="G2476" s="14">
        <f>54*(2/3*10)</f>
        <v>359.99999999999994</v>
      </c>
      <c r="H2476" s="14">
        <f>36.7*(2/3*10)</f>
        <v>244.66666666666666</v>
      </c>
      <c r="I2476" s="14">
        <f>241.8*(2/3*10)</f>
        <v>1612</v>
      </c>
      <c r="K2476" s="15">
        <v>2473</v>
      </c>
      <c r="L2476">
        <f t="shared" si="38"/>
        <v>1</v>
      </c>
    </row>
    <row r="2477" spans="1:12" ht="16.5" x14ac:dyDescent="0.2">
      <c r="A2477" s="4" t="s">
        <v>37</v>
      </c>
      <c r="B2477">
        <v>2010</v>
      </c>
      <c r="C2477" s="14">
        <f>460.9*(2/3*10)</f>
        <v>3072.6666666666661</v>
      </c>
      <c r="D2477" s="14">
        <f>11.1*(2/3*10)</f>
        <v>73.999999999999986</v>
      </c>
      <c r="E2477" s="14">
        <f>558.3*(2/3*10)</f>
        <v>3721.9999999999995</v>
      </c>
      <c r="F2477" s="14">
        <f>3013.9*(2/3*10)</f>
        <v>20092.666666666664</v>
      </c>
      <c r="G2477" s="14">
        <f>54.4*(2/3*10)</f>
        <v>362.66666666666669</v>
      </c>
      <c r="H2477" s="14">
        <f>37.8*(2/3*10)</f>
        <v>251.99999999999997</v>
      </c>
      <c r="I2477" s="14">
        <f>241.7*(2/3*10)</f>
        <v>1611.333333333333</v>
      </c>
      <c r="K2477">
        <v>2474</v>
      </c>
      <c r="L2477">
        <f t="shared" si="38"/>
        <v>2</v>
      </c>
    </row>
    <row r="2478" spans="1:12" ht="16.5" x14ac:dyDescent="0.2">
      <c r="A2478" s="4" t="s">
        <v>37</v>
      </c>
      <c r="B2478">
        <v>2011</v>
      </c>
      <c r="C2478" s="14">
        <f>462.2*(2/3*10)</f>
        <v>3081.333333333333</v>
      </c>
      <c r="D2478" s="14">
        <f>11*(2/3*10)</f>
        <v>73.333333333333329</v>
      </c>
      <c r="E2478" s="14">
        <f>558*(2/3*10)</f>
        <v>3719.9999999999995</v>
      </c>
      <c r="F2478" s="14">
        <f>3012.6*(2/3*10)</f>
        <v>20083.999999999996</v>
      </c>
      <c r="G2478" s="14">
        <f>55.9*(2/3*10)</f>
        <v>372.66666666666669</v>
      </c>
      <c r="H2478" s="14">
        <f>37.9*(2/3*10)</f>
        <v>252.66666666666663</v>
      </c>
      <c r="I2478" s="14">
        <f>241.7*(2/3*10)</f>
        <v>1611.333333333333</v>
      </c>
      <c r="K2478" s="15">
        <v>2475</v>
      </c>
      <c r="L2478">
        <f t="shared" si="38"/>
        <v>3</v>
      </c>
    </row>
    <row r="2479" spans="1:12" ht="16.5" x14ac:dyDescent="0.2">
      <c r="A2479" s="4" t="s">
        <v>37</v>
      </c>
      <c r="B2479">
        <v>2012</v>
      </c>
      <c r="C2479" s="14">
        <f>462.9*(2/3*10)</f>
        <v>3085.9999999999995</v>
      </c>
      <c r="D2479" s="14">
        <f>10.9*(2/3*10)</f>
        <v>72.666666666666657</v>
      </c>
      <c r="E2479" s="14">
        <f>558*(2/3*10)</f>
        <v>3719.9999999999995</v>
      </c>
      <c r="F2479" s="14">
        <f>3011.1*(2/3*10)</f>
        <v>20073.999999999996</v>
      </c>
      <c r="G2479" s="14">
        <f>57.7*(2/3*10)</f>
        <v>384.66666666666663</v>
      </c>
      <c r="H2479" s="14">
        <f>38*(2/3*10)</f>
        <v>253.33333333333331</v>
      </c>
      <c r="I2479" s="14">
        <f>241.5*(2/3*10)</f>
        <v>1609.9999999999998</v>
      </c>
      <c r="K2479">
        <v>2476</v>
      </c>
      <c r="L2479">
        <f t="shared" si="38"/>
        <v>4</v>
      </c>
    </row>
    <row r="2480" spans="1:12" ht="16.5" x14ac:dyDescent="0.2">
      <c r="A2480" s="4" t="s">
        <v>37</v>
      </c>
      <c r="B2480">
        <v>2013</v>
      </c>
      <c r="C2480" s="14">
        <f>463.8*(2/3*10)</f>
        <v>3092</v>
      </c>
      <c r="D2480" s="14">
        <f>10.9*(2/3*10)</f>
        <v>72.666666666666657</v>
      </c>
      <c r="E2480" s="14">
        <f>557.9*(2/3*10)</f>
        <v>3719.333333333333</v>
      </c>
      <c r="F2480" s="14">
        <f>3009.2*(2/3*10)</f>
        <v>20061.333333333332</v>
      </c>
      <c r="G2480" s="14">
        <f>59.8*(2/3*10)</f>
        <v>398.66666666666663</v>
      </c>
      <c r="H2480" s="14">
        <f>38.5*(2/3*10)</f>
        <v>256.66666666666663</v>
      </c>
      <c r="I2480" s="14">
        <f>241.3*(2/3*10)</f>
        <v>1608.6666666666665</v>
      </c>
      <c r="K2480">
        <v>2477</v>
      </c>
      <c r="L2480">
        <f t="shared" si="38"/>
        <v>5</v>
      </c>
    </row>
    <row r="2481" spans="1:12" ht="16.5" x14ac:dyDescent="0.2">
      <c r="A2481" s="4" t="s">
        <v>37</v>
      </c>
      <c r="B2481">
        <v>2014</v>
      </c>
      <c r="C2481" s="14">
        <f>466.4*(2/3*10)</f>
        <v>3109.333333333333</v>
      </c>
      <c r="D2481" s="14">
        <f>10.9*(2/3*10)</f>
        <v>72.666666666666657</v>
      </c>
      <c r="E2481" s="14">
        <f>557.7*(2/3*10)</f>
        <v>3718</v>
      </c>
      <c r="F2481" s="14">
        <f>3007.5*(2/3*10)</f>
        <v>20050</v>
      </c>
      <c r="G2481" s="14">
        <f>62.9*(2/3*10)</f>
        <v>419.33333333333331</v>
      </c>
      <c r="H2481" s="14">
        <f>38.9*(2/3*10)</f>
        <v>259.33333333333331</v>
      </c>
      <c r="I2481" s="14">
        <f>241*(2/3*10)</f>
        <v>1606.6666666666665</v>
      </c>
      <c r="K2481" s="15">
        <v>2478</v>
      </c>
      <c r="L2481">
        <f t="shared" si="38"/>
        <v>6</v>
      </c>
    </row>
    <row r="2482" spans="1:12" ht="16.5" x14ac:dyDescent="0.2">
      <c r="A2482" s="4" t="s">
        <v>37</v>
      </c>
      <c r="B2482">
        <v>2015</v>
      </c>
      <c r="C2482" s="14">
        <f>467.4*(2/3*10)</f>
        <v>3115.9999999999995</v>
      </c>
      <c r="D2482" s="14">
        <f>10.8*(2/3*10)</f>
        <v>72</v>
      </c>
      <c r="E2482" s="14">
        <f>557.7*(2/3*10)</f>
        <v>3718</v>
      </c>
      <c r="F2482" s="14">
        <f>3006.7*(2/3*10)</f>
        <v>20044.666666666664</v>
      </c>
      <c r="G2482" s="14">
        <f>64.1*(2/3*10)</f>
        <v>427.33333333333326</v>
      </c>
      <c r="H2482" s="14">
        <f>39.3*(2/3*10)</f>
        <v>261.99999999999994</v>
      </c>
      <c r="I2482" s="14">
        <f>240.7*(2/3*10)</f>
        <v>1604.6666666666665</v>
      </c>
      <c r="K2482">
        <v>2479</v>
      </c>
      <c r="L2482">
        <f t="shared" si="38"/>
        <v>7</v>
      </c>
    </row>
    <row r="2483" spans="1:12" ht="16.5" x14ac:dyDescent="0.2">
      <c r="A2483" s="4" t="s">
        <v>37</v>
      </c>
      <c r="B2483">
        <v>2016</v>
      </c>
      <c r="C2483" s="14">
        <f>468.5*(2/3*10)</f>
        <v>3123.333333333333</v>
      </c>
      <c r="D2483" s="14">
        <f>10.8*(2/3*10)</f>
        <v>72</v>
      </c>
      <c r="E2483" s="14">
        <f>557.5*(2/3*10)</f>
        <v>3716.6666666666665</v>
      </c>
      <c r="F2483" s="14">
        <f>3005.7*(2/3*10)</f>
        <v>20037.999999999996</v>
      </c>
      <c r="G2483" s="14">
        <f>65.5*(2/3*10)</f>
        <v>436.66666666666663</v>
      </c>
      <c r="H2483" s="14">
        <f>40*(2/3*10)</f>
        <v>266.66666666666663</v>
      </c>
      <c r="I2483" s="14">
        <f>240.6*(2/3*10)</f>
        <v>1603.9999999999998</v>
      </c>
      <c r="K2483" s="15">
        <v>2480</v>
      </c>
      <c r="L2483">
        <f t="shared" si="38"/>
        <v>0</v>
      </c>
    </row>
    <row r="2484" spans="1:12" ht="16.5" x14ac:dyDescent="0.2">
      <c r="A2484" s="4" t="s">
        <v>36</v>
      </c>
      <c r="B2484">
        <v>2009</v>
      </c>
      <c r="C2484" s="14">
        <f>606.8*(2/3*10)</f>
        <v>4045.3333333333326</v>
      </c>
      <c r="D2484" s="14">
        <f>63.3*(2/3*10)</f>
        <v>421.99999999999994</v>
      </c>
      <c r="E2484" s="14">
        <f>631.6*(2/3*10)</f>
        <v>4210.6666666666661</v>
      </c>
      <c r="F2484" s="14">
        <f>150.7*(2/3*10)</f>
        <v>1004.6666666666665</v>
      </c>
      <c r="G2484" s="14">
        <f>95.5*(2/3*10)</f>
        <v>636.66666666666674</v>
      </c>
      <c r="H2484" s="14">
        <f>22.7*(2/3*10)</f>
        <v>151.33333333333331</v>
      </c>
      <c r="I2484" s="14">
        <f>17.9*(2/3*10)</f>
        <v>119.33333333333331</v>
      </c>
      <c r="K2484">
        <v>2481</v>
      </c>
      <c r="L2484">
        <f t="shared" si="38"/>
        <v>1</v>
      </c>
    </row>
    <row r="2485" spans="1:12" ht="16.5" x14ac:dyDescent="0.2">
      <c r="A2485" s="4" t="s">
        <v>36</v>
      </c>
      <c r="B2485">
        <v>2010</v>
      </c>
      <c r="C2485" s="14">
        <f>605.2*(2/3*10)</f>
        <v>4034.6666666666665</v>
      </c>
      <c r="D2485" s="14">
        <f>64.6*(2/3*10)</f>
        <v>430.66666666666657</v>
      </c>
      <c r="E2485" s="14">
        <f>631.5*(2/3*10)</f>
        <v>4210</v>
      </c>
      <c r="F2485" s="14">
        <f>150.6*(2/3*10)</f>
        <v>1003.9999999999999</v>
      </c>
      <c r="G2485" s="14">
        <f>96.1*(2/3*10)</f>
        <v>640.66666666666663</v>
      </c>
      <c r="H2485" s="14">
        <f>22.8*(2/3*10)</f>
        <v>152</v>
      </c>
      <c r="I2485" s="14">
        <f>17.7*(2/3*10)</f>
        <v>117.99999999999999</v>
      </c>
      <c r="K2485">
        <v>2482</v>
      </c>
      <c r="L2485">
        <f t="shared" si="38"/>
        <v>2</v>
      </c>
    </row>
    <row r="2486" spans="1:12" ht="16.5" x14ac:dyDescent="0.2">
      <c r="A2486" s="4" t="s">
        <v>36</v>
      </c>
      <c r="B2486">
        <v>2011</v>
      </c>
      <c r="C2486" s="14">
        <f>604.9*(2/3*10)</f>
        <v>4032.6666666666661</v>
      </c>
      <c r="D2486" s="14">
        <f>64.4*(2/3*10)</f>
        <v>429.33333333333331</v>
      </c>
      <c r="E2486" s="14">
        <f>631.2*(2/3*10)</f>
        <v>4208</v>
      </c>
      <c r="F2486" s="14">
        <f>150.4*(2/3*10)</f>
        <v>1002.6666666666666</v>
      </c>
      <c r="G2486" s="14">
        <f>97.2*(2/3*10)</f>
        <v>648</v>
      </c>
      <c r="H2486" s="14">
        <f>23*(2/3*10)</f>
        <v>153.33333333333331</v>
      </c>
      <c r="I2486" s="14">
        <f>17.6*(2/3*10)</f>
        <v>117.33333333333333</v>
      </c>
      <c r="K2486" s="15">
        <v>2483</v>
      </c>
      <c r="L2486">
        <f t="shared" si="38"/>
        <v>3</v>
      </c>
    </row>
    <row r="2487" spans="1:12" ht="16.5" x14ac:dyDescent="0.2">
      <c r="A2487" s="4" t="s">
        <v>36</v>
      </c>
      <c r="B2487">
        <v>2012</v>
      </c>
      <c r="C2487" s="14">
        <f>604.7*(2/3*10)</f>
        <v>4031.3333333333335</v>
      </c>
      <c r="D2487" s="14">
        <f>64*(2/3*10)</f>
        <v>426.66666666666663</v>
      </c>
      <c r="E2487" s="14">
        <f>631.1*(2/3*10)</f>
        <v>4207.333333333333</v>
      </c>
      <c r="F2487" s="14">
        <f>150.2*(2/3*10)</f>
        <v>1001.3333333333331</v>
      </c>
      <c r="G2487" s="14">
        <f>98.2*(2/3*10)</f>
        <v>654.66666666666663</v>
      </c>
      <c r="H2487" s="14">
        <f>23*(2/3*10)</f>
        <v>153.33333333333331</v>
      </c>
      <c r="I2487" s="14">
        <f>17.5*(2/3*10)</f>
        <v>116.66666666666666</v>
      </c>
      <c r="K2487">
        <v>2484</v>
      </c>
      <c r="L2487">
        <f t="shared" si="38"/>
        <v>4</v>
      </c>
    </row>
    <row r="2488" spans="1:12" ht="16.5" x14ac:dyDescent="0.2">
      <c r="A2488" s="4" t="s">
        <v>36</v>
      </c>
      <c r="B2488">
        <v>2013</v>
      </c>
      <c r="C2488" s="14">
        <f>604.1*(2/3*10)</f>
        <v>4027.333333333333</v>
      </c>
      <c r="D2488" s="14">
        <f>63.8*(2/3*10)</f>
        <v>425.33333333333326</v>
      </c>
      <c r="E2488" s="14">
        <f>630.9*(2/3*10)</f>
        <v>4205.9999999999991</v>
      </c>
      <c r="F2488" s="14">
        <f>150.1*(2/3*10)</f>
        <v>1000.6666666666665</v>
      </c>
      <c r="G2488" s="14">
        <f>99*(2/3*10)</f>
        <v>659.99999999999989</v>
      </c>
      <c r="H2488" s="14">
        <f>23.2*(2/3*10)</f>
        <v>154.66666666666666</v>
      </c>
      <c r="I2488" s="14">
        <f>17.4*(2/3*10)</f>
        <v>115.99999999999999</v>
      </c>
      <c r="K2488" s="15">
        <v>2485</v>
      </c>
      <c r="L2488">
        <f t="shared" si="38"/>
        <v>5</v>
      </c>
    </row>
    <row r="2489" spans="1:12" ht="16.5" x14ac:dyDescent="0.2">
      <c r="A2489" s="4" t="s">
        <v>36</v>
      </c>
      <c r="B2489">
        <v>2014</v>
      </c>
      <c r="C2489" s="14">
        <f>603.7*(2/3*10)</f>
        <v>4024.6666666666665</v>
      </c>
      <c r="D2489" s="14">
        <f>63.6*(2/3*10)</f>
        <v>424</v>
      </c>
      <c r="E2489" s="14">
        <f>630.7*(2/3*10)</f>
        <v>4204.666666666667</v>
      </c>
      <c r="F2489" s="14">
        <f>150*(2/3*10)</f>
        <v>999.99999999999989</v>
      </c>
      <c r="G2489" s="14">
        <f>99.8*(2/3*10)</f>
        <v>665.33333333333337</v>
      </c>
      <c r="H2489" s="14">
        <f>23.2*(2/3*10)</f>
        <v>154.66666666666666</v>
      </c>
      <c r="I2489" s="14">
        <f>17.4*(2/3*10)</f>
        <v>115.99999999999999</v>
      </c>
      <c r="K2489">
        <v>2486</v>
      </c>
      <c r="L2489">
        <f t="shared" si="38"/>
        <v>6</v>
      </c>
    </row>
    <row r="2490" spans="1:12" ht="16.5" x14ac:dyDescent="0.2">
      <c r="A2490" s="4" t="s">
        <v>36</v>
      </c>
      <c r="B2490">
        <v>2015</v>
      </c>
      <c r="C2490" s="14">
        <f>603.6*(2/3*10)</f>
        <v>4024</v>
      </c>
      <c r="D2490" s="14">
        <f>63.3*(2/3*10)</f>
        <v>421.99999999999994</v>
      </c>
      <c r="E2490" s="14">
        <f>630.4*(2/3*10)</f>
        <v>4202.6666666666661</v>
      </c>
      <c r="F2490" s="14">
        <f>149.5*(2/3*10)</f>
        <v>996.66666666666663</v>
      </c>
      <c r="G2490" s="14">
        <f>100.8*(2/3*10)</f>
        <v>671.99999999999989</v>
      </c>
      <c r="H2490" s="14">
        <f>23.2*(2/3*10)</f>
        <v>154.66666666666666</v>
      </c>
      <c r="I2490" s="14">
        <f>17.4*(2/3*10)</f>
        <v>115.99999999999999</v>
      </c>
      <c r="K2490">
        <v>2487</v>
      </c>
      <c r="L2490">
        <f t="shared" si="38"/>
        <v>7</v>
      </c>
    </row>
    <row r="2491" spans="1:12" ht="16.5" x14ac:dyDescent="0.2">
      <c r="A2491" s="4" t="s">
        <v>36</v>
      </c>
      <c r="B2491">
        <v>2016</v>
      </c>
      <c r="C2491" s="14">
        <f>602.7*(2/3*10)</f>
        <v>4018</v>
      </c>
      <c r="D2491" s="14">
        <f>63*(2/3*10)</f>
        <v>419.99999999999994</v>
      </c>
      <c r="E2491" s="14">
        <f>630.1*(2/3*10)</f>
        <v>4200.6666666666661</v>
      </c>
      <c r="F2491" s="14">
        <f>149.5*(2/3*10)</f>
        <v>996.66666666666663</v>
      </c>
      <c r="G2491" s="14">
        <f>102*(2/3*10)</f>
        <v>679.99999999999989</v>
      </c>
      <c r="H2491" s="14">
        <f>23.3*(2/3*10)</f>
        <v>155.33333333333331</v>
      </c>
      <c r="I2491" s="14">
        <f>17.3*(2/3*10)</f>
        <v>115.33333333333333</v>
      </c>
      <c r="K2491" s="15">
        <v>2488</v>
      </c>
      <c r="L2491">
        <f t="shared" si="38"/>
        <v>0</v>
      </c>
    </row>
    <row r="2492" spans="1:12" ht="16.5" x14ac:dyDescent="0.2">
      <c r="A2492" s="4" t="s">
        <v>35</v>
      </c>
      <c r="B2492">
        <v>2009</v>
      </c>
      <c r="C2492" s="14">
        <f>385.8*(2/3*10)</f>
        <v>2572</v>
      </c>
      <c r="D2492" s="14">
        <f>13.3*(2/3*10)</f>
        <v>88.666666666666657</v>
      </c>
      <c r="E2492" s="14">
        <f>175.7*(2/3*10)</f>
        <v>1171.3333333333333</v>
      </c>
      <c r="F2492" s="14">
        <f>6642.5*(2/3*10)</f>
        <v>44283.333333333328</v>
      </c>
      <c r="G2492" s="14">
        <f>59.5*(2/3*10)</f>
        <v>396.66666666666663</v>
      </c>
      <c r="H2492" s="14">
        <f>46.1*(2/3*10)</f>
        <v>307.33333333333331</v>
      </c>
      <c r="I2492" s="14">
        <f>541.9*(2/3*10)</f>
        <v>3612.6666666666661</v>
      </c>
      <c r="K2492">
        <v>2489</v>
      </c>
      <c r="L2492">
        <f t="shared" si="38"/>
        <v>1</v>
      </c>
    </row>
    <row r="2493" spans="1:12" ht="16.5" x14ac:dyDescent="0.2">
      <c r="A2493" s="4" t="s">
        <v>35</v>
      </c>
      <c r="B2493">
        <v>2010</v>
      </c>
      <c r="C2493" s="14">
        <f>385.5*(2/3*10)</f>
        <v>2569.9999999999995</v>
      </c>
      <c r="D2493" s="14">
        <f>13.3*(2/3*10)</f>
        <v>88.666666666666657</v>
      </c>
      <c r="E2493" s="14">
        <f>175.7*(2/3*10)</f>
        <v>1171.3333333333333</v>
      </c>
      <c r="F2493" s="14">
        <f>6642.1*(2/3*10)</f>
        <v>44280.666666666664</v>
      </c>
      <c r="G2493" s="14">
        <f>61.7*(2/3*10)</f>
        <v>411.33333333333331</v>
      </c>
      <c r="H2493" s="14">
        <f>47.9*(2/3*10)</f>
        <v>319.33333333333331</v>
      </c>
      <c r="I2493" s="14">
        <f>541.9*(2/3*10)</f>
        <v>3612.6666666666661</v>
      </c>
      <c r="K2493" s="15">
        <v>2490</v>
      </c>
      <c r="L2493">
        <f t="shared" si="38"/>
        <v>2</v>
      </c>
    </row>
    <row r="2494" spans="1:12" ht="16.5" x14ac:dyDescent="0.2">
      <c r="A2494" s="4" t="s">
        <v>35</v>
      </c>
      <c r="B2494">
        <v>2011</v>
      </c>
      <c r="C2494" s="14">
        <f>387.9*(2/3*10)</f>
        <v>2585.9999999999995</v>
      </c>
      <c r="D2494" s="14">
        <f>13.1*(2/3*10)</f>
        <v>87.333333333333329</v>
      </c>
      <c r="E2494" s="14">
        <f>175.6*(2/3*10)</f>
        <v>1170.6666666666665</v>
      </c>
      <c r="F2494" s="14">
        <f>6640.5*(2/3*10)</f>
        <v>44269.999999999993</v>
      </c>
      <c r="G2494" s="14">
        <f>63.9*(2/3*10)</f>
        <v>425.99999999999994</v>
      </c>
      <c r="H2494" s="14">
        <f>51.6*(2/3*10)</f>
        <v>344</v>
      </c>
      <c r="I2494" s="14">
        <f>542*(2/3*10)</f>
        <v>3613.333333333333</v>
      </c>
      <c r="K2494">
        <v>2491</v>
      </c>
      <c r="L2494">
        <f t="shared" si="38"/>
        <v>3</v>
      </c>
    </row>
    <row r="2495" spans="1:12" ht="16.5" x14ac:dyDescent="0.2">
      <c r="A2495" s="4" t="s">
        <v>35</v>
      </c>
      <c r="B2495">
        <v>2012</v>
      </c>
      <c r="C2495" s="14">
        <f>388.6*(2/3*10)</f>
        <v>2590.6666666666665</v>
      </c>
      <c r="D2495" s="14">
        <f>13.1*(2/3*10)</f>
        <v>87.333333333333329</v>
      </c>
      <c r="E2495" s="14">
        <f>175.6*(2/3*10)</f>
        <v>1170.6666666666665</v>
      </c>
      <c r="F2495" s="14">
        <f>6639*(2/3*10)</f>
        <v>44259.999999999993</v>
      </c>
      <c r="G2495" s="14">
        <f>67.6*(2/3*10)</f>
        <v>450.66666666666657</v>
      </c>
      <c r="H2495" s="14">
        <f>53.2*(2/3*10)</f>
        <v>354.66666666666663</v>
      </c>
      <c r="I2495" s="14">
        <f>542*(2/3*10)</f>
        <v>3613.333333333333</v>
      </c>
      <c r="K2495">
        <v>2492</v>
      </c>
      <c r="L2495">
        <f t="shared" si="38"/>
        <v>4</v>
      </c>
    </row>
    <row r="2496" spans="1:12" ht="16.5" x14ac:dyDescent="0.2">
      <c r="A2496" s="4" t="s">
        <v>35</v>
      </c>
      <c r="B2496">
        <v>2013</v>
      </c>
      <c r="C2496" s="14">
        <f>390.8*(2/3*10)</f>
        <v>2605.333333333333</v>
      </c>
      <c r="D2496" s="14">
        <f>13.1*(2/3*10)</f>
        <v>87.333333333333329</v>
      </c>
      <c r="E2496" s="14">
        <f>175.4*(2/3*10)</f>
        <v>1169.3333333333333</v>
      </c>
      <c r="F2496" s="14">
        <f>6637.1*(2/3*10)</f>
        <v>44247.333333333328</v>
      </c>
      <c r="G2496" s="14">
        <f>69.9*(2/3*10)</f>
        <v>465.99999999999989</v>
      </c>
      <c r="H2496" s="14">
        <f>55.2*(2/3*10)</f>
        <v>368</v>
      </c>
      <c r="I2496" s="14">
        <f>541.9*(2/3*10)</f>
        <v>3612.6666666666661</v>
      </c>
      <c r="K2496" s="15">
        <v>2493</v>
      </c>
      <c r="L2496">
        <f t="shared" ref="L2496:L2559" si="39">MOD(K2496,8)</f>
        <v>5</v>
      </c>
    </row>
    <row r="2497" spans="1:12" ht="16.5" x14ac:dyDescent="0.2">
      <c r="A2497" s="4" t="s">
        <v>35</v>
      </c>
      <c r="B2497">
        <v>2014</v>
      </c>
      <c r="C2497" s="14">
        <f>390.6*(2/3*10)</f>
        <v>2604</v>
      </c>
      <c r="D2497" s="14">
        <f>13*(2/3*10)</f>
        <v>86.666666666666657</v>
      </c>
      <c r="E2497" s="14">
        <f>175.4*(2/3*10)</f>
        <v>1169.3333333333333</v>
      </c>
      <c r="F2497" s="14">
        <f>6635.9*(2/3*10)</f>
        <v>44239.333333333328</v>
      </c>
      <c r="G2497" s="14">
        <f>73.3*(2/3*10)</f>
        <v>488.66666666666663</v>
      </c>
      <c r="H2497" s="14">
        <f>56.9*(2/3*10)</f>
        <v>379.33333333333331</v>
      </c>
      <c r="I2497" s="14">
        <f>541.9*(2/3*10)</f>
        <v>3612.6666666666661</v>
      </c>
      <c r="K2497">
        <v>2494</v>
      </c>
      <c r="L2497">
        <f t="shared" si="39"/>
        <v>6</v>
      </c>
    </row>
    <row r="2498" spans="1:12" ht="16.5" x14ac:dyDescent="0.2">
      <c r="A2498" s="4" t="s">
        <v>35</v>
      </c>
      <c r="B2498">
        <v>2015</v>
      </c>
      <c r="C2498" s="14">
        <f>390.7*(2/3*10)</f>
        <v>2604.6666666666665</v>
      </c>
      <c r="D2498" s="14">
        <f>12.9*(2/3*10)</f>
        <v>86</v>
      </c>
      <c r="E2498" s="14">
        <f>175.4*(2/3*10)</f>
        <v>1169.3333333333333</v>
      </c>
      <c r="F2498" s="14">
        <f>6635.5*(2/3*10)</f>
        <v>44236.666666666664</v>
      </c>
      <c r="G2498" s="14">
        <f>74.1*(2/3*10)</f>
        <v>493.99999999999994</v>
      </c>
      <c r="H2498" s="14">
        <f>57.4*(2/3*10)</f>
        <v>382.66666666666663</v>
      </c>
      <c r="I2498" s="14">
        <f>542.2*(2/3*10)</f>
        <v>3614.6666666666665</v>
      </c>
      <c r="K2498" s="15">
        <v>2495</v>
      </c>
      <c r="L2498">
        <f t="shared" si="39"/>
        <v>7</v>
      </c>
    </row>
    <row r="2499" spans="1:12" ht="16.5" x14ac:dyDescent="0.2">
      <c r="A2499" s="4" t="s">
        <v>35</v>
      </c>
      <c r="B2499">
        <v>2016</v>
      </c>
      <c r="C2499" s="14">
        <f>390.2*(2/3*10)</f>
        <v>2601.333333333333</v>
      </c>
      <c r="D2499" s="14">
        <f>12.9*(2/3*10)</f>
        <v>86</v>
      </c>
      <c r="E2499" s="14">
        <f>175.3*(2/3*10)</f>
        <v>1168.6666666666667</v>
      </c>
      <c r="F2499" s="14">
        <f>6633.8*(2/3*10)</f>
        <v>44225.333333333328</v>
      </c>
      <c r="G2499" s="14">
        <f>75.4*(2/3*10)</f>
        <v>502.66666666666669</v>
      </c>
      <c r="H2499" s="14">
        <f>60.6*(2/3*10)</f>
        <v>404</v>
      </c>
      <c r="I2499" s="14">
        <f>542.6*(2/3*10)</f>
        <v>3617.333333333333</v>
      </c>
      <c r="K2499">
        <v>2496</v>
      </c>
      <c r="L2499">
        <f t="shared" si="39"/>
        <v>0</v>
      </c>
    </row>
    <row r="2500" spans="1:12" ht="16.5" x14ac:dyDescent="0.2">
      <c r="A2500" s="4" t="s">
        <v>34</v>
      </c>
      <c r="B2500">
        <v>2009</v>
      </c>
      <c r="C2500" s="14">
        <f>1040.4*(2/3*10)</f>
        <v>6936</v>
      </c>
      <c r="D2500" s="14">
        <f>32.9*(2/3*10)</f>
        <v>219.33333333333331</v>
      </c>
      <c r="E2500" s="14">
        <f>1152.6*(2/3*10)</f>
        <v>7683.9999999999991</v>
      </c>
      <c r="F2500" s="14">
        <f>1547.8*(2/3*10)</f>
        <v>10318.666666666666</v>
      </c>
      <c r="G2500" s="14">
        <f>147.5*(2/3*10)</f>
        <v>983.33333333333326</v>
      </c>
      <c r="H2500" s="14">
        <f>29.7*(2/3*10)</f>
        <v>197.99999999999997</v>
      </c>
      <c r="I2500" s="14">
        <f>16.1*(2/3*10)</f>
        <v>107.33333333333333</v>
      </c>
      <c r="K2500">
        <v>2497</v>
      </c>
      <c r="L2500">
        <f t="shared" si="39"/>
        <v>1</v>
      </c>
    </row>
    <row r="2501" spans="1:12" ht="16.5" x14ac:dyDescent="0.2">
      <c r="A2501" s="4" t="s">
        <v>34</v>
      </c>
      <c r="B2501">
        <v>2010</v>
      </c>
      <c r="C2501" s="14">
        <f>1041.2*(2/3*10)</f>
        <v>6941.333333333333</v>
      </c>
      <c r="D2501" s="14">
        <f>32.8*(2/3*10)</f>
        <v>218.66666666666663</v>
      </c>
      <c r="E2501" s="14">
        <f>1155.8*(2/3*10)</f>
        <v>7705.3333333333321</v>
      </c>
      <c r="F2501" s="14">
        <f>1542.6*(2/3*10)</f>
        <v>10283.999999999998</v>
      </c>
      <c r="G2501" s="14">
        <f>148.7*(2/3*10)</f>
        <v>991.33333333333337</v>
      </c>
      <c r="H2501" s="14">
        <f>29.9*(2/3*10)</f>
        <v>199.33333333333331</v>
      </c>
      <c r="I2501" s="14">
        <f>16.1*(2/3*10)</f>
        <v>107.33333333333333</v>
      </c>
      <c r="K2501" s="15">
        <v>2498</v>
      </c>
      <c r="L2501">
        <f t="shared" si="39"/>
        <v>2</v>
      </c>
    </row>
    <row r="2502" spans="1:12" ht="16.5" x14ac:dyDescent="0.2">
      <c r="A2502" s="4" t="s">
        <v>34</v>
      </c>
      <c r="B2502">
        <v>2011</v>
      </c>
      <c r="C2502" s="14">
        <f>1041.8*(2/3*10)</f>
        <v>6945.3333333333321</v>
      </c>
      <c r="D2502" s="14">
        <f>32.6*(2/3*10)</f>
        <v>217.33333333333331</v>
      </c>
      <c r="E2502" s="14">
        <f>1154.9*(2/3*10)</f>
        <v>7699.333333333333</v>
      </c>
      <c r="F2502" s="14">
        <f>1540.9*(2/3*10)</f>
        <v>10272.666666666666</v>
      </c>
      <c r="G2502" s="14">
        <f>149.9*(2/3*10)</f>
        <v>999.33333333333326</v>
      </c>
      <c r="H2502" s="14">
        <f>30.9*(2/3*10)</f>
        <v>205.99999999999997</v>
      </c>
      <c r="I2502" s="14">
        <f>16*(2/3*10)</f>
        <v>106.66666666666666</v>
      </c>
      <c r="K2502">
        <v>2499</v>
      </c>
      <c r="L2502">
        <f t="shared" si="39"/>
        <v>3</v>
      </c>
    </row>
    <row r="2503" spans="1:12" ht="16.5" x14ac:dyDescent="0.2">
      <c r="A2503" s="4" t="s">
        <v>34</v>
      </c>
      <c r="B2503">
        <v>2012</v>
      </c>
      <c r="C2503" s="14">
        <f>1041.7*(2/3*10)</f>
        <v>6944.6666666666661</v>
      </c>
      <c r="D2503" s="14">
        <f>32.5*(2/3*10)</f>
        <v>216.66666666666666</v>
      </c>
      <c r="E2503" s="14">
        <f>1154.2*(2/3*10)</f>
        <v>7694.6666666666661</v>
      </c>
      <c r="F2503" s="14">
        <f>1540.2*(2/3*10)</f>
        <v>10268</v>
      </c>
      <c r="G2503" s="14">
        <f>151.5*(2/3*10)</f>
        <v>1009.9999999999999</v>
      </c>
      <c r="H2503" s="14">
        <f>31.3*(2/3*10)</f>
        <v>208.66666666666666</v>
      </c>
      <c r="I2503" s="14">
        <f>16*(2/3*10)</f>
        <v>106.66666666666666</v>
      </c>
      <c r="K2503" s="15">
        <v>2500</v>
      </c>
      <c r="L2503">
        <f t="shared" si="39"/>
        <v>4</v>
      </c>
    </row>
    <row r="2504" spans="1:12" ht="16.5" x14ac:dyDescent="0.2">
      <c r="A2504" s="4" t="s">
        <v>34</v>
      </c>
      <c r="B2504">
        <v>2013</v>
      </c>
      <c r="C2504" s="14">
        <f>1040.8*(2/3*10)</f>
        <v>6938.6666666666661</v>
      </c>
      <c r="D2504" s="14">
        <f>32.3*(2/3*10)</f>
        <v>215.33333333333329</v>
      </c>
      <c r="E2504" s="14">
        <f>1154*(2/3*10)</f>
        <v>7693.333333333333</v>
      </c>
      <c r="F2504" s="14">
        <f>1539.9*(2/3*10)</f>
        <v>10266</v>
      </c>
      <c r="G2504" s="14">
        <f>152.9*(2/3*10)</f>
        <v>1019.3333333333333</v>
      </c>
      <c r="H2504" s="14">
        <f>31.4*(2/3*10)</f>
        <v>209.33333333333331</v>
      </c>
      <c r="I2504" s="14">
        <f>16*(2/3*10)</f>
        <v>106.66666666666666</v>
      </c>
      <c r="K2504">
        <v>2501</v>
      </c>
      <c r="L2504">
        <f t="shared" si="39"/>
        <v>5</v>
      </c>
    </row>
    <row r="2505" spans="1:12" ht="16.5" x14ac:dyDescent="0.2">
      <c r="A2505" s="4" t="s">
        <v>34</v>
      </c>
      <c r="B2505">
        <v>2014</v>
      </c>
      <c r="C2505" s="14">
        <f>1040.9*(2/3*10)</f>
        <v>6939.333333333333</v>
      </c>
      <c r="D2505" s="14">
        <f>32.1*(2/3*10)</f>
        <v>214</v>
      </c>
      <c r="E2505" s="14">
        <f>1152.9*(2/3*10)</f>
        <v>7686</v>
      </c>
      <c r="F2505" s="14">
        <f>1538.8*(2/3*10)</f>
        <v>10258.666666666666</v>
      </c>
      <c r="G2505" s="14">
        <f>155.4*(2/3*10)</f>
        <v>1036</v>
      </c>
      <c r="H2505" s="14">
        <f>31.8*(2/3*10)</f>
        <v>212</v>
      </c>
      <c r="I2505" s="14">
        <f>16*(2/3*10)</f>
        <v>106.66666666666666</v>
      </c>
      <c r="K2505">
        <v>2502</v>
      </c>
      <c r="L2505">
        <f t="shared" si="39"/>
        <v>6</v>
      </c>
    </row>
    <row r="2506" spans="1:12" ht="16.5" x14ac:dyDescent="0.2">
      <c r="A2506" s="4" t="s">
        <v>34</v>
      </c>
      <c r="B2506">
        <v>2015</v>
      </c>
      <c r="C2506" s="14">
        <f>1040.3*(2/3*10)</f>
        <v>6935.3333333333321</v>
      </c>
      <c r="D2506" s="14">
        <f>32*(2/3*10)</f>
        <v>213.33333333333331</v>
      </c>
      <c r="E2506" s="14">
        <f>1152.7*(2/3*10)</f>
        <v>7684.6666666666661</v>
      </c>
      <c r="F2506" s="14">
        <f>1538.3*(2/3*10)</f>
        <v>10255.333333333332</v>
      </c>
      <c r="G2506" s="14">
        <f>156.6*(2/3*10)</f>
        <v>1043.9999999999998</v>
      </c>
      <c r="H2506" s="14">
        <f>32*(2/3*10)</f>
        <v>213.33333333333331</v>
      </c>
      <c r="I2506" s="14">
        <f>16*(2/3*10)</f>
        <v>106.66666666666666</v>
      </c>
      <c r="K2506" s="15">
        <v>2503</v>
      </c>
      <c r="L2506">
        <f t="shared" si="39"/>
        <v>7</v>
      </c>
    </row>
    <row r="2507" spans="1:12" ht="16.5" x14ac:dyDescent="0.2">
      <c r="A2507" s="4" t="s">
        <v>34</v>
      </c>
      <c r="B2507">
        <v>2016</v>
      </c>
      <c r="C2507" s="14">
        <f>1039.5*(2/3*10)</f>
        <v>6929.9999999999991</v>
      </c>
      <c r="D2507" s="14">
        <f>31.9*(2/3*10)</f>
        <v>212.66666666666663</v>
      </c>
      <c r="E2507" s="14">
        <f>1152.4*(2/3*10)</f>
        <v>7682.666666666667</v>
      </c>
      <c r="F2507" s="14">
        <f>1537.9*(2/3*10)</f>
        <v>10252.666666666666</v>
      </c>
      <c r="G2507" s="14">
        <f>157.7*(2/3*10)</f>
        <v>1051.3333333333333</v>
      </c>
      <c r="H2507" s="14">
        <f>32.3*(2/3*10)</f>
        <v>215.33333333333329</v>
      </c>
      <c r="I2507" s="14">
        <f>16*(2/3*10)</f>
        <v>106.66666666666666</v>
      </c>
      <c r="K2507">
        <v>2504</v>
      </c>
      <c r="L2507">
        <f t="shared" si="39"/>
        <v>0</v>
      </c>
    </row>
    <row r="2508" spans="1:12" ht="16.5" x14ac:dyDescent="0.2">
      <c r="A2508" s="4" t="s">
        <v>33</v>
      </c>
      <c r="B2508">
        <v>2009</v>
      </c>
      <c r="C2508" s="14">
        <f>1218.6*(2/3*10)</f>
        <v>8123.9999999999991</v>
      </c>
      <c r="D2508" s="14">
        <f>1.9*(2/3*10)</f>
        <v>12.666666666666664</v>
      </c>
      <c r="E2508" s="14">
        <f>585.2*(2/3*10)</f>
        <v>3901.3333333333335</v>
      </c>
      <c r="F2508" s="14">
        <f>776.3*(2/3*10)</f>
        <v>5175.3333333333321</v>
      </c>
      <c r="G2508" s="14">
        <f>108*(2/3*10)</f>
        <v>720</v>
      </c>
      <c r="H2508" s="14">
        <f>38.9*(2/3*10)</f>
        <v>259.33333333333331</v>
      </c>
      <c r="I2508" s="14">
        <f>32.5*(2/3*10)</f>
        <v>216.66666666666666</v>
      </c>
      <c r="K2508" s="15">
        <v>2505</v>
      </c>
      <c r="L2508">
        <f t="shared" si="39"/>
        <v>1</v>
      </c>
    </row>
    <row r="2509" spans="1:12" ht="16.5" x14ac:dyDescent="0.2">
      <c r="A2509" s="4" t="s">
        <v>33</v>
      </c>
      <c r="B2509">
        <v>2010</v>
      </c>
      <c r="C2509" s="14">
        <f>1217.9*(2/3*10)</f>
        <v>8119.333333333333</v>
      </c>
      <c r="D2509" s="14">
        <f>1.9*(2/3*10)</f>
        <v>12.666666666666664</v>
      </c>
      <c r="E2509" s="14">
        <f>585.1*(2/3*10)</f>
        <v>3900.6666666666665</v>
      </c>
      <c r="F2509" s="14">
        <f>776.1*(2/3*10)</f>
        <v>5174</v>
      </c>
      <c r="G2509" s="14">
        <f>108.9*(2/3*10)</f>
        <v>725.99999999999989</v>
      </c>
      <c r="H2509" s="14">
        <f>39*(2/3*10)</f>
        <v>260</v>
      </c>
      <c r="I2509" s="14">
        <f>32.5*(2/3*10)</f>
        <v>216.66666666666666</v>
      </c>
      <c r="K2509">
        <v>2506</v>
      </c>
      <c r="L2509">
        <f t="shared" si="39"/>
        <v>2</v>
      </c>
    </row>
    <row r="2510" spans="1:12" ht="16.5" x14ac:dyDescent="0.2">
      <c r="A2510" s="4" t="s">
        <v>33</v>
      </c>
      <c r="B2510">
        <v>2011</v>
      </c>
      <c r="C2510" s="14">
        <f>1217.2*(2/3*10)</f>
        <v>8114.6666666666661</v>
      </c>
      <c r="D2510" s="14">
        <f>1.8*(2/3*10)</f>
        <v>12</v>
      </c>
      <c r="E2510" s="14">
        <f>584.9*(2/3*10)</f>
        <v>3899.333333333333</v>
      </c>
      <c r="F2510" s="14">
        <f>775.7*(2/3*10)</f>
        <v>5171.333333333333</v>
      </c>
      <c r="G2510" s="14">
        <f>110*(2/3*10)</f>
        <v>733.33333333333326</v>
      </c>
      <c r="H2510" s="14">
        <f>39.1*(2/3*10)</f>
        <v>260.66666666666663</v>
      </c>
      <c r="I2510" s="14">
        <f>32.4*(2/3*10)</f>
        <v>215.99999999999997</v>
      </c>
      <c r="K2510">
        <v>2507</v>
      </c>
      <c r="L2510">
        <f t="shared" si="39"/>
        <v>3</v>
      </c>
    </row>
    <row r="2511" spans="1:12" ht="16.5" x14ac:dyDescent="0.2">
      <c r="A2511" s="4" t="s">
        <v>33</v>
      </c>
      <c r="B2511">
        <v>2012</v>
      </c>
      <c r="C2511" s="14">
        <f>1216.1*(2/3*10)</f>
        <v>8107.3333333333321</v>
      </c>
      <c r="D2511" s="14">
        <f>1.8*(2/3*10)</f>
        <v>12</v>
      </c>
      <c r="E2511" s="14">
        <f>584.8*(2/3*10)</f>
        <v>3898.6666666666661</v>
      </c>
      <c r="F2511" s="14">
        <f>775.3*(2/3*10)</f>
        <v>5168.6666666666661</v>
      </c>
      <c r="G2511" s="14">
        <f>111.5*(2/3*10)</f>
        <v>743.33333333333326</v>
      </c>
      <c r="H2511" s="14">
        <f>39.1*(2/3*10)</f>
        <v>260.66666666666663</v>
      </c>
      <c r="I2511" s="14">
        <f>32.3*(2/3*10)</f>
        <v>215.33333333333329</v>
      </c>
      <c r="K2511" s="15">
        <v>2508</v>
      </c>
      <c r="L2511">
        <f t="shared" si="39"/>
        <v>4</v>
      </c>
    </row>
    <row r="2512" spans="1:12" ht="16.5" x14ac:dyDescent="0.2">
      <c r="A2512" s="4" t="s">
        <v>33</v>
      </c>
      <c r="B2512">
        <v>2013</v>
      </c>
      <c r="C2512" s="14">
        <f>1215.3*(2/3*10)</f>
        <v>8101.9999999999991</v>
      </c>
      <c r="D2512" s="14">
        <f>1.8*(2/3*10)</f>
        <v>12</v>
      </c>
      <c r="E2512" s="14">
        <f>584.8*(2/3*10)</f>
        <v>3898.6666666666661</v>
      </c>
      <c r="F2512" s="14">
        <f>774.6*(2/3*10)</f>
        <v>5164</v>
      </c>
      <c r="G2512" s="14">
        <f>112.6*(2/3*10)</f>
        <v>750.66666666666663</v>
      </c>
      <c r="H2512" s="14">
        <f>39.3*(2/3*10)</f>
        <v>261.99999999999994</v>
      </c>
      <c r="I2512" s="14">
        <f>32.4*(2/3*10)</f>
        <v>215.99999999999997</v>
      </c>
      <c r="K2512">
        <v>2509</v>
      </c>
      <c r="L2512">
        <f t="shared" si="39"/>
        <v>5</v>
      </c>
    </row>
    <row r="2513" spans="1:12" ht="16.5" x14ac:dyDescent="0.2">
      <c r="A2513" s="4" t="s">
        <v>33</v>
      </c>
      <c r="B2513">
        <v>2014</v>
      </c>
      <c r="C2513" s="14">
        <f>1213.7*(2/3*10)</f>
        <v>8091.333333333333</v>
      </c>
      <c r="D2513" s="14">
        <f>1.8*(2/3*10)</f>
        <v>12</v>
      </c>
      <c r="E2513" s="14">
        <f>584.6*(2/3*10)</f>
        <v>3897.333333333333</v>
      </c>
      <c r="F2513" s="14">
        <f>774.4*(2/3*10)</f>
        <v>5162.6666666666661</v>
      </c>
      <c r="G2513" s="14">
        <f>113.8*(2/3*10)</f>
        <v>758.66666666666663</v>
      </c>
      <c r="H2513" s="14">
        <f>40*(2/3*10)</f>
        <v>266.66666666666663</v>
      </c>
      <c r="I2513" s="14">
        <f>32.3*(2/3*10)</f>
        <v>215.33333333333329</v>
      </c>
      <c r="K2513" s="15">
        <v>2510</v>
      </c>
      <c r="L2513">
        <f t="shared" si="39"/>
        <v>6</v>
      </c>
    </row>
    <row r="2514" spans="1:12" ht="16.5" x14ac:dyDescent="0.2">
      <c r="A2514" s="4" t="s">
        <v>33</v>
      </c>
      <c r="B2514">
        <v>2015</v>
      </c>
      <c r="C2514" s="14">
        <f>1212.7*(2/3*10)</f>
        <v>8084.6666666666661</v>
      </c>
      <c r="D2514" s="14">
        <f>1.8*(2/3*10)</f>
        <v>12</v>
      </c>
      <c r="E2514" s="14">
        <f>584.4*(2/3*10)</f>
        <v>3895.9999999999995</v>
      </c>
      <c r="F2514" s="14">
        <f>774.2*(2/3*10)</f>
        <v>5161.333333333333</v>
      </c>
      <c r="G2514" s="14">
        <f>114.9*(2/3*10)</f>
        <v>765.99999999999989</v>
      </c>
      <c r="H2514" s="14">
        <f>40.2*(2/3*10)</f>
        <v>268</v>
      </c>
      <c r="I2514" s="14">
        <f>32.3*(2/3*10)</f>
        <v>215.33333333333329</v>
      </c>
      <c r="K2514">
        <v>2511</v>
      </c>
      <c r="L2514">
        <f t="shared" si="39"/>
        <v>7</v>
      </c>
    </row>
    <row r="2515" spans="1:12" ht="16.5" x14ac:dyDescent="0.2">
      <c r="A2515" s="4" t="s">
        <v>33</v>
      </c>
      <c r="B2515">
        <v>2016</v>
      </c>
      <c r="C2515" s="14">
        <f>1211.6*(2/3*10)</f>
        <v>8077.3333333333321</v>
      </c>
      <c r="D2515" s="14">
        <f>1.8*(2/3*10)</f>
        <v>12</v>
      </c>
      <c r="E2515" s="14">
        <f>584.3*(2/3*10)</f>
        <v>3895.3333333333326</v>
      </c>
      <c r="F2515" s="14">
        <f>774*(2/3*10)</f>
        <v>5159.9999999999991</v>
      </c>
      <c r="G2515" s="14">
        <f>115.9*(2/3*10)</f>
        <v>772.66666666666663</v>
      </c>
      <c r="H2515" s="14">
        <f>40.6*(2/3*10)</f>
        <v>270.66666666666663</v>
      </c>
      <c r="I2515" s="14">
        <f>32.3*(2/3*10)</f>
        <v>215.33333333333329</v>
      </c>
      <c r="K2515">
        <v>2512</v>
      </c>
      <c r="L2515">
        <f t="shared" si="39"/>
        <v>0</v>
      </c>
    </row>
    <row r="2516" spans="1:12" ht="16.5" x14ac:dyDescent="0.2">
      <c r="A2516" s="4" t="s">
        <v>32</v>
      </c>
      <c r="B2516">
        <v>2009</v>
      </c>
      <c r="C2516" s="14">
        <f>837.9*(2/3*10)</f>
        <v>5585.9999999999991</v>
      </c>
      <c r="D2516" s="14">
        <f>110.9*(2/3*10)</f>
        <v>739.33333333333326</v>
      </c>
      <c r="E2516" s="14">
        <f>2363.1*(2/3*10)</f>
        <v>15753.999999999998</v>
      </c>
      <c r="F2516" s="14">
        <f>563.4*(2/3*10)</f>
        <v>3755.9999999999995</v>
      </c>
      <c r="G2516" s="14">
        <f>74.8*(2/3*10)</f>
        <v>498.66666666666663</v>
      </c>
      <c r="H2516" s="14">
        <f>27.2*(2/3*10)</f>
        <v>181.33333333333331</v>
      </c>
      <c r="I2516" s="14">
        <f>38.1*(2/3*10)</f>
        <v>254</v>
      </c>
      <c r="K2516" s="15">
        <v>2513</v>
      </c>
      <c r="L2516">
        <f t="shared" si="39"/>
        <v>1</v>
      </c>
    </row>
    <row r="2517" spans="1:12" ht="16.5" x14ac:dyDescent="0.2">
      <c r="A2517" s="4" t="s">
        <v>32</v>
      </c>
      <c r="B2517">
        <v>2010</v>
      </c>
      <c r="C2517" s="14">
        <f>837.3*(2/3*10)</f>
        <v>5581.9999999999991</v>
      </c>
      <c r="D2517" s="14">
        <f>110.9*(2/3*10)</f>
        <v>739.33333333333326</v>
      </c>
      <c r="E2517" s="14">
        <f>2363*(2/3*10)</f>
        <v>15753.333333333332</v>
      </c>
      <c r="F2517" s="14">
        <f>563.3*(2/3*10)</f>
        <v>3755.3333333333326</v>
      </c>
      <c r="G2517" s="14">
        <f>75.5*(2/3*10)</f>
        <v>503.33333333333331</v>
      </c>
      <c r="H2517" s="14">
        <f>27.4*(2/3*10)</f>
        <v>182.66666666666663</v>
      </c>
      <c r="I2517" s="14">
        <f>38*(2/3*10)</f>
        <v>253.33333333333331</v>
      </c>
      <c r="K2517">
        <v>2514</v>
      </c>
      <c r="L2517">
        <f t="shared" si="39"/>
        <v>2</v>
      </c>
    </row>
    <row r="2518" spans="1:12" ht="16.5" x14ac:dyDescent="0.2">
      <c r="A2518" s="4" t="s">
        <v>32</v>
      </c>
      <c r="B2518">
        <v>2011</v>
      </c>
      <c r="C2518" s="14">
        <f>836*(2/3*10)</f>
        <v>5573.333333333333</v>
      </c>
      <c r="D2518" s="14">
        <f>110.8*(2/3*10)</f>
        <v>738.66666666666663</v>
      </c>
      <c r="E2518" s="14">
        <f>2362.9*(2/3*10)</f>
        <v>15752.666666666666</v>
      </c>
      <c r="F2518" s="14">
        <f>563.3*(2/3*10)</f>
        <v>3755.3333333333326</v>
      </c>
      <c r="G2518" s="14">
        <f>75.9*(2/3*10)</f>
        <v>506</v>
      </c>
      <c r="H2518" s="14">
        <f>27.9*(2/3*10)</f>
        <v>185.99999999999997</v>
      </c>
      <c r="I2518" s="14">
        <f>38.8*(2/3*10)</f>
        <v>258.66666666666663</v>
      </c>
      <c r="K2518" s="15">
        <v>2515</v>
      </c>
      <c r="L2518">
        <f t="shared" si="39"/>
        <v>3</v>
      </c>
    </row>
    <row r="2519" spans="1:12" ht="16.5" x14ac:dyDescent="0.2">
      <c r="A2519" s="4" t="s">
        <v>32</v>
      </c>
      <c r="B2519">
        <v>2012</v>
      </c>
      <c r="C2519" s="14">
        <f>836.2*(2/3*10)</f>
        <v>5574.6666666666661</v>
      </c>
      <c r="D2519" s="14">
        <f>110.5*(2/3*10)</f>
        <v>736.66666666666663</v>
      </c>
      <c r="E2519" s="14">
        <f>2362.6*(2/3*10)</f>
        <v>15750.666666666664</v>
      </c>
      <c r="F2519" s="14">
        <f>563*(2/3*10)</f>
        <v>3753.333333333333</v>
      </c>
      <c r="G2519" s="14">
        <f>76.5*(2/3*10)</f>
        <v>510.00000000000006</v>
      </c>
      <c r="H2519" s="14">
        <f>28.2*(2/3*10)</f>
        <v>187.99999999999997</v>
      </c>
      <c r="I2519" s="14">
        <f>38.6*(2/3*10)</f>
        <v>257.33333333333331</v>
      </c>
      <c r="K2519">
        <v>2516</v>
      </c>
      <c r="L2519">
        <f t="shared" si="39"/>
        <v>4</v>
      </c>
    </row>
    <row r="2520" spans="1:12" ht="16.5" x14ac:dyDescent="0.2">
      <c r="A2520" s="4" t="s">
        <v>32</v>
      </c>
      <c r="B2520">
        <v>2013</v>
      </c>
      <c r="C2520" s="14">
        <f>835.7*(2/3*10)</f>
        <v>5571.333333333333</v>
      </c>
      <c r="D2520" s="14">
        <f>110.3*(2/3*10)</f>
        <v>735.33333333333326</v>
      </c>
      <c r="E2520" s="14">
        <f>2362.5*(2/3*10)</f>
        <v>15749.999999999998</v>
      </c>
      <c r="F2520" s="14">
        <f>562.7*(2/3*10)</f>
        <v>3751.3333333333335</v>
      </c>
      <c r="G2520" s="14">
        <f>76.8*(2/3*10)</f>
        <v>511.99999999999994</v>
      </c>
      <c r="H2520" s="14">
        <f>29*(2/3*10)</f>
        <v>193.33333333333331</v>
      </c>
      <c r="I2520" s="14">
        <f>38.4*(2/3*10)</f>
        <v>255.99999999999997</v>
      </c>
      <c r="K2520">
        <v>2517</v>
      </c>
      <c r="L2520">
        <f t="shared" si="39"/>
        <v>5</v>
      </c>
    </row>
    <row r="2521" spans="1:12" ht="16.5" x14ac:dyDescent="0.2">
      <c r="A2521" s="4" t="s">
        <v>32</v>
      </c>
      <c r="B2521">
        <v>2014</v>
      </c>
      <c r="C2521" s="14">
        <f>835.3*(2/3*10)</f>
        <v>5568.6666666666661</v>
      </c>
      <c r="D2521" s="14">
        <f>110.2*(2/3*10)</f>
        <v>734.66666666666663</v>
      </c>
      <c r="E2521" s="14">
        <f>2362.3*(2/3*10)</f>
        <v>15748.666666666666</v>
      </c>
      <c r="F2521" s="14">
        <f>562.7*(2/3*10)</f>
        <v>3751.3333333333335</v>
      </c>
      <c r="G2521" s="14">
        <f>77.4*(2/3*10)</f>
        <v>516</v>
      </c>
      <c r="H2521" s="14">
        <f>29.5*(2/3*10)</f>
        <v>196.66666666666666</v>
      </c>
      <c r="I2521" s="14">
        <f>38.3*(2/3*10)</f>
        <v>255.33333333333329</v>
      </c>
      <c r="K2521" s="15">
        <v>2518</v>
      </c>
      <c r="L2521">
        <f t="shared" si="39"/>
        <v>6</v>
      </c>
    </row>
    <row r="2522" spans="1:12" ht="16.5" x14ac:dyDescent="0.2">
      <c r="A2522" s="4" t="s">
        <v>32</v>
      </c>
      <c r="B2522">
        <v>2015</v>
      </c>
      <c r="C2522" s="14">
        <f>835*(2/3*10)</f>
        <v>5566.6666666666661</v>
      </c>
      <c r="D2522" s="14">
        <f>110.1*(2/3*10)</f>
        <v>733.99999999999989</v>
      </c>
      <c r="E2522" s="14">
        <f>2362.2*(2/3*10)</f>
        <v>15747.999999999998</v>
      </c>
      <c r="F2522" s="14">
        <f>562.4*(2/3*10)</f>
        <v>3749.333333333333</v>
      </c>
      <c r="G2522" s="14">
        <f>78*(2/3*10)</f>
        <v>520</v>
      </c>
      <c r="H2522" s="14">
        <f>29.6*(2/3*10)</f>
        <v>197.33333333333331</v>
      </c>
      <c r="I2522" s="14">
        <f>38.3*(2/3*10)</f>
        <v>255.33333333333329</v>
      </c>
      <c r="K2522">
        <v>2519</v>
      </c>
      <c r="L2522">
        <f t="shared" si="39"/>
        <v>7</v>
      </c>
    </row>
    <row r="2523" spans="1:12" ht="16.5" x14ac:dyDescent="0.2">
      <c r="A2523" s="4" t="s">
        <v>32</v>
      </c>
      <c r="B2523">
        <v>2016</v>
      </c>
      <c r="C2523" s="14">
        <f>834.2*(2/3*10)</f>
        <v>5561.333333333333</v>
      </c>
      <c r="D2523" s="14">
        <f>110.1*(2/3*10)</f>
        <v>733.99999999999989</v>
      </c>
      <c r="E2523" s="14">
        <f>2362.1*(2/3*10)</f>
        <v>15747.333333333332</v>
      </c>
      <c r="F2523" s="14">
        <f>562.3*(2/3*10)</f>
        <v>3748.6666666666661</v>
      </c>
      <c r="G2523" s="14">
        <f>78.6*(2/3*10)</f>
        <v>523.99999999999989</v>
      </c>
      <c r="H2523" s="14">
        <f>30.1*(2/3*10)</f>
        <v>200.66666666666666</v>
      </c>
      <c r="I2523" s="14">
        <f>38.2*(2/3*10)</f>
        <v>254.66666666666666</v>
      </c>
      <c r="K2523" s="15">
        <v>2520</v>
      </c>
      <c r="L2523">
        <f t="shared" si="39"/>
        <v>0</v>
      </c>
    </row>
    <row r="2524" spans="1:12" ht="16.5" x14ac:dyDescent="0.2">
      <c r="A2524" s="4" t="s">
        <v>31</v>
      </c>
      <c r="B2524">
        <v>2009</v>
      </c>
      <c r="C2524" s="14">
        <f>412*(2/3*10)</f>
        <v>2746.6666666666665</v>
      </c>
      <c r="D2524" s="14">
        <f>16.2*(2/3*10)</f>
        <v>107.99999999999999</v>
      </c>
      <c r="E2524" s="14">
        <f>117.9*(2/3*10)</f>
        <v>786</v>
      </c>
      <c r="F2524" s="14">
        <f>374.2*(2/3*10)</f>
        <v>2494.6666666666665</v>
      </c>
      <c r="G2524" s="14">
        <f>51.5*(2/3*10)</f>
        <v>343.33333333333337</v>
      </c>
      <c r="H2524" s="14">
        <f>14.9*(2/3*10)</f>
        <v>99.333333333333329</v>
      </c>
      <c r="I2524" s="14">
        <f>32.2*(2/3*10)</f>
        <v>214.66666666666666</v>
      </c>
      <c r="K2524">
        <v>2521</v>
      </c>
      <c r="L2524">
        <f t="shared" si="39"/>
        <v>1</v>
      </c>
    </row>
    <row r="2525" spans="1:12" ht="16.5" x14ac:dyDescent="0.2">
      <c r="A2525" s="4" t="s">
        <v>31</v>
      </c>
      <c r="B2525">
        <v>2010</v>
      </c>
      <c r="C2525" s="14">
        <f>411.6*(2/3*10)</f>
        <v>2744</v>
      </c>
      <c r="D2525" s="14">
        <f>16.1*(2/3*10)</f>
        <v>107.33333333333333</v>
      </c>
      <c r="E2525" s="14">
        <f>117.9*(2/3*10)</f>
        <v>786</v>
      </c>
      <c r="F2525" s="14">
        <f>373.8*(2/3*10)</f>
        <v>2492</v>
      </c>
      <c r="G2525" s="14">
        <f>52.3*(2/3*10)</f>
        <v>348.66666666666663</v>
      </c>
      <c r="H2525" s="14">
        <f>14.9*(2/3*10)</f>
        <v>99.333333333333329</v>
      </c>
      <c r="I2525" s="14">
        <f>32.2*(2/3*10)</f>
        <v>214.66666666666666</v>
      </c>
      <c r="K2525">
        <v>2522</v>
      </c>
      <c r="L2525">
        <f t="shared" si="39"/>
        <v>2</v>
      </c>
    </row>
    <row r="2526" spans="1:12" ht="16.5" x14ac:dyDescent="0.2">
      <c r="A2526" s="4" t="s">
        <v>31</v>
      </c>
      <c r="B2526">
        <v>2011</v>
      </c>
      <c r="C2526" s="14">
        <f>411*(2/3*10)</f>
        <v>2739.9999999999995</v>
      </c>
      <c r="D2526" s="14">
        <f>16.1*(2/3*10)</f>
        <v>107.33333333333333</v>
      </c>
      <c r="E2526" s="14">
        <f>117.9*(2/3*10)</f>
        <v>786</v>
      </c>
      <c r="F2526" s="14">
        <f>373.7*(2/3*10)</f>
        <v>2491.333333333333</v>
      </c>
      <c r="G2526" s="14">
        <f>53.2*(2/3*10)</f>
        <v>354.66666666666663</v>
      </c>
      <c r="H2526" s="14">
        <f>15*(2/3*10)</f>
        <v>99.999999999999986</v>
      </c>
      <c r="I2526" s="14">
        <f>32*(2/3*10)</f>
        <v>213.33333333333331</v>
      </c>
      <c r="K2526" s="15">
        <v>2523</v>
      </c>
      <c r="L2526">
        <f t="shared" si="39"/>
        <v>3</v>
      </c>
    </row>
    <row r="2527" spans="1:12" ht="16.5" x14ac:dyDescent="0.2">
      <c r="A2527" s="4" t="s">
        <v>31</v>
      </c>
      <c r="B2527">
        <v>2012</v>
      </c>
      <c r="C2527" s="14">
        <f>410.3*(2/3*10)</f>
        <v>2735.333333333333</v>
      </c>
      <c r="D2527" s="14">
        <f>16.1*(2/3*10)</f>
        <v>107.33333333333333</v>
      </c>
      <c r="E2527" s="14">
        <f>117.8*(2/3*10)</f>
        <v>785.33333333333326</v>
      </c>
      <c r="F2527" s="14">
        <f>373.5*(2/3*10)</f>
        <v>2490</v>
      </c>
      <c r="G2527" s="14">
        <f>54.2*(2/3*10)</f>
        <v>361.33333333333326</v>
      </c>
      <c r="H2527" s="14">
        <f>15.2*(2/3*10)</f>
        <v>101.33333333333331</v>
      </c>
      <c r="I2527" s="14">
        <f>32*(2/3*10)</f>
        <v>213.33333333333331</v>
      </c>
      <c r="K2527">
        <v>2524</v>
      </c>
      <c r="L2527">
        <f t="shared" si="39"/>
        <v>4</v>
      </c>
    </row>
    <row r="2528" spans="1:12" ht="16.5" x14ac:dyDescent="0.2">
      <c r="A2528" s="4" t="s">
        <v>31</v>
      </c>
      <c r="B2528">
        <v>2013</v>
      </c>
      <c r="C2528" s="14">
        <f>409.8*(2/3*10)</f>
        <v>2732</v>
      </c>
      <c r="D2528" s="14">
        <f>16*(2/3*10)</f>
        <v>106.66666666666666</v>
      </c>
      <c r="E2528" s="14">
        <f>117.7*(2/3*10)</f>
        <v>784.66666666666663</v>
      </c>
      <c r="F2528" s="14">
        <f>372.4*(2/3*10)</f>
        <v>2482.6666666666665</v>
      </c>
      <c r="G2528" s="14">
        <f>55.3*(2/3*10)</f>
        <v>368.66666666666669</v>
      </c>
      <c r="H2528" s="14">
        <f>15.5*(2/3*10)</f>
        <v>103.33333333333333</v>
      </c>
      <c r="I2528" s="14">
        <f>31.9*(2/3*10)</f>
        <v>212.66666666666663</v>
      </c>
      <c r="K2528" s="15">
        <v>2525</v>
      </c>
      <c r="L2528">
        <f t="shared" si="39"/>
        <v>5</v>
      </c>
    </row>
    <row r="2529" spans="1:12" ht="16.5" x14ac:dyDescent="0.2">
      <c r="A2529" s="4" t="s">
        <v>31</v>
      </c>
      <c r="B2529">
        <v>2014</v>
      </c>
      <c r="C2529" s="14">
        <f>409*(2/3*10)</f>
        <v>2726.6666666666665</v>
      </c>
      <c r="D2529" s="14">
        <f>16*(2/3*10)</f>
        <v>106.66666666666666</v>
      </c>
      <c r="E2529" s="14">
        <f>117.6*(2/3*10)</f>
        <v>783.99999999999989</v>
      </c>
      <c r="F2529" s="14">
        <f>372.2*(2/3*10)</f>
        <v>2481.333333333333</v>
      </c>
      <c r="G2529" s="14">
        <f>56.1*(2/3*10)</f>
        <v>374</v>
      </c>
      <c r="H2529" s="14">
        <f>15.7*(2/3*10)</f>
        <v>104.66666666666666</v>
      </c>
      <c r="I2529" s="14">
        <f>31.9*(2/3*10)</f>
        <v>212.66666666666663</v>
      </c>
      <c r="K2529">
        <v>2526</v>
      </c>
      <c r="L2529">
        <f t="shared" si="39"/>
        <v>6</v>
      </c>
    </row>
    <row r="2530" spans="1:12" ht="16.5" x14ac:dyDescent="0.2">
      <c r="A2530" s="4" t="s">
        <v>31</v>
      </c>
      <c r="B2530">
        <v>2015</v>
      </c>
      <c r="C2530" s="14">
        <f>407.9*(2/3*10)</f>
        <v>2719.333333333333</v>
      </c>
      <c r="D2530" s="14">
        <f>15.9*(2/3*10)</f>
        <v>106</v>
      </c>
      <c r="E2530" s="14">
        <f>117.6*(2/3*10)</f>
        <v>783.99999999999989</v>
      </c>
      <c r="F2530" s="14">
        <f>372.1*(2/3*10)</f>
        <v>2480.6666666666665</v>
      </c>
      <c r="G2530" s="14">
        <f>57.3*(2/3*10)</f>
        <v>382</v>
      </c>
      <c r="H2530" s="14">
        <f>15.8*(2/3*10)</f>
        <v>105.33333333333333</v>
      </c>
      <c r="I2530" s="14">
        <f>31.8*(2/3*10)</f>
        <v>212</v>
      </c>
      <c r="K2530">
        <v>2527</v>
      </c>
      <c r="L2530">
        <f t="shared" si="39"/>
        <v>7</v>
      </c>
    </row>
    <row r="2531" spans="1:12" ht="16.5" x14ac:dyDescent="0.2">
      <c r="A2531" s="4" t="s">
        <v>31</v>
      </c>
      <c r="B2531">
        <v>2016</v>
      </c>
      <c r="C2531" s="14">
        <f>407.2*(2/3*10)</f>
        <v>2714.6666666666665</v>
      </c>
      <c r="D2531" s="14">
        <f>15.9*(2/3*10)</f>
        <v>106</v>
      </c>
      <c r="E2531" s="14">
        <f>117.4*(2/3*10)</f>
        <v>782.66666666666663</v>
      </c>
      <c r="F2531" s="14">
        <f>371.8*(2/3*10)</f>
        <v>2478.6666666666665</v>
      </c>
      <c r="G2531" s="14">
        <f>58.1*(2/3*10)</f>
        <v>387.33333333333331</v>
      </c>
      <c r="H2531" s="14">
        <f>15.9*(2/3*10)</f>
        <v>106</v>
      </c>
      <c r="I2531" s="14">
        <f>31.8*(2/3*10)</f>
        <v>212</v>
      </c>
      <c r="K2531" s="15">
        <v>2528</v>
      </c>
      <c r="L2531">
        <f t="shared" si="39"/>
        <v>0</v>
      </c>
    </row>
    <row r="2532" spans="1:12" ht="16.5" x14ac:dyDescent="0.2">
      <c r="A2532" s="4" t="s">
        <v>30</v>
      </c>
      <c r="B2532">
        <v>2009</v>
      </c>
      <c r="C2532" s="14">
        <f>199.6*(2/3*10)</f>
        <v>1330.6666666666665</v>
      </c>
      <c r="D2532" s="14">
        <f>2.1*(2/3*10)</f>
        <v>14</v>
      </c>
      <c r="E2532" s="14">
        <f>1566.3*(2/3*10)</f>
        <v>10441.999999999998</v>
      </c>
      <c r="F2532" s="14">
        <f>3489.7*(2/3*10)</f>
        <v>23264.666666666664</v>
      </c>
      <c r="G2532" s="14">
        <f>21.3*(2/3*10)</f>
        <v>142</v>
      </c>
      <c r="H2532" s="14">
        <f>13.3*(2/3*10)</f>
        <v>88.666666666666657</v>
      </c>
      <c r="I2532" s="14">
        <f>46.9*(2/3*10)</f>
        <v>312.66666666666663</v>
      </c>
      <c r="K2532">
        <v>2529</v>
      </c>
      <c r="L2532">
        <f t="shared" si="39"/>
        <v>1</v>
      </c>
    </row>
    <row r="2533" spans="1:12" ht="16.5" x14ac:dyDescent="0.2">
      <c r="A2533" s="4" t="s">
        <v>30</v>
      </c>
      <c r="B2533">
        <v>2010</v>
      </c>
      <c r="C2533" s="14">
        <f>199.6*(2/3*10)</f>
        <v>1330.6666666666665</v>
      </c>
      <c r="D2533" s="14">
        <f>2.1*(2/3*10)</f>
        <v>14</v>
      </c>
      <c r="E2533" s="14">
        <f>1566.2*(2/3*10)</f>
        <v>10441.333333333332</v>
      </c>
      <c r="F2533" s="14">
        <f>3489.5*(2/3*10)</f>
        <v>23263.333333333332</v>
      </c>
      <c r="G2533" s="14">
        <f>21.5*(2/3*10)</f>
        <v>143.33333333333331</v>
      </c>
      <c r="H2533" s="14">
        <f>13.3*(2/3*10)</f>
        <v>88.666666666666657</v>
      </c>
      <c r="I2533" s="14">
        <f>46.9*(2/3*10)</f>
        <v>312.66666666666663</v>
      </c>
      <c r="K2533" s="15">
        <v>2530</v>
      </c>
      <c r="L2533">
        <f t="shared" si="39"/>
        <v>2</v>
      </c>
    </row>
    <row r="2534" spans="1:12" ht="16.5" x14ac:dyDescent="0.2">
      <c r="A2534" s="4" t="s">
        <v>30</v>
      </c>
      <c r="B2534">
        <v>2011</v>
      </c>
      <c r="C2534" s="14">
        <f>199.6*(2/3*10)</f>
        <v>1330.6666666666665</v>
      </c>
      <c r="D2534" s="14">
        <f>2.1*(2/3*10)</f>
        <v>14</v>
      </c>
      <c r="E2534" s="14">
        <f>1566.2*(2/3*10)</f>
        <v>10441.333333333332</v>
      </c>
      <c r="F2534" s="14">
        <f>3489.3*(2/3*10)</f>
        <v>23262</v>
      </c>
      <c r="G2534" s="14">
        <f>21.8*(2/3*10)</f>
        <v>145.33333333333331</v>
      </c>
      <c r="H2534" s="14">
        <f>13.3*(2/3*10)</f>
        <v>88.666666666666657</v>
      </c>
      <c r="I2534" s="14">
        <f>46.9*(2/3*10)</f>
        <v>312.66666666666663</v>
      </c>
      <c r="K2534">
        <v>2531</v>
      </c>
      <c r="L2534">
        <f t="shared" si="39"/>
        <v>3</v>
      </c>
    </row>
    <row r="2535" spans="1:12" ht="16.5" x14ac:dyDescent="0.2">
      <c r="A2535" s="4" t="s">
        <v>30</v>
      </c>
      <c r="B2535">
        <v>2012</v>
      </c>
      <c r="C2535" s="14">
        <f>199.2*(2/3*10)</f>
        <v>1327.9999999999998</v>
      </c>
      <c r="D2535" s="14">
        <f>2.1*(2/3*10)</f>
        <v>14</v>
      </c>
      <c r="E2535" s="14">
        <f>1566.1*(2/3*10)</f>
        <v>10440.666666666664</v>
      </c>
      <c r="F2535" s="14">
        <f>3488.9*(2/3*10)</f>
        <v>23259.333333333332</v>
      </c>
      <c r="G2535" s="14">
        <f>22.3*(2/3*10)</f>
        <v>148.66666666666663</v>
      </c>
      <c r="H2535" s="14">
        <f>13.8*(2/3*10)</f>
        <v>92</v>
      </c>
      <c r="I2535" s="14">
        <f>46.9*(2/3*10)</f>
        <v>312.66666666666663</v>
      </c>
      <c r="K2535">
        <v>2532</v>
      </c>
      <c r="L2535">
        <f t="shared" si="39"/>
        <v>4</v>
      </c>
    </row>
    <row r="2536" spans="1:12" ht="16.5" x14ac:dyDescent="0.2">
      <c r="A2536" s="4" t="s">
        <v>30</v>
      </c>
      <c r="B2536">
        <v>2013</v>
      </c>
      <c r="C2536" s="14">
        <f>199.1*(2/3*10)</f>
        <v>1327.3333333333333</v>
      </c>
      <c r="D2536" s="14">
        <f>2.1*(2/3*10)</f>
        <v>14</v>
      </c>
      <c r="E2536" s="14">
        <f>1566.1*(2/3*10)</f>
        <v>10440.666666666664</v>
      </c>
      <c r="F2536" s="14">
        <f>3488.5*(2/3*10)</f>
        <v>23256.666666666664</v>
      </c>
      <c r="G2536" s="14">
        <f>22.4*(2/3*10)</f>
        <v>149.33333333333331</v>
      </c>
      <c r="H2536" s="14">
        <f>14.2*(2/3*10)</f>
        <v>94.666666666666657</v>
      </c>
      <c r="I2536" s="14">
        <f>46.8*(2/3*10)</f>
        <v>311.99999999999994</v>
      </c>
      <c r="K2536" s="15">
        <v>2533</v>
      </c>
      <c r="L2536">
        <f t="shared" si="39"/>
        <v>5</v>
      </c>
    </row>
    <row r="2537" spans="1:12" ht="16.5" x14ac:dyDescent="0.2">
      <c r="A2537" s="4" t="s">
        <v>30</v>
      </c>
      <c r="B2537">
        <v>2014</v>
      </c>
      <c r="C2537" s="14">
        <f>198.9*(2/3*10)</f>
        <v>1326</v>
      </c>
      <c r="D2537" s="14">
        <f>2.1*(2/3*10)</f>
        <v>14</v>
      </c>
      <c r="E2537" s="14">
        <f>1566*(2/3*10)</f>
        <v>10439.999999999998</v>
      </c>
      <c r="F2537" s="14">
        <f>3488.3*(2/3*10)</f>
        <v>23255.333333333332</v>
      </c>
      <c r="G2537" s="14">
        <f>22.6*(2/3*10)</f>
        <v>150.66666666666666</v>
      </c>
      <c r="H2537" s="14">
        <f>14.4*(2/3*10)</f>
        <v>96</v>
      </c>
      <c r="I2537" s="14">
        <f>46.8*(2/3*10)</f>
        <v>311.99999999999994</v>
      </c>
      <c r="K2537">
        <v>2534</v>
      </c>
      <c r="L2537">
        <f t="shared" si="39"/>
        <v>6</v>
      </c>
    </row>
    <row r="2538" spans="1:12" ht="16.5" x14ac:dyDescent="0.2">
      <c r="A2538" s="4" t="s">
        <v>30</v>
      </c>
      <c r="B2538">
        <v>2015</v>
      </c>
      <c r="C2538" s="14">
        <f>198.7*(2/3*10)</f>
        <v>1324.6666666666665</v>
      </c>
      <c r="D2538" s="14">
        <f>2.1*(2/3*10)</f>
        <v>14</v>
      </c>
      <c r="E2538" s="14">
        <f>1566*(2/3*10)</f>
        <v>10439.999999999998</v>
      </c>
      <c r="F2538" s="14">
        <f>3487.9*(2/3*10)</f>
        <v>23252.666666666664</v>
      </c>
      <c r="G2538" s="14">
        <f>22.8*(2/3*10)</f>
        <v>151.99999999999997</v>
      </c>
      <c r="H2538" s="14">
        <f>14.7*(2/3*10)</f>
        <v>97.999999999999986</v>
      </c>
      <c r="I2538" s="14">
        <f>46.8*(2/3*10)</f>
        <v>311.99999999999994</v>
      </c>
      <c r="K2538" s="15">
        <v>2535</v>
      </c>
      <c r="L2538">
        <f t="shared" si="39"/>
        <v>7</v>
      </c>
    </row>
    <row r="2539" spans="1:12" ht="16.5" x14ac:dyDescent="0.2">
      <c r="A2539" s="4" t="s">
        <v>30</v>
      </c>
      <c r="B2539">
        <v>2016</v>
      </c>
      <c r="C2539" s="14">
        <f>198.5*(2/3*10)</f>
        <v>1323.3333333333333</v>
      </c>
      <c r="D2539" s="14">
        <f>2.1*(2/3*10)</f>
        <v>14</v>
      </c>
      <c r="E2539" s="14">
        <f>1565.9*(2/3*10)</f>
        <v>10439.333333333332</v>
      </c>
      <c r="F2539" s="14">
        <f>3487.6*(2/3*10)</f>
        <v>23250.666666666664</v>
      </c>
      <c r="G2539" s="14">
        <f>23.3*(2/3*10)</f>
        <v>155.33333333333331</v>
      </c>
      <c r="H2539" s="14">
        <f>14.7*(2/3*10)</f>
        <v>97.999999999999986</v>
      </c>
      <c r="I2539" s="14">
        <f>46.9*(2/3*10)</f>
        <v>312.66666666666663</v>
      </c>
      <c r="K2539">
        <v>2536</v>
      </c>
      <c r="L2539">
        <f t="shared" si="39"/>
        <v>0</v>
      </c>
    </row>
    <row r="2540" spans="1:12" ht="16.5" x14ac:dyDescent="0.2">
      <c r="A2540" s="4" t="s">
        <v>29</v>
      </c>
      <c r="B2540">
        <v>2009</v>
      </c>
      <c r="C2540" s="14">
        <f>66.4*(2/3*10)</f>
        <v>442.66666666666669</v>
      </c>
      <c r="D2540" s="14">
        <f>0*(2/3*10)</f>
        <v>0</v>
      </c>
      <c r="E2540" s="14">
        <f>180.7*(2/3*10)</f>
        <v>1204.6666666666665</v>
      </c>
      <c r="F2540" s="14">
        <f>176.6*(2/3*10)</f>
        <v>1177.3333333333333</v>
      </c>
      <c r="G2540" s="14">
        <f>1.1*(2/3*10)</f>
        <v>7.333333333333333</v>
      </c>
      <c r="H2540" s="14">
        <f>1.4*(2/3*10)</f>
        <v>9.3333333333333321</v>
      </c>
      <c r="I2540" s="14">
        <f>7.7*(2/3*10)</f>
        <v>51.333333333333329</v>
      </c>
      <c r="K2540">
        <v>2537</v>
      </c>
      <c r="L2540">
        <f t="shared" si="39"/>
        <v>1</v>
      </c>
    </row>
    <row r="2541" spans="1:12" ht="16.5" x14ac:dyDescent="0.2">
      <c r="A2541" s="4" t="s">
        <v>29</v>
      </c>
      <c r="B2541">
        <v>2010</v>
      </c>
      <c r="C2541" s="14">
        <f>66.3*(2/3*10)</f>
        <v>441.99999999999994</v>
      </c>
      <c r="D2541" s="14">
        <f>0*(2/3*10)</f>
        <v>0</v>
      </c>
      <c r="E2541" s="14">
        <f>180.7*(2/3*10)</f>
        <v>1204.6666666666665</v>
      </c>
      <c r="F2541" s="14">
        <f>176.6*(2/3*10)</f>
        <v>1177.3333333333333</v>
      </c>
      <c r="G2541" s="14">
        <f>1.1*(2/3*10)</f>
        <v>7.333333333333333</v>
      </c>
      <c r="H2541" s="14">
        <f>1.6*(2/3*10)</f>
        <v>10.666666666666666</v>
      </c>
      <c r="I2541" s="14">
        <f>7.7*(2/3*10)</f>
        <v>51.333333333333329</v>
      </c>
      <c r="K2541" s="15">
        <v>2538</v>
      </c>
      <c r="L2541">
        <f t="shared" si="39"/>
        <v>2</v>
      </c>
    </row>
    <row r="2542" spans="1:12" ht="16.5" x14ac:dyDescent="0.2">
      <c r="A2542" s="4" t="s">
        <v>29</v>
      </c>
      <c r="B2542">
        <v>2011</v>
      </c>
      <c r="C2542" s="14">
        <f>66.2*(2/3*10)</f>
        <v>441.33333333333331</v>
      </c>
      <c r="D2542" s="14">
        <f>0*(2/3*10)</f>
        <v>0</v>
      </c>
      <c r="E2542" s="14">
        <f>180.7*(2/3*10)</f>
        <v>1204.6666666666665</v>
      </c>
      <c r="F2542" s="14">
        <f>176.5*(2/3*10)</f>
        <v>1176.6666666666665</v>
      </c>
      <c r="G2542" s="14">
        <f>1.1*(2/3*10)</f>
        <v>7.333333333333333</v>
      </c>
      <c r="H2542" s="14">
        <f>1.6*(2/3*10)</f>
        <v>10.666666666666666</v>
      </c>
      <c r="I2542" s="14">
        <f>7.7*(2/3*10)</f>
        <v>51.333333333333329</v>
      </c>
      <c r="K2542">
        <v>2539</v>
      </c>
      <c r="L2542">
        <f t="shared" si="39"/>
        <v>3</v>
      </c>
    </row>
    <row r="2543" spans="1:12" ht="16.5" x14ac:dyDescent="0.2">
      <c r="A2543" s="4" t="s">
        <v>29</v>
      </c>
      <c r="B2543">
        <v>2012</v>
      </c>
      <c r="C2543" s="14">
        <f>66.2*(2/3*10)</f>
        <v>441.33333333333331</v>
      </c>
      <c r="D2543" s="14">
        <f>0*(2/3*10)</f>
        <v>0</v>
      </c>
      <c r="E2543" s="14">
        <f>180.7*(2/3*10)</f>
        <v>1204.6666666666665</v>
      </c>
      <c r="F2543" s="14">
        <f>176.5*(2/3*10)</f>
        <v>1176.6666666666665</v>
      </c>
      <c r="G2543" s="14">
        <f>1.1*(2/3*10)</f>
        <v>7.333333333333333</v>
      </c>
      <c r="H2543" s="14">
        <f>1.6*(2/3*10)</f>
        <v>10.666666666666666</v>
      </c>
      <c r="I2543" s="14">
        <f>7.7*(2/3*10)</f>
        <v>51.333333333333329</v>
      </c>
      <c r="K2543" s="15">
        <v>2540</v>
      </c>
      <c r="L2543">
        <f t="shared" si="39"/>
        <v>4</v>
      </c>
    </row>
    <row r="2544" spans="1:12" ht="16.5" x14ac:dyDescent="0.2">
      <c r="A2544" s="4" t="s">
        <v>29</v>
      </c>
      <c r="B2544">
        <v>2013</v>
      </c>
      <c r="C2544" s="14">
        <f>66.2*(2/3*10)</f>
        <v>441.33333333333331</v>
      </c>
      <c r="D2544" s="14">
        <f>0*(2/3*10)</f>
        <v>0</v>
      </c>
      <c r="E2544" s="14">
        <f>180.7*(2/3*10)</f>
        <v>1204.6666666666665</v>
      </c>
      <c r="F2544" s="14">
        <f>176.5*(2/3*10)</f>
        <v>1176.6666666666665</v>
      </c>
      <c r="G2544" s="14">
        <f>1.1*(2/3*10)</f>
        <v>7.333333333333333</v>
      </c>
      <c r="H2544" s="14">
        <f>1.6*(2/3*10)</f>
        <v>10.666666666666666</v>
      </c>
      <c r="I2544" s="14">
        <f>7.7*(2/3*10)</f>
        <v>51.333333333333329</v>
      </c>
      <c r="K2544">
        <v>2541</v>
      </c>
      <c r="L2544">
        <f t="shared" si="39"/>
        <v>5</v>
      </c>
    </row>
    <row r="2545" spans="1:12" ht="16.5" x14ac:dyDescent="0.2">
      <c r="A2545" s="4" t="s">
        <v>29</v>
      </c>
      <c r="B2545">
        <v>2014</v>
      </c>
      <c r="C2545" s="14">
        <f>66.2*(2/3*10)</f>
        <v>441.33333333333331</v>
      </c>
      <c r="D2545" s="14">
        <f>0*(2/3*10)</f>
        <v>0</v>
      </c>
      <c r="E2545" s="14">
        <f>180.7*(2/3*10)</f>
        <v>1204.6666666666665</v>
      </c>
      <c r="F2545" s="14">
        <f>176.5*(2/3*10)</f>
        <v>1176.6666666666665</v>
      </c>
      <c r="G2545" s="14">
        <f>1.1*(2/3*10)</f>
        <v>7.333333333333333</v>
      </c>
      <c r="H2545" s="14">
        <f>1.6*(2/3*10)</f>
        <v>10.666666666666666</v>
      </c>
      <c r="I2545" s="14">
        <f>7.7*(2/3*10)</f>
        <v>51.333333333333329</v>
      </c>
      <c r="K2545">
        <v>2542</v>
      </c>
      <c r="L2545">
        <f t="shared" si="39"/>
        <v>6</v>
      </c>
    </row>
    <row r="2546" spans="1:12" ht="16.5" x14ac:dyDescent="0.2">
      <c r="A2546" s="4" t="s">
        <v>29</v>
      </c>
      <c r="B2546">
        <v>2015</v>
      </c>
      <c r="C2546" s="14">
        <f>66.2*(2/3*10)</f>
        <v>441.33333333333331</v>
      </c>
      <c r="D2546" s="14">
        <f>0*(2/3*10)</f>
        <v>0</v>
      </c>
      <c r="E2546" s="14">
        <f>180.7*(2/3*10)</f>
        <v>1204.6666666666665</v>
      </c>
      <c r="F2546" s="14">
        <f>176.5*(2/3*10)</f>
        <v>1176.6666666666665</v>
      </c>
      <c r="G2546" s="14">
        <f>1.1*(2/3*10)</f>
        <v>7.333333333333333</v>
      </c>
      <c r="H2546" s="14">
        <f>1.6*(2/3*10)</f>
        <v>10.666666666666666</v>
      </c>
      <c r="I2546" s="14">
        <f>7.7*(2/3*10)</f>
        <v>51.333333333333329</v>
      </c>
      <c r="K2546" s="15">
        <v>2543</v>
      </c>
      <c r="L2546">
        <f t="shared" si="39"/>
        <v>7</v>
      </c>
    </row>
    <row r="2547" spans="1:12" ht="16.5" x14ac:dyDescent="0.2">
      <c r="A2547" s="4" t="s">
        <v>29</v>
      </c>
      <c r="B2547">
        <v>2016</v>
      </c>
      <c r="C2547" s="14">
        <f>66.2*(2/3*10)</f>
        <v>441.33333333333331</v>
      </c>
      <c r="D2547" s="14">
        <f>0*(2/3*10)</f>
        <v>0</v>
      </c>
      <c r="E2547" s="14">
        <f>180.6*(2/3*10)</f>
        <v>1203.9999999999998</v>
      </c>
      <c r="F2547" s="14">
        <f>176.5*(2/3*10)</f>
        <v>1176.6666666666665</v>
      </c>
      <c r="G2547" s="14">
        <f>1.1*(2/3*10)</f>
        <v>7.333333333333333</v>
      </c>
      <c r="H2547" s="14">
        <f>1.6*(2/3*10)</f>
        <v>10.666666666666666</v>
      </c>
      <c r="I2547" s="14">
        <f>7.7*(2/3*10)</f>
        <v>51.333333333333329</v>
      </c>
      <c r="K2547">
        <v>2544</v>
      </c>
      <c r="L2547">
        <f t="shared" si="39"/>
        <v>0</v>
      </c>
    </row>
    <row r="2548" spans="1:12" ht="16.5" x14ac:dyDescent="0.2">
      <c r="A2548" s="4" t="s">
        <v>28</v>
      </c>
      <c r="B2548">
        <v>2009</v>
      </c>
      <c r="C2548" s="14">
        <f>882*(2/3*10)</f>
        <v>5879.9999999999991</v>
      </c>
      <c r="D2548" s="14">
        <f>9.1*(2/3*10)</f>
        <v>60.666666666666657</v>
      </c>
      <c r="E2548" s="14">
        <f>5316.9*(2/3*10)</f>
        <v>35445.999999999993</v>
      </c>
      <c r="F2548" s="14">
        <f>63193.9*(2/3*10)</f>
        <v>421292.66666666663</v>
      </c>
      <c r="G2548" s="14">
        <f>294.5*(2/3*10)</f>
        <v>1963.3333333333333</v>
      </c>
      <c r="H2548" s="14">
        <f>104.7*(2/3*10)</f>
        <v>698</v>
      </c>
      <c r="I2548" s="14">
        <f>4227.1*(2/3*10)</f>
        <v>28180.666666666668</v>
      </c>
      <c r="K2548" s="15">
        <v>2545</v>
      </c>
      <c r="L2548">
        <f t="shared" si="39"/>
        <v>1</v>
      </c>
    </row>
    <row r="2549" spans="1:12" ht="16.5" x14ac:dyDescent="0.2">
      <c r="A2549" s="4" t="s">
        <v>28</v>
      </c>
      <c r="B2549">
        <v>2010</v>
      </c>
      <c r="C2549" s="14">
        <f>881.9*(2/3*10)</f>
        <v>5879.333333333333</v>
      </c>
      <c r="D2549" s="14">
        <f>9.1*(2/3*10)</f>
        <v>60.666666666666657</v>
      </c>
      <c r="E2549" s="14">
        <f>5316.8*(2/3*10)</f>
        <v>35445.333333333328</v>
      </c>
      <c r="F2549" s="14">
        <f>63185*(2/3*10)</f>
        <v>421233.33333333331</v>
      </c>
      <c r="G2549" s="14">
        <f>299.4*(2/3*10)</f>
        <v>1995.9999999999998</v>
      </c>
      <c r="H2549" s="14">
        <f>109.4*(2/3*10)</f>
        <v>729.33333333333326</v>
      </c>
      <c r="I2549" s="14">
        <f>4227.5*(2/3*10)</f>
        <v>28183.333333333332</v>
      </c>
      <c r="K2549">
        <v>2546</v>
      </c>
      <c r="L2549">
        <f t="shared" si="39"/>
        <v>2</v>
      </c>
    </row>
    <row r="2550" spans="1:12" ht="16.5" x14ac:dyDescent="0.2">
      <c r="A2550" s="4" t="s">
        <v>28</v>
      </c>
      <c r="B2550">
        <v>2011</v>
      </c>
      <c r="C2550" s="14">
        <f>882.5*(2/3*10)</f>
        <v>5883.333333333333</v>
      </c>
      <c r="D2550" s="14">
        <f>9.3*(2/3*10)</f>
        <v>62</v>
      </c>
      <c r="E2550" s="14">
        <f>5316.6*(2/3*10)</f>
        <v>35444</v>
      </c>
      <c r="F2550" s="14">
        <f>63176.3*(2/3*10)</f>
        <v>421175.33333333331</v>
      </c>
      <c r="G2550" s="14">
        <f>307.2*(2/3*10)</f>
        <v>2048</v>
      </c>
      <c r="H2550" s="14">
        <f>112.9*(2/3*10)</f>
        <v>752.66666666666663</v>
      </c>
      <c r="I2550" s="14">
        <f>4227.3*(2/3*10)</f>
        <v>28182</v>
      </c>
      <c r="K2550">
        <v>2547</v>
      </c>
      <c r="L2550">
        <f t="shared" si="39"/>
        <v>3</v>
      </c>
    </row>
    <row r="2551" spans="1:12" ht="16.5" x14ac:dyDescent="0.2">
      <c r="A2551" s="4" t="s">
        <v>28</v>
      </c>
      <c r="B2551">
        <v>2012</v>
      </c>
      <c r="C2551" s="14">
        <f>882.8*(2/3*10)</f>
        <v>5885.3333333333321</v>
      </c>
      <c r="D2551" s="14">
        <f>9.2*(2/3*10)</f>
        <v>61.333333333333321</v>
      </c>
      <c r="E2551" s="14">
        <f>5315.9*(2/3*10)</f>
        <v>35439.333333333328</v>
      </c>
      <c r="F2551" s="14">
        <f>63166.7*(2/3*10)</f>
        <v>421111.33333333326</v>
      </c>
      <c r="G2551" s="14">
        <f>317.8*(2/3*10)</f>
        <v>2118.6666666666661</v>
      </c>
      <c r="H2551" s="14">
        <f>114.7*(2/3*10)</f>
        <v>764.66666666666663</v>
      </c>
      <c r="I2551" s="14">
        <f>4227.2*(2/3*10)</f>
        <v>28181.333333333328</v>
      </c>
      <c r="K2551" s="15">
        <v>2548</v>
      </c>
      <c r="L2551">
        <f t="shared" si="39"/>
        <v>4</v>
      </c>
    </row>
    <row r="2552" spans="1:12" ht="16.5" x14ac:dyDescent="0.2">
      <c r="A2552" s="4" t="s">
        <v>28</v>
      </c>
      <c r="B2552">
        <v>2013</v>
      </c>
      <c r="C2552" s="14">
        <f>882.3*(2/3*10)</f>
        <v>5881.9999999999991</v>
      </c>
      <c r="D2552" s="14">
        <f>9.2*(2/3*10)</f>
        <v>61.333333333333321</v>
      </c>
      <c r="E2552" s="14">
        <f>5314.3*(2/3*10)</f>
        <v>35428.666666666664</v>
      </c>
      <c r="F2552" s="14">
        <f>63151.2*(2/3*10)</f>
        <v>421007.99999999994</v>
      </c>
      <c r="G2552" s="14">
        <f>334.7*(2/3*10)</f>
        <v>2231.333333333333</v>
      </c>
      <c r="H2552" s="14">
        <f>123.2*(2/3*10)</f>
        <v>821.33333333333326</v>
      </c>
      <c r="I2552" s="14">
        <f>4226.7*(2/3*10)</f>
        <v>28177.999999999996</v>
      </c>
      <c r="K2552">
        <v>2549</v>
      </c>
      <c r="L2552">
        <f t="shared" si="39"/>
        <v>5</v>
      </c>
    </row>
    <row r="2553" spans="1:12" ht="16.5" x14ac:dyDescent="0.2">
      <c r="A2553" s="4" t="s">
        <v>28</v>
      </c>
      <c r="B2553">
        <v>2014</v>
      </c>
      <c r="C2553" s="14">
        <f>878.6*(2/3*10)</f>
        <v>5857.333333333333</v>
      </c>
      <c r="D2553" s="14">
        <f>9.1*(2/3*10)</f>
        <v>60.666666666666657</v>
      </c>
      <c r="E2553" s="14">
        <f>5313.6*(2/3*10)</f>
        <v>35424</v>
      </c>
      <c r="F2553" s="14">
        <f>63152.9*(2/3*10)</f>
        <v>421019.33333333331</v>
      </c>
      <c r="G2553" s="14">
        <f>329*(2/3*10)</f>
        <v>2193.333333333333</v>
      </c>
      <c r="H2553" s="14">
        <f>129.1*(2/3*10)</f>
        <v>860.66666666666652</v>
      </c>
      <c r="I2553" s="14">
        <f>4226.2*(2/3*10)</f>
        <v>28174.666666666664</v>
      </c>
      <c r="K2553" s="15">
        <v>2550</v>
      </c>
      <c r="L2553">
        <f t="shared" si="39"/>
        <v>6</v>
      </c>
    </row>
    <row r="2554" spans="1:12" ht="16.5" x14ac:dyDescent="0.2">
      <c r="A2554" s="4" t="s">
        <v>28</v>
      </c>
      <c r="B2554">
        <v>2015</v>
      </c>
      <c r="C2554" s="14">
        <f>882.6*(2/3*10)</f>
        <v>5884</v>
      </c>
      <c r="D2554" s="14">
        <f>9.1*(2/3*10)</f>
        <v>60.666666666666657</v>
      </c>
      <c r="E2554" s="14">
        <f>5312.2*(2/3*10)</f>
        <v>35414.666666666664</v>
      </c>
      <c r="F2554" s="14">
        <f>63140.7*(2/3*10)</f>
        <v>420937.99999999994</v>
      </c>
      <c r="G2554" s="14">
        <f>336.3*(2/3*10)</f>
        <v>2242</v>
      </c>
      <c r="H2554" s="14">
        <f>130.1*(2/3*10)</f>
        <v>867.33333333333326</v>
      </c>
      <c r="I2554" s="14">
        <f>4228.1*(2/3*10)</f>
        <v>28187.333333333332</v>
      </c>
      <c r="K2554">
        <v>2551</v>
      </c>
      <c r="L2554">
        <f t="shared" si="39"/>
        <v>7</v>
      </c>
    </row>
    <row r="2555" spans="1:12" ht="16.5" x14ac:dyDescent="0.2">
      <c r="A2555" s="4" t="s">
        <v>28</v>
      </c>
      <c r="B2555">
        <v>2016</v>
      </c>
      <c r="C2555" s="14">
        <f>884.1*(2/3*10)</f>
        <v>5894</v>
      </c>
      <c r="D2555" s="14">
        <f>9.1*(2/3*10)</f>
        <v>60.666666666666657</v>
      </c>
      <c r="E2555" s="14">
        <f>5310.6*(2/3*10)</f>
        <v>35404</v>
      </c>
      <c r="F2555" s="14">
        <f>63129.4*(2/3*10)</f>
        <v>420862.66666666663</v>
      </c>
      <c r="G2555" s="14">
        <f>346.8*(2/3*10)</f>
        <v>2312</v>
      </c>
      <c r="H2555" s="14">
        <f>135.1*(2/3*10)</f>
        <v>900.66666666666652</v>
      </c>
      <c r="I2555" s="14">
        <f>4227.5*(2/3*10)</f>
        <v>28183.333333333332</v>
      </c>
      <c r="K2555">
        <v>2552</v>
      </c>
      <c r="L2555">
        <f t="shared" si="39"/>
        <v>0</v>
      </c>
    </row>
    <row r="2556" spans="1:12" ht="16.5" x14ac:dyDescent="0.2">
      <c r="A2556" s="4" t="s">
        <v>27</v>
      </c>
      <c r="B2556">
        <v>2009</v>
      </c>
      <c r="C2556" s="14">
        <f>226.9*(2/3*10)</f>
        <v>1512.6666666666665</v>
      </c>
      <c r="D2556" s="14">
        <f>0.1*(2/3*10)</f>
        <v>0.66666666666666663</v>
      </c>
      <c r="E2556" s="14">
        <f>447*(2/3*10)</f>
        <v>2979.9999999999995</v>
      </c>
      <c r="F2556" s="14">
        <f>323.4*(2/3*10)</f>
        <v>2155.9999999999995</v>
      </c>
      <c r="G2556" s="14">
        <f>49*(2/3*10)</f>
        <v>326.66666666666669</v>
      </c>
      <c r="H2556" s="14">
        <f>11.2*(2/3*10)</f>
        <v>74.666666666666657</v>
      </c>
      <c r="I2556" s="14">
        <f>9.4*(2/3*10)</f>
        <v>62.666666666666664</v>
      </c>
      <c r="K2556" s="15">
        <v>2553</v>
      </c>
      <c r="L2556">
        <f t="shared" si="39"/>
        <v>1</v>
      </c>
    </row>
    <row r="2557" spans="1:12" ht="16.5" x14ac:dyDescent="0.2">
      <c r="A2557" s="4" t="s">
        <v>27</v>
      </c>
      <c r="B2557">
        <v>2010</v>
      </c>
      <c r="C2557" s="14">
        <f>225.7*(2/3*10)</f>
        <v>1504.6666666666665</v>
      </c>
      <c r="D2557" s="14">
        <f>0.1*(2/3*10)</f>
        <v>0.66666666666666663</v>
      </c>
      <c r="E2557" s="14">
        <f>447.9*(2/3*10)</f>
        <v>2985.9999999999995</v>
      </c>
      <c r="F2557" s="14">
        <f>322*(2/3*10)</f>
        <v>2146.6666666666665</v>
      </c>
      <c r="G2557" s="14">
        <f>50.2*(2/3*10)</f>
        <v>334.66666666666663</v>
      </c>
      <c r="H2557" s="14">
        <f>11.6*(2/3*10)</f>
        <v>77.333333333333329</v>
      </c>
      <c r="I2557" s="14">
        <f>9.4*(2/3*10)</f>
        <v>62.666666666666664</v>
      </c>
      <c r="K2557">
        <v>2554</v>
      </c>
      <c r="L2557">
        <f t="shared" si="39"/>
        <v>2</v>
      </c>
    </row>
    <row r="2558" spans="1:12" ht="16.5" x14ac:dyDescent="0.2">
      <c r="A2558" s="4" t="s">
        <v>27</v>
      </c>
      <c r="B2558">
        <v>2011</v>
      </c>
      <c r="C2558" s="14">
        <f>224.1*(2/3*10)</f>
        <v>1493.9999999999998</v>
      </c>
      <c r="D2558" s="14">
        <f>0.1*(2/3*10)</f>
        <v>0.66666666666666663</v>
      </c>
      <c r="E2558" s="14">
        <f>448.5*(2/3*10)</f>
        <v>2989.9999999999995</v>
      </c>
      <c r="F2558" s="14">
        <f>321*(2/3*10)</f>
        <v>2140</v>
      </c>
      <c r="G2558" s="14">
        <f>52.2*(2/3*10)</f>
        <v>347.99999999999994</v>
      </c>
      <c r="H2558" s="14">
        <f>11.7*(2/3*10)</f>
        <v>77.999999999999986</v>
      </c>
      <c r="I2558" s="14">
        <f>9.4*(2/3*10)</f>
        <v>62.666666666666664</v>
      </c>
      <c r="K2558" s="15">
        <v>2555</v>
      </c>
      <c r="L2558">
        <f t="shared" si="39"/>
        <v>3</v>
      </c>
    </row>
    <row r="2559" spans="1:12" ht="16.5" x14ac:dyDescent="0.2">
      <c r="A2559" s="4" t="s">
        <v>27</v>
      </c>
      <c r="B2559">
        <v>2012</v>
      </c>
      <c r="C2559" s="14">
        <f>222.2*(2/3*10)</f>
        <v>1481.333333333333</v>
      </c>
      <c r="D2559" s="14">
        <f>0.1*(2/3*10)</f>
        <v>0.66666666666666663</v>
      </c>
      <c r="E2559" s="14">
        <f>448.3*(2/3*10)</f>
        <v>2988.6666666666665</v>
      </c>
      <c r="F2559" s="14">
        <f>320.9*(2/3*10)</f>
        <v>2139.333333333333</v>
      </c>
      <c r="G2559" s="14">
        <f>54.3*(2/3*10)</f>
        <v>362</v>
      </c>
      <c r="H2559" s="14">
        <f>11.8*(2/3*10)</f>
        <v>78.666666666666671</v>
      </c>
      <c r="I2559" s="14">
        <f>9.3*(2/3*10)</f>
        <v>62</v>
      </c>
      <c r="K2559">
        <v>2556</v>
      </c>
      <c r="L2559">
        <f t="shared" si="39"/>
        <v>4</v>
      </c>
    </row>
    <row r="2560" spans="1:12" ht="16.5" x14ac:dyDescent="0.2">
      <c r="A2560" s="4" t="s">
        <v>27</v>
      </c>
      <c r="B2560">
        <v>2013</v>
      </c>
      <c r="C2560" s="14">
        <f>220.5*(2/3*10)</f>
        <v>1469.9999999999998</v>
      </c>
      <c r="D2560" s="14">
        <f>0.1*(2/3*10)</f>
        <v>0.66666666666666663</v>
      </c>
      <c r="E2560" s="14">
        <f>448.1*(2/3*10)</f>
        <v>2987.333333333333</v>
      </c>
      <c r="F2560" s="14">
        <f>320.7*(2/3*10)</f>
        <v>2137.9999999999995</v>
      </c>
      <c r="G2560" s="14">
        <f>56.4*(2/3*10)</f>
        <v>375.99999999999994</v>
      </c>
      <c r="H2560" s="14">
        <f>12*(2/3*10)</f>
        <v>80</v>
      </c>
      <c r="I2560" s="14">
        <f>9.3*(2/3*10)</f>
        <v>62</v>
      </c>
      <c r="K2560">
        <v>2557</v>
      </c>
      <c r="L2560">
        <f t="shared" ref="L2560:L2623" si="40">MOD(K2560,8)</f>
        <v>5</v>
      </c>
    </row>
    <row r="2561" spans="1:12" ht="16.5" x14ac:dyDescent="0.2">
      <c r="A2561" s="4" t="s">
        <v>27</v>
      </c>
      <c r="B2561">
        <v>2014</v>
      </c>
      <c r="C2561" s="14">
        <f>218.2*(2/3*10)</f>
        <v>1454.6666666666665</v>
      </c>
      <c r="D2561" s="14">
        <f>0.1*(2/3*10)</f>
        <v>0.66666666666666663</v>
      </c>
      <c r="E2561" s="14">
        <f>447.9*(2/3*10)</f>
        <v>2985.9999999999995</v>
      </c>
      <c r="F2561" s="14">
        <f>320.4*(2/3*10)</f>
        <v>2135.9999999999995</v>
      </c>
      <c r="G2561" s="14">
        <f>59.1*(2/3*10)</f>
        <v>394</v>
      </c>
      <c r="H2561" s="14">
        <f>12.1*(2/3*10)</f>
        <v>80.666666666666657</v>
      </c>
      <c r="I2561" s="14">
        <f>9.3*(2/3*10)</f>
        <v>62</v>
      </c>
      <c r="K2561" s="15">
        <v>2558</v>
      </c>
      <c r="L2561">
        <f t="shared" si="40"/>
        <v>6</v>
      </c>
    </row>
    <row r="2562" spans="1:12" ht="16.5" x14ac:dyDescent="0.2">
      <c r="A2562" s="4" t="s">
        <v>27</v>
      </c>
      <c r="B2562">
        <v>2015</v>
      </c>
      <c r="C2562" s="14">
        <f>217.9*(2/3*10)</f>
        <v>1452.6666666666665</v>
      </c>
      <c r="D2562" s="14">
        <f>0.1*(2/3*10)</f>
        <v>0.66666666666666663</v>
      </c>
      <c r="E2562" s="14">
        <f>447.7*(2/3*10)</f>
        <v>2984.6666666666665</v>
      </c>
      <c r="F2562" s="14">
        <f>320.2*(2/3*10)</f>
        <v>2134.6666666666665</v>
      </c>
      <c r="G2562" s="14">
        <f>59.8*(2/3*10)</f>
        <v>398.66666666666663</v>
      </c>
      <c r="H2562" s="14">
        <f>12.2*(2/3*10)</f>
        <v>81.333333333333314</v>
      </c>
      <c r="I2562" s="14">
        <f>9.2*(2/3*10)</f>
        <v>61.333333333333321</v>
      </c>
      <c r="K2562">
        <v>2559</v>
      </c>
      <c r="L2562">
        <f t="shared" si="40"/>
        <v>7</v>
      </c>
    </row>
    <row r="2563" spans="1:12" ht="16.5" x14ac:dyDescent="0.2">
      <c r="A2563" s="4" t="s">
        <v>27</v>
      </c>
      <c r="B2563">
        <v>2016</v>
      </c>
      <c r="C2563" s="14">
        <f>217.3*(2/3*10)</f>
        <v>1448.6666666666665</v>
      </c>
      <c r="D2563" s="14">
        <f>0.1*(2/3*10)</f>
        <v>0.66666666666666663</v>
      </c>
      <c r="E2563" s="14">
        <f>447.6*(2/3*10)</f>
        <v>2984</v>
      </c>
      <c r="F2563" s="14">
        <f>320*(2/3*10)</f>
        <v>2133.333333333333</v>
      </c>
      <c r="G2563" s="14">
        <f>60.7*(2/3*10)</f>
        <v>404.66666666666663</v>
      </c>
      <c r="H2563" s="14">
        <f>12.3*(2/3*10)</f>
        <v>82</v>
      </c>
      <c r="I2563" s="14">
        <f>9.1*(2/3*10)</f>
        <v>60.666666666666657</v>
      </c>
      <c r="K2563" s="15">
        <v>2560</v>
      </c>
      <c r="L2563">
        <f t="shared" si="40"/>
        <v>0</v>
      </c>
    </row>
    <row r="2564" spans="1:12" ht="16.5" x14ac:dyDescent="0.2">
      <c r="A2564" s="4" t="s">
        <v>26</v>
      </c>
      <c r="B2564">
        <v>2013</v>
      </c>
      <c r="C2564" s="14">
        <f>334.8*(2/3*10)</f>
        <v>2232</v>
      </c>
      <c r="D2564" s="14">
        <f>2.1*(2/3*10)</f>
        <v>14</v>
      </c>
      <c r="E2564" s="14">
        <f>730.9*(2/3*10)</f>
        <v>4872.6666666666661</v>
      </c>
      <c r="F2564" s="14">
        <f>709.1*(2/3*10)</f>
        <v>4727.333333333333</v>
      </c>
      <c r="G2564" s="14">
        <f>49.4*(2/3*10)</f>
        <v>329.33333333333331</v>
      </c>
      <c r="H2564" s="14">
        <f>17.5*(2/3*10)</f>
        <v>116.66666666666666</v>
      </c>
      <c r="I2564" s="14">
        <f>24.1*(2/3*10)</f>
        <v>160.66666666666666</v>
      </c>
      <c r="K2564">
        <v>2561</v>
      </c>
      <c r="L2564">
        <f t="shared" si="40"/>
        <v>1</v>
      </c>
    </row>
    <row r="2565" spans="1:12" ht="16.5" x14ac:dyDescent="0.2">
      <c r="A2565" s="4" t="s">
        <v>26</v>
      </c>
      <c r="B2565">
        <v>2014</v>
      </c>
      <c r="C2565" s="14">
        <f>333.6*(2/3*10)</f>
        <v>2224</v>
      </c>
      <c r="D2565" s="14">
        <f>2.1*(2/3*10)</f>
        <v>14</v>
      </c>
      <c r="E2565" s="14">
        <f>730.8*(2/3*10)</f>
        <v>4871.9999999999991</v>
      </c>
      <c r="F2565" s="14">
        <f>708.9*(2/3*10)</f>
        <v>4725.9999999999991</v>
      </c>
      <c r="G2565" s="14">
        <f>50.7*(2/3*10)</f>
        <v>337.99999999999994</v>
      </c>
      <c r="H2565" s="14">
        <f>17.6*(2/3*10)</f>
        <v>117.33333333333333</v>
      </c>
      <c r="I2565" s="14">
        <f>24.1*(2/3*10)</f>
        <v>160.66666666666666</v>
      </c>
      <c r="K2565">
        <v>2562</v>
      </c>
      <c r="L2565">
        <f t="shared" si="40"/>
        <v>2</v>
      </c>
    </row>
    <row r="2566" spans="1:12" ht="16.5" x14ac:dyDescent="0.2">
      <c r="A2566" s="4" t="s">
        <v>26</v>
      </c>
      <c r="B2566">
        <v>2015</v>
      </c>
      <c r="C2566" s="14">
        <f>333.2*(2/3*10)</f>
        <v>2221.333333333333</v>
      </c>
      <c r="D2566" s="14">
        <f>2.1*(2/3*10)</f>
        <v>14</v>
      </c>
      <c r="E2566" s="14">
        <f>730.7*(2/3*10)</f>
        <v>4871.333333333333</v>
      </c>
      <c r="F2566" s="14">
        <f>708.8*(2/3*10)</f>
        <v>4725.333333333333</v>
      </c>
      <c r="G2566" s="14">
        <f>51.1*(2/3*10)</f>
        <v>340.66666666666663</v>
      </c>
      <c r="H2566" s="14">
        <f>17.7*(2/3*10)</f>
        <v>117.99999999999999</v>
      </c>
      <c r="I2566" s="14">
        <f>24*(2/3*10)</f>
        <v>160</v>
      </c>
      <c r="K2566" s="15">
        <v>2563</v>
      </c>
      <c r="L2566">
        <f t="shared" si="40"/>
        <v>3</v>
      </c>
    </row>
    <row r="2567" spans="1:12" ht="16.5" x14ac:dyDescent="0.2">
      <c r="A2567" s="4" t="s">
        <v>26</v>
      </c>
      <c r="B2567">
        <v>2016</v>
      </c>
      <c r="C2567" s="14">
        <f>332.4*(2/3*10)</f>
        <v>2215.9999999999995</v>
      </c>
      <c r="D2567" s="14">
        <f>2*(2/3*10)</f>
        <v>13.333333333333332</v>
      </c>
      <c r="E2567" s="14">
        <f>730.3*(2/3*10)</f>
        <v>4868.6666666666661</v>
      </c>
      <c r="F2567" s="14">
        <f>708.9*(2/3*10)</f>
        <v>4725.9999999999991</v>
      </c>
      <c r="G2567" s="14">
        <f>51.4*(2/3*10)</f>
        <v>342.66666666666663</v>
      </c>
      <c r="H2567" s="14">
        <f>18.7*(2/3*10)</f>
        <v>124.66666666666666</v>
      </c>
      <c r="I2567" s="14">
        <f>24*(2/3*10)</f>
        <v>160</v>
      </c>
      <c r="K2567">
        <v>2564</v>
      </c>
      <c r="L2567">
        <f t="shared" si="40"/>
        <v>4</v>
      </c>
    </row>
    <row r="2568" spans="1:12" ht="16.5" x14ac:dyDescent="0.2">
      <c r="A2568" s="4" t="s">
        <v>25</v>
      </c>
      <c r="B2568">
        <v>2009</v>
      </c>
      <c r="C2568" s="14">
        <f>339.9*(2/3*10)</f>
        <v>2265.9999999999995</v>
      </c>
      <c r="D2568" s="14">
        <f>2.2*(2/3*10)</f>
        <v>14.666666666666666</v>
      </c>
      <c r="E2568" s="14">
        <f>731.7*(2/3*10)</f>
        <v>4878</v>
      </c>
      <c r="F2568" s="14">
        <f>709.6*(2/3*10)</f>
        <v>4730.6666666666661</v>
      </c>
      <c r="G2568" s="14">
        <f>44.2*(2/3*10)</f>
        <v>294.66666666666663</v>
      </c>
      <c r="H2568" s="14">
        <f>16.4*(2/3*10)</f>
        <v>109.33333333333331</v>
      </c>
      <c r="I2568" s="14">
        <f>24*(2/3*10)</f>
        <v>160</v>
      </c>
      <c r="K2568" s="15">
        <v>2565</v>
      </c>
      <c r="L2568">
        <f t="shared" si="40"/>
        <v>5</v>
      </c>
    </row>
    <row r="2569" spans="1:12" ht="16.5" x14ac:dyDescent="0.2">
      <c r="A2569" s="4" t="s">
        <v>25</v>
      </c>
      <c r="B2569">
        <v>2010</v>
      </c>
      <c r="C2569" s="14">
        <f>339.1*(2/3*10)</f>
        <v>2260.6666666666665</v>
      </c>
      <c r="D2569" s="14">
        <f>2.2*(2/3*10)</f>
        <v>14.666666666666666</v>
      </c>
      <c r="E2569" s="14">
        <f>731.5*(2/3*10)</f>
        <v>4876.6666666666661</v>
      </c>
      <c r="F2569" s="14">
        <f>709.5*(2/3*10)</f>
        <v>4730</v>
      </c>
      <c r="G2569" s="14">
        <f>44.5*(2/3*10)</f>
        <v>296.66666666666663</v>
      </c>
      <c r="H2569" s="14">
        <f>16.9*(2/3*10)</f>
        <v>112.66666666666664</v>
      </c>
      <c r="I2569" s="14">
        <f>24.2*(2/3*10)</f>
        <v>161.33333333333331</v>
      </c>
      <c r="K2569">
        <v>2566</v>
      </c>
      <c r="L2569">
        <f t="shared" si="40"/>
        <v>6</v>
      </c>
    </row>
    <row r="2570" spans="1:12" ht="16.5" x14ac:dyDescent="0.2">
      <c r="A2570" s="4" t="s">
        <v>25</v>
      </c>
      <c r="B2570">
        <v>2011</v>
      </c>
      <c r="C2570" s="14">
        <f>338.5*(2/3*10)</f>
        <v>2256.6666666666665</v>
      </c>
      <c r="D2570" s="14">
        <f>2.2*(2/3*10)</f>
        <v>14.666666666666666</v>
      </c>
      <c r="E2570" s="14">
        <f>731.2*(2/3*10)</f>
        <v>4874.666666666667</v>
      </c>
      <c r="F2570" s="14">
        <f>709.3*(2/3*10)</f>
        <v>4728.6666666666661</v>
      </c>
      <c r="G2570" s="14">
        <f>45.2*(2/3*10)</f>
        <v>301.33333333333326</v>
      </c>
      <c r="H2570" s="14">
        <f>17.2*(2/3*10)</f>
        <v>114.66666666666666</v>
      </c>
      <c r="I2570" s="14">
        <f>24.2*(2/3*10)</f>
        <v>161.33333333333331</v>
      </c>
      <c r="K2570">
        <v>2567</v>
      </c>
      <c r="L2570">
        <f t="shared" si="40"/>
        <v>7</v>
      </c>
    </row>
    <row r="2571" spans="1:12" ht="16.5" x14ac:dyDescent="0.2">
      <c r="A2571" s="4" t="s">
        <v>25</v>
      </c>
      <c r="B2571">
        <v>2012</v>
      </c>
      <c r="C2571" s="14">
        <f>337.1*(2/3*10)</f>
        <v>2247.3333333333335</v>
      </c>
      <c r="D2571" s="14">
        <f>2.1*(2/3*10)</f>
        <v>14</v>
      </c>
      <c r="E2571" s="14">
        <f>731.1*(2/3*10)</f>
        <v>4874</v>
      </c>
      <c r="F2571" s="14">
        <f>709.3*(2/3*10)</f>
        <v>4728.6666666666661</v>
      </c>
      <c r="G2571" s="14">
        <f>46.8*(2/3*10)</f>
        <v>311.99999999999994</v>
      </c>
      <c r="H2571" s="14">
        <f>17.3*(2/3*10)</f>
        <v>115.33333333333333</v>
      </c>
      <c r="I2571" s="14">
        <f>24.2*(2/3*10)</f>
        <v>161.33333333333331</v>
      </c>
      <c r="K2571" s="15">
        <v>2568</v>
      </c>
      <c r="L2571">
        <f t="shared" si="40"/>
        <v>0</v>
      </c>
    </row>
    <row r="2572" spans="1:12" ht="16.5" x14ac:dyDescent="0.2">
      <c r="A2572" s="4" t="s">
        <v>24</v>
      </c>
      <c r="B2572">
        <v>2009</v>
      </c>
      <c r="C2572" s="14">
        <f>78.9*(2/3*10)</f>
        <v>526</v>
      </c>
      <c r="D2572" s="14">
        <f>0*(2/3*10)</f>
        <v>0</v>
      </c>
      <c r="E2572" s="14">
        <f>628.1*(2/3*10)</f>
        <v>4187.333333333333</v>
      </c>
      <c r="F2572" s="14">
        <f>3314.7*(2/3*10)</f>
        <v>22097.999999999996</v>
      </c>
      <c r="G2572" s="14">
        <f>13*(2/3*10)</f>
        <v>86.666666666666657</v>
      </c>
      <c r="H2572" s="14">
        <f>8.7*(2/3*10)</f>
        <v>57.999999999999993</v>
      </c>
      <c r="I2572" s="14">
        <f>414.3*(2/3*10)</f>
        <v>2762</v>
      </c>
      <c r="K2572">
        <v>2569</v>
      </c>
      <c r="L2572">
        <f t="shared" si="40"/>
        <v>1</v>
      </c>
    </row>
    <row r="2573" spans="1:12" ht="16.5" x14ac:dyDescent="0.2">
      <c r="A2573" s="4" t="s">
        <v>24</v>
      </c>
      <c r="B2573">
        <v>2010</v>
      </c>
      <c r="C2573" s="14">
        <f>81.1*(2/3*10)</f>
        <v>540.66666666666663</v>
      </c>
      <c r="D2573" s="14">
        <f>0*(2/3*10)</f>
        <v>0</v>
      </c>
      <c r="E2573" s="14">
        <f>628*(2/3*10)</f>
        <v>4186.6666666666661</v>
      </c>
      <c r="F2573" s="14">
        <f>3311.7*(2/3*10)</f>
        <v>22077.999999999996</v>
      </c>
      <c r="G2573" s="14">
        <f>13.3*(2/3*10)</f>
        <v>88.666666666666657</v>
      </c>
      <c r="H2573" s="14">
        <f>9.2*(2/3*10)</f>
        <v>61.333333333333321</v>
      </c>
      <c r="I2573" s="14">
        <f>414.3*(2/3*10)</f>
        <v>2762</v>
      </c>
      <c r="K2573" s="15">
        <v>2570</v>
      </c>
      <c r="L2573">
        <f t="shared" si="40"/>
        <v>2</v>
      </c>
    </row>
    <row r="2574" spans="1:12" ht="16.5" x14ac:dyDescent="0.2">
      <c r="A2574" s="4" t="s">
        <v>24</v>
      </c>
      <c r="B2574">
        <v>2011</v>
      </c>
      <c r="C2574" s="14">
        <f>81.5*(2/3*10)</f>
        <v>543.33333333333326</v>
      </c>
      <c r="D2574" s="14">
        <f>0*(2/3*10)</f>
        <v>0</v>
      </c>
      <c r="E2574" s="14">
        <f>627.9*(2/3*10)</f>
        <v>4185.9999999999991</v>
      </c>
      <c r="F2574" s="14">
        <f>3311*(2/3*10)</f>
        <v>22073.333333333332</v>
      </c>
      <c r="G2574" s="14">
        <f>13.6*(2/3*10)</f>
        <v>90.666666666666671</v>
      </c>
      <c r="H2574" s="14">
        <f>9.2*(2/3*10)</f>
        <v>61.333333333333321</v>
      </c>
      <c r="I2574" s="14">
        <f>414.3*(2/3*10)</f>
        <v>2762</v>
      </c>
      <c r="K2574">
        <v>2571</v>
      </c>
      <c r="L2574">
        <f t="shared" si="40"/>
        <v>3</v>
      </c>
    </row>
    <row r="2575" spans="1:12" ht="16.5" x14ac:dyDescent="0.2">
      <c r="A2575" s="4" t="s">
        <v>24</v>
      </c>
      <c r="B2575">
        <v>2012</v>
      </c>
      <c r="C2575" s="14">
        <f>84.9*(2/3*10)</f>
        <v>566</v>
      </c>
      <c r="D2575" s="14">
        <f>0*(2/3*10)</f>
        <v>0</v>
      </c>
      <c r="E2575" s="14">
        <f>627.9*(2/3*10)</f>
        <v>4185.9999999999991</v>
      </c>
      <c r="F2575" s="14">
        <f>3307.3*(2/3*10)</f>
        <v>22048.666666666664</v>
      </c>
      <c r="G2575" s="14">
        <f>13.8*(2/3*10)</f>
        <v>92</v>
      </c>
      <c r="H2575" s="14">
        <f>9.3*(2/3*10)</f>
        <v>62</v>
      </c>
      <c r="I2575" s="14">
        <f>414.3*(2/3*10)</f>
        <v>2762</v>
      </c>
      <c r="K2575">
        <v>2572</v>
      </c>
      <c r="L2575">
        <f t="shared" si="40"/>
        <v>4</v>
      </c>
    </row>
    <row r="2576" spans="1:12" ht="16.5" x14ac:dyDescent="0.2">
      <c r="A2576" s="4" t="s">
        <v>24</v>
      </c>
      <c r="B2576">
        <v>2013</v>
      </c>
      <c r="C2576" s="14">
        <f>84.7*(2/3*10)</f>
        <v>564.66666666666663</v>
      </c>
      <c r="D2576" s="14">
        <f>0*(2/3*10)</f>
        <v>0</v>
      </c>
      <c r="E2576" s="14">
        <f>627.9*(2/3*10)</f>
        <v>4185.9999999999991</v>
      </c>
      <c r="F2576" s="14">
        <f>3306.7*(2/3*10)</f>
        <v>22044.666666666664</v>
      </c>
      <c r="G2576" s="14">
        <f>14.6*(2/3*10)</f>
        <v>97.333333333333329</v>
      </c>
      <c r="H2576" s="14">
        <f>9.3*(2/3*10)</f>
        <v>62</v>
      </c>
      <c r="I2576" s="14">
        <f>414.3*(2/3*10)</f>
        <v>2762</v>
      </c>
      <c r="K2576" s="15">
        <v>2573</v>
      </c>
      <c r="L2576">
        <f t="shared" si="40"/>
        <v>5</v>
      </c>
    </row>
    <row r="2577" spans="1:12" ht="16.5" x14ac:dyDescent="0.2">
      <c r="A2577" s="4" t="s">
        <v>24</v>
      </c>
      <c r="B2577">
        <v>2014</v>
      </c>
      <c r="C2577" s="14">
        <f>84.5*(2/3*10)</f>
        <v>563.33333333333326</v>
      </c>
      <c r="D2577" s="14">
        <f>0*(2/3*10)</f>
        <v>0</v>
      </c>
      <c r="E2577" s="14">
        <f>627.8*(2/3*10)</f>
        <v>4185.333333333333</v>
      </c>
      <c r="F2577" s="14">
        <f>3306.6*(2/3*10)</f>
        <v>22043.999999999996</v>
      </c>
      <c r="G2577" s="14">
        <f>14.6*(2/3*10)</f>
        <v>97.333333333333329</v>
      </c>
      <c r="H2577" s="14">
        <f>9.6*(2/3*10)</f>
        <v>63.999999999999993</v>
      </c>
      <c r="I2577" s="14">
        <f>414.3*(2/3*10)</f>
        <v>2762</v>
      </c>
      <c r="K2577">
        <v>2574</v>
      </c>
      <c r="L2577">
        <f t="shared" si="40"/>
        <v>6</v>
      </c>
    </row>
    <row r="2578" spans="1:12" ht="16.5" x14ac:dyDescent="0.2">
      <c r="A2578" s="4" t="s">
        <v>24</v>
      </c>
      <c r="B2578">
        <v>2015</v>
      </c>
      <c r="C2578" s="14">
        <f>84.5*(2/3*10)</f>
        <v>563.33333333333326</v>
      </c>
      <c r="D2578" s="14">
        <f>0*(2/3*10)</f>
        <v>0</v>
      </c>
      <c r="E2578" s="14">
        <f>627.5*(2/3*10)</f>
        <v>4183.333333333333</v>
      </c>
      <c r="F2578" s="14">
        <f>3303.9*(2/3*10)</f>
        <v>22026</v>
      </c>
      <c r="G2578" s="14">
        <f>15*(2/3*10)</f>
        <v>99.999999999999986</v>
      </c>
      <c r="H2578" s="14">
        <f>10*(2/3*10)</f>
        <v>66.666666666666657</v>
      </c>
      <c r="I2578" s="14">
        <f>416.5*(2/3*10)</f>
        <v>2776.6666666666665</v>
      </c>
      <c r="K2578" s="15">
        <v>2575</v>
      </c>
      <c r="L2578">
        <f t="shared" si="40"/>
        <v>7</v>
      </c>
    </row>
    <row r="2579" spans="1:12" ht="16.5" x14ac:dyDescent="0.2">
      <c r="A2579" s="4" t="s">
        <v>24</v>
      </c>
      <c r="B2579">
        <v>2016</v>
      </c>
      <c r="C2579" s="14">
        <f>85.1*(2/3*10)</f>
        <v>567.33333333333326</v>
      </c>
      <c r="D2579" s="14">
        <f>0*(2/3*10)</f>
        <v>0</v>
      </c>
      <c r="E2579" s="14">
        <f>627.5*(2/3*10)</f>
        <v>4183.333333333333</v>
      </c>
      <c r="F2579" s="14">
        <f>3303*(2/3*10)</f>
        <v>22019.999999999996</v>
      </c>
      <c r="G2579" s="14">
        <f>15.2*(2/3*10)</f>
        <v>101.33333333333331</v>
      </c>
      <c r="H2579" s="14">
        <f>10.1*(2/3*10)</f>
        <v>67.333333333333329</v>
      </c>
      <c r="I2579" s="14">
        <f>416.5*(2/3*10)</f>
        <v>2776.6666666666665</v>
      </c>
      <c r="K2579">
        <v>2576</v>
      </c>
      <c r="L2579">
        <f t="shared" si="40"/>
        <v>0</v>
      </c>
    </row>
    <row r="2580" spans="1:12" ht="16.5" x14ac:dyDescent="0.2">
      <c r="A2580" s="4" t="s">
        <v>23</v>
      </c>
      <c r="B2580">
        <v>2009</v>
      </c>
      <c r="C2580" s="14">
        <f>30.1*(2/3*10)</f>
        <v>200.66666666666666</v>
      </c>
      <c r="D2580" s="14">
        <f>0.1*(2/3*10)</f>
        <v>0.66666666666666663</v>
      </c>
      <c r="E2580" s="14">
        <f>303.5*(2/3*10)</f>
        <v>2023.3333333333333</v>
      </c>
      <c r="F2580" s="14">
        <f>2292*(2/3*10)</f>
        <v>15279.999999999998</v>
      </c>
      <c r="G2580" s="14">
        <f>7.3*(2/3*10)</f>
        <v>48.666666666666664</v>
      </c>
      <c r="H2580" s="14">
        <f>6.6*(2/3*10)</f>
        <v>43.999999999999993</v>
      </c>
      <c r="I2580" s="14">
        <f>18.2*(2/3*10)</f>
        <v>121.33333333333331</v>
      </c>
      <c r="K2580">
        <v>2577</v>
      </c>
      <c r="L2580">
        <f t="shared" si="40"/>
        <v>1</v>
      </c>
    </row>
    <row r="2581" spans="1:12" ht="16.5" x14ac:dyDescent="0.2">
      <c r="A2581" s="4" t="s">
        <v>23</v>
      </c>
      <c r="B2581">
        <v>2010</v>
      </c>
      <c r="C2581" s="14">
        <f>30.1*(2/3*10)</f>
        <v>200.66666666666666</v>
      </c>
      <c r="D2581" s="14">
        <f>0.1*(2/3*10)</f>
        <v>0.66666666666666663</v>
      </c>
      <c r="E2581" s="14">
        <f>303.4*(2/3*10)</f>
        <v>2022.6666666666663</v>
      </c>
      <c r="F2581" s="14">
        <f>2291.8*(2/3*10)</f>
        <v>15278.666666666666</v>
      </c>
      <c r="G2581" s="14">
        <f>7.5*(2/3*10)</f>
        <v>49.999999999999993</v>
      </c>
      <c r="H2581" s="14">
        <f>6.6*(2/3*10)</f>
        <v>43.999999999999993</v>
      </c>
      <c r="I2581" s="14">
        <f>18.3*(2/3*10)</f>
        <v>122</v>
      </c>
      <c r="K2581" s="15">
        <v>2578</v>
      </c>
      <c r="L2581">
        <f t="shared" si="40"/>
        <v>2</v>
      </c>
    </row>
    <row r="2582" spans="1:12" ht="16.5" x14ac:dyDescent="0.2">
      <c r="A2582" s="4" t="s">
        <v>23</v>
      </c>
      <c r="B2582">
        <v>2011</v>
      </c>
      <c r="C2582" s="14">
        <f>30.1*(2/3*10)</f>
        <v>200.66666666666666</v>
      </c>
      <c r="D2582" s="14">
        <f>0.1*(2/3*10)</f>
        <v>0.66666666666666663</v>
      </c>
      <c r="E2582" s="14">
        <f>303.4*(2/3*10)</f>
        <v>2022.6666666666663</v>
      </c>
      <c r="F2582" s="14">
        <f>2291.7*(2/3*10)</f>
        <v>15277.999999999998</v>
      </c>
      <c r="G2582" s="14">
        <f>7.6*(2/3*10)</f>
        <v>50.666666666666657</v>
      </c>
      <c r="H2582" s="14">
        <f>6.6*(2/3*10)</f>
        <v>43.999999999999993</v>
      </c>
      <c r="I2582" s="14">
        <f>18.3*(2/3*10)</f>
        <v>122</v>
      </c>
      <c r="K2582">
        <v>2579</v>
      </c>
      <c r="L2582">
        <f t="shared" si="40"/>
        <v>3</v>
      </c>
    </row>
    <row r="2583" spans="1:12" ht="16.5" x14ac:dyDescent="0.2">
      <c r="A2583" s="4" t="s">
        <v>23</v>
      </c>
      <c r="B2583">
        <v>2012</v>
      </c>
      <c r="C2583" s="14">
        <f>30*(2/3*10)</f>
        <v>199.99999999999997</v>
      </c>
      <c r="D2583" s="14">
        <f>0.1*(2/3*10)</f>
        <v>0.66666666666666663</v>
      </c>
      <c r="E2583" s="14">
        <f>303.4*(2/3*10)</f>
        <v>2022.6666666666663</v>
      </c>
      <c r="F2583" s="14">
        <f>2291.4*(2/3*10)</f>
        <v>15276</v>
      </c>
      <c r="G2583" s="14">
        <f>8*(2/3*10)</f>
        <v>53.333333333333329</v>
      </c>
      <c r="H2583" s="14">
        <f>6.6*(2/3*10)</f>
        <v>43.999999999999993</v>
      </c>
      <c r="I2583" s="14">
        <f>18.3*(2/3*10)</f>
        <v>122</v>
      </c>
      <c r="K2583" s="15">
        <v>2580</v>
      </c>
      <c r="L2583">
        <f t="shared" si="40"/>
        <v>4</v>
      </c>
    </row>
    <row r="2584" spans="1:12" ht="16.5" x14ac:dyDescent="0.2">
      <c r="A2584" s="4" t="s">
        <v>23</v>
      </c>
      <c r="B2584">
        <v>2013</v>
      </c>
      <c r="C2584" s="14">
        <f>29.9*(2/3*10)</f>
        <v>199.33333333333331</v>
      </c>
      <c r="D2584" s="14">
        <f>0.1*(2/3*10)</f>
        <v>0.66666666666666663</v>
      </c>
      <c r="E2584" s="14">
        <f>303.4*(2/3*10)</f>
        <v>2022.6666666666663</v>
      </c>
      <c r="F2584" s="14">
        <f>2291.3*(2/3*10)</f>
        <v>15275.333333333334</v>
      </c>
      <c r="G2584" s="14">
        <f>8.1*(2/3*10)</f>
        <v>53.999999999999993</v>
      </c>
      <c r="H2584" s="14">
        <f>6.7*(2/3*10)</f>
        <v>44.666666666666664</v>
      </c>
      <c r="I2584" s="14">
        <f>18.3*(2/3*10)</f>
        <v>122</v>
      </c>
      <c r="K2584">
        <v>2581</v>
      </c>
      <c r="L2584">
        <f t="shared" si="40"/>
        <v>5</v>
      </c>
    </row>
    <row r="2585" spans="1:12" ht="16.5" x14ac:dyDescent="0.2">
      <c r="A2585" s="4" t="s">
        <v>23</v>
      </c>
      <c r="B2585">
        <v>2014</v>
      </c>
      <c r="C2585" s="14">
        <f>29.8*(2/3*10)</f>
        <v>198.66666666666666</v>
      </c>
      <c r="D2585" s="14">
        <f>0.1*(2/3*10)</f>
        <v>0.66666666666666663</v>
      </c>
      <c r="E2585" s="14">
        <f>303.4*(2/3*10)</f>
        <v>2022.6666666666663</v>
      </c>
      <c r="F2585" s="14">
        <f>2291.2*(2/3*10)</f>
        <v>15274.666666666664</v>
      </c>
      <c r="G2585" s="14">
        <f>8.1*(2/3*10)</f>
        <v>53.999999999999993</v>
      </c>
      <c r="H2585" s="14">
        <f>6.8*(2/3*10)</f>
        <v>45.333333333333329</v>
      </c>
      <c r="I2585" s="14">
        <f>18.3*(2/3*10)</f>
        <v>122</v>
      </c>
      <c r="K2585">
        <v>2582</v>
      </c>
      <c r="L2585">
        <f t="shared" si="40"/>
        <v>6</v>
      </c>
    </row>
    <row r="2586" spans="1:12" ht="16.5" x14ac:dyDescent="0.2">
      <c r="A2586" s="4" t="s">
        <v>23</v>
      </c>
      <c r="B2586">
        <v>2015</v>
      </c>
      <c r="C2586" s="14">
        <f>29.8*(2/3*10)</f>
        <v>198.66666666666666</v>
      </c>
      <c r="D2586" s="14">
        <f>0.1*(2/3*10)</f>
        <v>0.66666666666666663</v>
      </c>
      <c r="E2586" s="14">
        <f>303.4*(2/3*10)</f>
        <v>2022.6666666666663</v>
      </c>
      <c r="F2586" s="14">
        <f>2291.1*(2/3*10)</f>
        <v>15273.999999999998</v>
      </c>
      <c r="G2586" s="14">
        <f>8.2*(2/3*10)</f>
        <v>54.666666666666657</v>
      </c>
      <c r="H2586" s="14">
        <f>6.8*(2/3*10)</f>
        <v>45.333333333333329</v>
      </c>
      <c r="I2586" s="14">
        <f>18.3*(2/3*10)</f>
        <v>122</v>
      </c>
      <c r="K2586" s="15">
        <v>2583</v>
      </c>
      <c r="L2586">
        <f t="shared" si="40"/>
        <v>7</v>
      </c>
    </row>
    <row r="2587" spans="1:12" ht="16.5" x14ac:dyDescent="0.2">
      <c r="A2587" s="4" t="s">
        <v>23</v>
      </c>
      <c r="B2587">
        <v>2016</v>
      </c>
      <c r="C2587" s="14">
        <f>29.8*(2/3*10)</f>
        <v>198.66666666666666</v>
      </c>
      <c r="D2587" s="14">
        <f>0.1*(2/3*10)</f>
        <v>0.66666666666666663</v>
      </c>
      <c r="E2587" s="14">
        <f>303.3*(2/3*10)</f>
        <v>2022</v>
      </c>
      <c r="F2587" s="14">
        <f>2290.8*(2/3*10)</f>
        <v>15272</v>
      </c>
      <c r="G2587" s="14">
        <f>8.4*(2/3*10)</f>
        <v>55.999999999999986</v>
      </c>
      <c r="H2587" s="14">
        <f>6.9*(2/3*10)</f>
        <v>46</v>
      </c>
      <c r="I2587" s="14">
        <f>18.3*(2/3*10)</f>
        <v>122</v>
      </c>
      <c r="K2587">
        <v>2584</v>
      </c>
      <c r="L2587">
        <f t="shared" si="40"/>
        <v>0</v>
      </c>
    </row>
    <row r="2588" spans="1:12" ht="16.5" x14ac:dyDescent="0.2">
      <c r="A2588" s="4" t="s">
        <v>22</v>
      </c>
      <c r="B2588">
        <v>2009</v>
      </c>
      <c r="C2588" s="14">
        <f>124.1*(2/3*10)</f>
        <v>827.33333333333326</v>
      </c>
      <c r="D2588" s="14">
        <f>0.7*(2/3*10)</f>
        <v>4.6666666666666661</v>
      </c>
      <c r="E2588" s="14">
        <f>386.6*(2/3*10)</f>
        <v>2577.333333333333</v>
      </c>
      <c r="F2588" s="14">
        <f>5061.3*(2/3*10)</f>
        <v>33742</v>
      </c>
      <c r="G2588" s="14">
        <f>19.9*(2/3*10)</f>
        <v>132.66666666666666</v>
      </c>
      <c r="H2588" s="14">
        <f>14.8*(2/3*10)</f>
        <v>98.666666666666657</v>
      </c>
      <c r="I2588" s="14">
        <f>487.7*(2/3*10)</f>
        <v>3251.333333333333</v>
      </c>
      <c r="K2588" s="15">
        <v>2585</v>
      </c>
      <c r="L2588">
        <f t="shared" si="40"/>
        <v>1</v>
      </c>
    </row>
    <row r="2589" spans="1:12" ht="16.5" x14ac:dyDescent="0.2">
      <c r="A2589" s="4" t="s">
        <v>22</v>
      </c>
      <c r="B2589">
        <v>2010</v>
      </c>
      <c r="C2589" s="14">
        <f>124*(2/3*10)</f>
        <v>826.66666666666663</v>
      </c>
      <c r="D2589" s="14">
        <f>0.7*(2/3*10)</f>
        <v>4.6666666666666661</v>
      </c>
      <c r="E2589" s="14">
        <f>386.5*(2/3*10)</f>
        <v>2576.6666666666665</v>
      </c>
      <c r="F2589" s="14">
        <f>5059.8*(2/3*10)</f>
        <v>33732</v>
      </c>
      <c r="G2589" s="14">
        <f>20.2*(2/3*10)</f>
        <v>134.66666666666666</v>
      </c>
      <c r="H2589" s="14">
        <f>16*(2/3*10)</f>
        <v>106.66666666666666</v>
      </c>
      <c r="I2589" s="14">
        <f>488.1*(2/3*10)</f>
        <v>3254</v>
      </c>
      <c r="K2589">
        <v>2586</v>
      </c>
      <c r="L2589">
        <f t="shared" si="40"/>
        <v>2</v>
      </c>
    </row>
    <row r="2590" spans="1:12" ht="16.5" x14ac:dyDescent="0.2">
      <c r="A2590" s="4" t="s">
        <v>22</v>
      </c>
      <c r="B2590">
        <v>2011</v>
      </c>
      <c r="C2590" s="14">
        <f>125*(2/3*10)</f>
        <v>833.33333333333326</v>
      </c>
      <c r="D2590" s="14">
        <f>0.7*(2/3*10)</f>
        <v>4.6666666666666661</v>
      </c>
      <c r="E2590" s="14">
        <f>386.5*(2/3*10)</f>
        <v>2576.6666666666665</v>
      </c>
      <c r="F2590" s="14">
        <f>5057.8*(2/3*10)</f>
        <v>33718.666666666664</v>
      </c>
      <c r="G2590" s="14">
        <f>20.8*(2/3*10)</f>
        <v>138.66666666666666</v>
      </c>
      <c r="H2590" s="14">
        <f>16.6*(2/3*10)</f>
        <v>110.66666666666667</v>
      </c>
      <c r="I2590" s="14">
        <f>488.1*(2/3*10)</f>
        <v>3254</v>
      </c>
      <c r="K2590">
        <v>2587</v>
      </c>
      <c r="L2590">
        <f t="shared" si="40"/>
        <v>3</v>
      </c>
    </row>
    <row r="2591" spans="1:12" ht="16.5" x14ac:dyDescent="0.2">
      <c r="A2591" s="4" t="s">
        <v>22</v>
      </c>
      <c r="B2591">
        <v>2012</v>
      </c>
      <c r="C2591" s="14">
        <f>124.9*(2/3*10)</f>
        <v>832.66666666666663</v>
      </c>
      <c r="D2591" s="14">
        <f>0.7*(2/3*10)</f>
        <v>4.6666666666666661</v>
      </c>
      <c r="E2591" s="14">
        <f>386.4*(2/3*10)</f>
        <v>2575.9999999999995</v>
      </c>
      <c r="F2591" s="14">
        <f>5057*(2/3*10)</f>
        <v>33713.333333333328</v>
      </c>
      <c r="G2591" s="14">
        <f>21.4*(2/3*10)</f>
        <v>142.66666666666666</v>
      </c>
      <c r="H2591" s="14">
        <f>16.8*(2/3*10)</f>
        <v>112</v>
      </c>
      <c r="I2591" s="14">
        <f>488.1*(2/3*10)</f>
        <v>3254</v>
      </c>
      <c r="K2591" s="15">
        <v>2588</v>
      </c>
      <c r="L2591">
        <f t="shared" si="40"/>
        <v>4</v>
      </c>
    </row>
    <row r="2592" spans="1:12" ht="16.5" x14ac:dyDescent="0.2">
      <c r="A2592" s="4" t="s">
        <v>22</v>
      </c>
      <c r="B2592">
        <v>2013</v>
      </c>
      <c r="C2592" s="14">
        <f>125.3*(2/3*10)</f>
        <v>835.33333333333326</v>
      </c>
      <c r="D2592" s="14">
        <f>0.7*(2/3*10)</f>
        <v>4.6666666666666661</v>
      </c>
      <c r="E2592" s="14">
        <f>386.4*(2/3*10)</f>
        <v>2575.9999999999995</v>
      </c>
      <c r="F2592" s="14">
        <f>5051.1*(2/3*10)</f>
        <v>33674</v>
      </c>
      <c r="G2592" s="14">
        <f>26.7*(2/3*10)</f>
        <v>177.99999999999997</v>
      </c>
      <c r="H2592" s="14">
        <f>17.1*(2/3*10)</f>
        <v>114</v>
      </c>
      <c r="I2592" s="14">
        <f>488.1*(2/3*10)</f>
        <v>3254</v>
      </c>
      <c r="K2592">
        <v>2589</v>
      </c>
      <c r="L2592">
        <f t="shared" si="40"/>
        <v>5</v>
      </c>
    </row>
    <row r="2593" spans="1:12" ht="16.5" x14ac:dyDescent="0.2">
      <c r="A2593" s="4" t="s">
        <v>22</v>
      </c>
      <c r="B2593">
        <v>2014</v>
      </c>
      <c r="C2593" s="14">
        <f>125.2*(2/3*10)</f>
        <v>834.66666666666663</v>
      </c>
      <c r="D2593" s="14">
        <f>0.7*(2/3*10)</f>
        <v>4.6666666666666661</v>
      </c>
      <c r="E2593" s="14">
        <f>386.4*(2/3*10)</f>
        <v>2575.9999999999995</v>
      </c>
      <c r="F2593" s="14">
        <f>5055.4*(2/3*10)</f>
        <v>33702.666666666664</v>
      </c>
      <c r="G2593" s="14">
        <f>22.2*(2/3*10)</f>
        <v>147.99999999999997</v>
      </c>
      <c r="H2593" s="14">
        <f>17.7*(2/3*10)</f>
        <v>117.99999999999999</v>
      </c>
      <c r="I2593" s="14">
        <f>487.6*(2/3*10)</f>
        <v>3250.6666666666665</v>
      </c>
      <c r="K2593" s="15">
        <v>2590</v>
      </c>
      <c r="L2593">
        <f t="shared" si="40"/>
        <v>6</v>
      </c>
    </row>
    <row r="2594" spans="1:12" ht="16.5" x14ac:dyDescent="0.2">
      <c r="A2594" s="4" t="s">
        <v>22</v>
      </c>
      <c r="B2594">
        <v>2015</v>
      </c>
      <c r="C2594" s="14">
        <f>125.4*(2/3*10)</f>
        <v>836</v>
      </c>
      <c r="D2594" s="14">
        <f>0.7*(2/3*10)</f>
        <v>4.6666666666666661</v>
      </c>
      <c r="E2594" s="14">
        <f>386.4*(2/3*10)</f>
        <v>2575.9999999999995</v>
      </c>
      <c r="F2594" s="14">
        <f>5051.7*(2/3*10)</f>
        <v>33677.999999999993</v>
      </c>
      <c r="G2594" s="14">
        <f>25.6*(2/3*10)</f>
        <v>170.66666666666663</v>
      </c>
      <c r="H2594" s="14">
        <f>17.8*(2/3*10)</f>
        <v>118.66666666666666</v>
      </c>
      <c r="I2594" s="14">
        <f>487.6*(2/3*10)</f>
        <v>3250.6666666666665</v>
      </c>
      <c r="K2594">
        <v>2591</v>
      </c>
      <c r="L2594">
        <f t="shared" si="40"/>
        <v>7</v>
      </c>
    </row>
    <row r="2595" spans="1:12" ht="16.5" x14ac:dyDescent="0.2">
      <c r="A2595" s="4" t="s">
        <v>22</v>
      </c>
      <c r="B2595">
        <v>2016</v>
      </c>
      <c r="C2595" s="14">
        <f>126.2*(2/3*10)</f>
        <v>841.33333333333326</v>
      </c>
      <c r="D2595" s="14">
        <f>0.7*(2/3*10)</f>
        <v>4.6666666666666661</v>
      </c>
      <c r="E2595" s="14">
        <f>386*(2/3*10)</f>
        <v>2573.333333333333</v>
      </c>
      <c r="F2595" s="14">
        <f>5047.4*(2/3*10)</f>
        <v>33649.333333333328</v>
      </c>
      <c r="G2595" s="14">
        <f>29.7*(2/3*10)</f>
        <v>197.99999999999997</v>
      </c>
      <c r="H2595" s="14">
        <f>17.9*(2/3*10)</f>
        <v>119.33333333333331</v>
      </c>
      <c r="I2595" s="14">
        <f>487.2*(2/3*10)</f>
        <v>3247.9999999999995</v>
      </c>
      <c r="K2595">
        <v>2592</v>
      </c>
      <c r="L2595">
        <f t="shared" si="40"/>
        <v>0</v>
      </c>
    </row>
    <row r="2596" spans="1:12" ht="16.5" x14ac:dyDescent="0.2">
      <c r="A2596" s="4" t="s">
        <v>21</v>
      </c>
      <c r="B2596">
        <v>2009</v>
      </c>
      <c r="C2596" s="14">
        <f>1.9*(2/3*10)</f>
        <v>12.666666666666664</v>
      </c>
      <c r="D2596" s="14">
        <f>0*(2/3*10)</f>
        <v>0</v>
      </c>
      <c r="E2596" s="14">
        <f>486.3*(2/3*10)</f>
        <v>3242</v>
      </c>
      <c r="F2596" s="14">
        <f>9291.1*(2/3*10)</f>
        <v>61940.666666666664</v>
      </c>
      <c r="G2596" s="14">
        <f>3.9*(2/3*10)</f>
        <v>26</v>
      </c>
      <c r="H2596" s="14">
        <f>6.4*(2/3*10)</f>
        <v>42.666666666666664</v>
      </c>
      <c r="I2596" s="14">
        <f>420.8*(2/3*10)</f>
        <v>2805.333333333333</v>
      </c>
      <c r="K2596" s="15">
        <v>2593</v>
      </c>
      <c r="L2596">
        <f t="shared" si="40"/>
        <v>1</v>
      </c>
    </row>
    <row r="2597" spans="1:12" ht="16.5" x14ac:dyDescent="0.2">
      <c r="A2597" s="4" t="s">
        <v>21</v>
      </c>
      <c r="B2597">
        <v>2010</v>
      </c>
      <c r="C2597" s="14">
        <f>1.9*(2/3*10)</f>
        <v>12.666666666666664</v>
      </c>
      <c r="D2597" s="14">
        <f>0*(2/3*10)</f>
        <v>0</v>
      </c>
      <c r="E2597" s="14">
        <f>486.3*(2/3*10)</f>
        <v>3242</v>
      </c>
      <c r="F2597" s="14">
        <f>9291*(2/3*10)</f>
        <v>61939.999999999993</v>
      </c>
      <c r="G2597" s="14">
        <f>4*(2/3*10)</f>
        <v>26.666666666666664</v>
      </c>
      <c r="H2597" s="14">
        <f>6.4*(2/3*10)</f>
        <v>42.666666666666664</v>
      </c>
      <c r="I2597" s="14">
        <f>420.8*(2/3*10)</f>
        <v>2805.333333333333</v>
      </c>
      <c r="K2597">
        <v>2594</v>
      </c>
      <c r="L2597">
        <f t="shared" si="40"/>
        <v>2</v>
      </c>
    </row>
    <row r="2598" spans="1:12" ht="16.5" x14ac:dyDescent="0.2">
      <c r="A2598" s="4" t="s">
        <v>21</v>
      </c>
      <c r="B2598">
        <v>2011</v>
      </c>
      <c r="C2598" s="14">
        <f>1.9*(2/3*10)</f>
        <v>12.666666666666664</v>
      </c>
      <c r="D2598" s="14">
        <f>0*(2/3*10)</f>
        <v>0</v>
      </c>
      <c r="E2598" s="14">
        <f>486.3*(2/3*10)</f>
        <v>3242</v>
      </c>
      <c r="F2598" s="14">
        <f>9290.5*(2/3*10)</f>
        <v>61936.666666666664</v>
      </c>
      <c r="G2598" s="14">
        <f>4.1*(2/3*10)</f>
        <v>27.333333333333329</v>
      </c>
      <c r="H2598" s="14">
        <f>6.8*(2/3*10)</f>
        <v>45.333333333333329</v>
      </c>
      <c r="I2598" s="14">
        <f>420.8*(2/3*10)</f>
        <v>2805.333333333333</v>
      </c>
      <c r="K2598" s="15">
        <v>2595</v>
      </c>
      <c r="L2598">
        <f t="shared" si="40"/>
        <v>3</v>
      </c>
    </row>
    <row r="2599" spans="1:12" ht="16.5" x14ac:dyDescent="0.2">
      <c r="A2599" s="4" t="s">
        <v>21</v>
      </c>
      <c r="B2599">
        <v>2012</v>
      </c>
      <c r="C2599" s="14">
        <f>1.9*(2/3*10)</f>
        <v>12.666666666666664</v>
      </c>
      <c r="D2599" s="14">
        <f>0*(2/3*10)</f>
        <v>0</v>
      </c>
      <c r="E2599" s="14">
        <f>486.3*(2/3*10)</f>
        <v>3242</v>
      </c>
      <c r="F2599" s="14">
        <f>9290.2*(2/3*10)</f>
        <v>61934.666666666664</v>
      </c>
      <c r="G2599" s="14">
        <f>4.3*(2/3*10)</f>
        <v>28.666666666666664</v>
      </c>
      <c r="H2599" s="14">
        <f>6.9*(2/3*10)</f>
        <v>46</v>
      </c>
      <c r="I2599" s="14">
        <f>420.8*(2/3*10)</f>
        <v>2805.333333333333</v>
      </c>
      <c r="K2599">
        <v>2596</v>
      </c>
      <c r="L2599">
        <f t="shared" si="40"/>
        <v>4</v>
      </c>
    </row>
    <row r="2600" spans="1:12" ht="16.5" x14ac:dyDescent="0.2">
      <c r="A2600" s="4" t="s">
        <v>21</v>
      </c>
      <c r="B2600">
        <v>2013</v>
      </c>
      <c r="C2600" s="14">
        <f>1.9*(2/3*10)</f>
        <v>12.666666666666664</v>
      </c>
      <c r="D2600" s="14">
        <f>0*(2/3*10)</f>
        <v>0</v>
      </c>
      <c r="E2600" s="14">
        <f>486.3*(2/3*10)</f>
        <v>3242</v>
      </c>
      <c r="F2600" s="14">
        <f>9289*(2/3*10)</f>
        <v>61926.666666666664</v>
      </c>
      <c r="G2600" s="14">
        <f>4.4*(2/3*10)</f>
        <v>29.333333333333329</v>
      </c>
      <c r="H2600" s="14">
        <f>8*(2/3*10)</f>
        <v>53.333333333333329</v>
      </c>
      <c r="I2600" s="14">
        <f>420.8*(2/3*10)</f>
        <v>2805.333333333333</v>
      </c>
      <c r="K2600">
        <v>2597</v>
      </c>
      <c r="L2600">
        <f t="shared" si="40"/>
        <v>5</v>
      </c>
    </row>
    <row r="2601" spans="1:12" ht="16.5" x14ac:dyDescent="0.2">
      <c r="A2601" s="4" t="s">
        <v>21</v>
      </c>
      <c r="B2601">
        <v>2014</v>
      </c>
      <c r="C2601" s="14">
        <f>1.9*(2/3*10)</f>
        <v>12.666666666666664</v>
      </c>
      <c r="D2601" s="14">
        <f>0*(2/3*10)</f>
        <v>0</v>
      </c>
      <c r="E2601" s="14">
        <f>486.3*(2/3*10)</f>
        <v>3242</v>
      </c>
      <c r="F2601" s="14">
        <f>9287.3*(2/3*10)</f>
        <v>61915.333333333321</v>
      </c>
      <c r="G2601" s="14">
        <f>4.5*(2/3*10)</f>
        <v>29.999999999999996</v>
      </c>
      <c r="H2601" s="14">
        <f>9.7*(2/3*10)</f>
        <v>64.666666666666657</v>
      </c>
      <c r="I2601" s="14">
        <f>420.8*(2/3*10)</f>
        <v>2805.333333333333</v>
      </c>
      <c r="K2601" s="15">
        <v>2598</v>
      </c>
      <c r="L2601">
        <f t="shared" si="40"/>
        <v>6</v>
      </c>
    </row>
    <row r="2602" spans="1:12" ht="16.5" x14ac:dyDescent="0.2">
      <c r="A2602" s="4" t="s">
        <v>21</v>
      </c>
      <c r="B2602">
        <v>2015</v>
      </c>
      <c r="C2602" s="14">
        <f>1.9*(2/3*10)</f>
        <v>12.666666666666664</v>
      </c>
      <c r="D2602" s="14">
        <f>0*(2/3*10)</f>
        <v>0</v>
      </c>
      <c r="E2602" s="14">
        <f>486.3*(2/3*10)</f>
        <v>3242</v>
      </c>
      <c r="F2602" s="14">
        <f>9287.1*(2/3*10)</f>
        <v>61914</v>
      </c>
      <c r="G2602" s="14">
        <f>4.6*(2/3*10)</f>
        <v>30.666666666666661</v>
      </c>
      <c r="H2602" s="14">
        <f>9.8*(2/3*10)</f>
        <v>65.333333333333329</v>
      </c>
      <c r="I2602" s="14">
        <f>420.8*(2/3*10)</f>
        <v>2805.333333333333</v>
      </c>
      <c r="K2602">
        <v>2599</v>
      </c>
      <c r="L2602">
        <f t="shared" si="40"/>
        <v>7</v>
      </c>
    </row>
    <row r="2603" spans="1:12" ht="16.5" x14ac:dyDescent="0.2">
      <c r="A2603" s="4" t="s">
        <v>21</v>
      </c>
      <c r="B2603">
        <v>2016</v>
      </c>
      <c r="C2603" s="14">
        <f>1.9*(2/3*10)</f>
        <v>12.666666666666664</v>
      </c>
      <c r="D2603" s="14">
        <f>0*(2/3*10)</f>
        <v>0</v>
      </c>
      <c r="E2603" s="14">
        <f>486.3*(2/3*10)</f>
        <v>3242</v>
      </c>
      <c r="F2603" s="14">
        <f>9286.6*(2/3*10)</f>
        <v>61910.666666666664</v>
      </c>
      <c r="G2603" s="14">
        <f>4.8*(2/3*10)</f>
        <v>31.999999999999996</v>
      </c>
      <c r="H2603" s="14">
        <f>10*(2/3*10)</f>
        <v>66.666666666666657</v>
      </c>
      <c r="I2603" s="14">
        <f>420.7*(2/3*10)</f>
        <v>2804.6666666666665</v>
      </c>
      <c r="K2603" s="15">
        <v>2600</v>
      </c>
      <c r="L2603">
        <f t="shared" si="40"/>
        <v>0</v>
      </c>
    </row>
    <row r="2604" spans="1:12" ht="16.5" x14ac:dyDescent="0.2">
      <c r="A2604" s="4" t="s">
        <v>20</v>
      </c>
      <c r="B2604">
        <v>2009</v>
      </c>
      <c r="C2604" s="14">
        <f>20.6*(2/3*10)</f>
        <v>137.33333333333334</v>
      </c>
      <c r="D2604" s="14">
        <f>0*(2/3*10)</f>
        <v>0</v>
      </c>
      <c r="E2604" s="14">
        <f>977*(2/3*10)</f>
        <v>6513.333333333333</v>
      </c>
      <c r="F2604" s="14">
        <f>25609.8*(2/3*10)</f>
        <v>170731.99999999997</v>
      </c>
      <c r="G2604" s="14">
        <f>11.6*(2/3*10)</f>
        <v>77.333333333333343</v>
      </c>
      <c r="H2604" s="14">
        <f>14.3*(2/3*10)</f>
        <v>95.333333333333329</v>
      </c>
      <c r="I2604" s="14">
        <f>1236.6*(2/3*10)</f>
        <v>8243.9999999999982</v>
      </c>
      <c r="K2604">
        <v>2601</v>
      </c>
      <c r="L2604">
        <f t="shared" si="40"/>
        <v>1</v>
      </c>
    </row>
    <row r="2605" spans="1:12" ht="16.5" x14ac:dyDescent="0.2">
      <c r="A2605" s="4" t="s">
        <v>20</v>
      </c>
      <c r="B2605">
        <v>2010</v>
      </c>
      <c r="C2605" s="14">
        <f>20.4*(2/3*10)</f>
        <v>135.99999999999997</v>
      </c>
      <c r="D2605" s="14">
        <f>0*(2/3*10)</f>
        <v>0</v>
      </c>
      <c r="E2605" s="14">
        <f>976.9*(2/3*10)</f>
        <v>6512.6666666666661</v>
      </c>
      <c r="F2605" s="14">
        <f>25609*(2/3*10)</f>
        <v>170726.66666666666</v>
      </c>
      <c r="G2605" s="14">
        <f>12.5*(2/3*10)</f>
        <v>83.333333333333329</v>
      </c>
      <c r="H2605" s="14">
        <f>14.5*(2/3*10)</f>
        <v>96.666666666666657</v>
      </c>
      <c r="I2605" s="14">
        <f>1236.6*(2/3*10)</f>
        <v>8243.9999999999982</v>
      </c>
      <c r="K2605">
        <v>2602</v>
      </c>
      <c r="L2605">
        <f t="shared" si="40"/>
        <v>2</v>
      </c>
    </row>
    <row r="2606" spans="1:12" ht="16.5" x14ac:dyDescent="0.2">
      <c r="A2606" s="4" t="s">
        <v>20</v>
      </c>
      <c r="B2606">
        <v>2011</v>
      </c>
      <c r="C2606" s="14">
        <f>20.3*(2/3*10)</f>
        <v>135.33333333333331</v>
      </c>
      <c r="D2606" s="14">
        <f>0*(2/3*10)</f>
        <v>0</v>
      </c>
      <c r="E2606" s="14">
        <f>976.8*(2/3*10)</f>
        <v>6511.9999999999991</v>
      </c>
      <c r="F2606" s="14">
        <f>25608.1*(2/3*10)</f>
        <v>170720.66666666663</v>
      </c>
      <c r="G2606" s="14">
        <f>12.8*(2/3*10)</f>
        <v>85.333333333333329</v>
      </c>
      <c r="H2606" s="14">
        <f>15.1*(2/3*10)</f>
        <v>100.66666666666666</v>
      </c>
      <c r="I2606" s="14">
        <f>1236.6*(2/3*10)</f>
        <v>8243.9999999999982</v>
      </c>
      <c r="K2606" s="15">
        <v>2603</v>
      </c>
      <c r="L2606">
        <f t="shared" si="40"/>
        <v>3</v>
      </c>
    </row>
    <row r="2607" spans="1:12" ht="16.5" x14ac:dyDescent="0.2">
      <c r="A2607" s="4" t="s">
        <v>20</v>
      </c>
      <c r="B2607">
        <v>2012</v>
      </c>
      <c r="C2607" s="14">
        <f>20.2*(2/3*10)</f>
        <v>134.66666666666666</v>
      </c>
      <c r="D2607" s="14">
        <f>0*(2/3*10)</f>
        <v>0</v>
      </c>
      <c r="E2607" s="14">
        <f>976.8*(2/3*10)</f>
        <v>6511.9999999999991</v>
      </c>
      <c r="F2607" s="14">
        <f>25607.3*(2/3*10)</f>
        <v>170715.33333333331</v>
      </c>
      <c r="G2607" s="14">
        <f>13.8*(2/3*10)</f>
        <v>92</v>
      </c>
      <c r="H2607" s="14">
        <f>15.2*(2/3*10)</f>
        <v>101.33333333333331</v>
      </c>
      <c r="I2607" s="14">
        <f>1236.6*(2/3*10)</f>
        <v>8243.9999999999982</v>
      </c>
      <c r="K2607">
        <v>2604</v>
      </c>
      <c r="L2607">
        <f t="shared" si="40"/>
        <v>4</v>
      </c>
    </row>
    <row r="2608" spans="1:12" ht="16.5" x14ac:dyDescent="0.2">
      <c r="A2608" s="4" t="s">
        <v>20</v>
      </c>
      <c r="B2608">
        <v>2013</v>
      </c>
      <c r="C2608" s="14">
        <f>20.1*(2/3*10)</f>
        <v>134</v>
      </c>
      <c r="D2608" s="14">
        <f>0*(2/3*10)</f>
        <v>0</v>
      </c>
      <c r="E2608" s="14">
        <f>976.8*(2/3*10)</f>
        <v>6511.9999999999991</v>
      </c>
      <c r="F2608" s="14">
        <f>25606.4*(2/3*10)</f>
        <v>170709.33333333331</v>
      </c>
      <c r="G2608" s="14">
        <f>14.1*(2/3*10)</f>
        <v>94</v>
      </c>
      <c r="H2608" s="14">
        <f>15.8*(2/3*10)</f>
        <v>105.33333333333333</v>
      </c>
      <c r="I2608" s="14">
        <f>1236.5*(2/3*10)</f>
        <v>8243.3333333333321</v>
      </c>
      <c r="K2608" s="15">
        <v>2605</v>
      </c>
      <c r="L2608">
        <f t="shared" si="40"/>
        <v>5</v>
      </c>
    </row>
    <row r="2609" spans="1:12" ht="16.5" x14ac:dyDescent="0.2">
      <c r="A2609" s="4" t="s">
        <v>20</v>
      </c>
      <c r="B2609">
        <v>2014</v>
      </c>
      <c r="C2609" s="14">
        <f>20.1*(2/3*10)</f>
        <v>134</v>
      </c>
      <c r="D2609" s="14">
        <f>0*(2/3*10)</f>
        <v>0</v>
      </c>
      <c r="E2609" s="14">
        <f>976.7*(2/3*10)</f>
        <v>6511.333333333333</v>
      </c>
      <c r="F2609" s="14">
        <f>25605.2*(2/3*10)</f>
        <v>170701.33333333331</v>
      </c>
      <c r="G2609" s="14">
        <f>14.6*(2/3*10)</f>
        <v>97.333333333333329</v>
      </c>
      <c r="H2609" s="14">
        <f>16.7*(2/3*10)</f>
        <v>111.33333333333331</v>
      </c>
      <c r="I2609" s="14">
        <f>1236.5*(2/3*10)</f>
        <v>8243.3333333333321</v>
      </c>
      <c r="K2609">
        <v>2606</v>
      </c>
      <c r="L2609">
        <f t="shared" si="40"/>
        <v>6</v>
      </c>
    </row>
    <row r="2610" spans="1:12" ht="16.5" x14ac:dyDescent="0.2">
      <c r="A2610" s="4" t="s">
        <v>20</v>
      </c>
      <c r="B2610">
        <v>2015</v>
      </c>
      <c r="C2610" s="14">
        <f>20.1*(2/3*10)</f>
        <v>134</v>
      </c>
      <c r="D2610" s="14">
        <f>0*(2/3*10)</f>
        <v>0</v>
      </c>
      <c r="E2610" s="14">
        <f>976.7*(2/3*10)</f>
        <v>6511.333333333333</v>
      </c>
      <c r="F2610" s="14">
        <f>25604.9*(2/3*10)</f>
        <v>170699.33333333331</v>
      </c>
      <c r="G2610" s="14">
        <f>14.8*(2/3*10)</f>
        <v>98.666666666666657</v>
      </c>
      <c r="H2610" s="14">
        <f>16.7*(2/3*10)</f>
        <v>111.33333333333331</v>
      </c>
      <c r="I2610" s="14">
        <f>1236.5*(2/3*10)</f>
        <v>8243.3333333333321</v>
      </c>
      <c r="K2610">
        <v>2607</v>
      </c>
      <c r="L2610">
        <f t="shared" si="40"/>
        <v>7</v>
      </c>
    </row>
    <row r="2611" spans="1:12" ht="16.5" x14ac:dyDescent="0.2">
      <c r="A2611" s="4" t="s">
        <v>20</v>
      </c>
      <c r="B2611">
        <v>2016</v>
      </c>
      <c r="C2611" s="14">
        <f>19.9*(2/3*10)</f>
        <v>132.66666666666666</v>
      </c>
      <c r="D2611" s="14">
        <f>0*(2/3*10)</f>
        <v>0</v>
      </c>
      <c r="E2611" s="14">
        <f>976.6*(2/3*10)</f>
        <v>6510.6666666666661</v>
      </c>
      <c r="F2611" s="14">
        <f>25603.9*(2/3*10)</f>
        <v>170692.66666666666</v>
      </c>
      <c r="G2611" s="14">
        <f>16.2*(2/3*10)</f>
        <v>107.99999999999999</v>
      </c>
      <c r="H2611" s="14">
        <f>16.8*(2/3*10)</f>
        <v>112</v>
      </c>
      <c r="I2611" s="14">
        <f>1236.5*(2/3*10)</f>
        <v>8243.3333333333321</v>
      </c>
      <c r="K2611" s="15">
        <v>2608</v>
      </c>
      <c r="L2611">
        <f t="shared" si="40"/>
        <v>0</v>
      </c>
    </row>
    <row r="2612" spans="1:12" ht="16.5" x14ac:dyDescent="0.2">
      <c r="A2612" s="4" t="s">
        <v>19</v>
      </c>
      <c r="B2612">
        <v>2009</v>
      </c>
      <c r="C2612" s="14">
        <f>59.6*(2/3*10)</f>
        <v>397.33333333333331</v>
      </c>
      <c r="D2612" s="14">
        <f>5.9*(2/3*10)</f>
        <v>39.333333333333336</v>
      </c>
      <c r="E2612" s="14">
        <f>1356.6*(2/3*10)</f>
        <v>9043.9999999999982</v>
      </c>
      <c r="F2612" s="14">
        <f>16591.9*(2/3*10)</f>
        <v>110612.66666666667</v>
      </c>
      <c r="G2612" s="14">
        <f>145.7*(2/3*10)</f>
        <v>971.33333333333314</v>
      </c>
      <c r="H2612" s="14">
        <f>26.4*(2/3*10)</f>
        <v>175.99999999999997</v>
      </c>
      <c r="I2612" s="14">
        <f>1616.1*(2/3*10)</f>
        <v>10773.999999999998</v>
      </c>
      <c r="K2612">
        <v>2609</v>
      </c>
      <c r="L2612">
        <f t="shared" si="40"/>
        <v>1</v>
      </c>
    </row>
    <row r="2613" spans="1:12" ht="16.5" x14ac:dyDescent="0.2">
      <c r="A2613" s="4" t="s">
        <v>19</v>
      </c>
      <c r="B2613">
        <v>2010</v>
      </c>
      <c r="C2613" s="14">
        <f>59.4*(2/3*10)</f>
        <v>395.99999999999994</v>
      </c>
      <c r="D2613" s="14">
        <f>5.9*(2/3*10)</f>
        <v>39.333333333333336</v>
      </c>
      <c r="E2613" s="14">
        <f>1356.3*(2/3*10)</f>
        <v>9041.9999999999982</v>
      </c>
      <c r="F2613" s="14">
        <f>16590.3*(2/3*10)</f>
        <v>110601.99999999999</v>
      </c>
      <c r="G2613" s="14">
        <f>147*(2/3*10)</f>
        <v>979.99999999999989</v>
      </c>
      <c r="H2613" s="14">
        <f>28.2*(2/3*10)</f>
        <v>187.99999999999997</v>
      </c>
      <c r="I2613" s="14">
        <f>1615.8*(2/3*10)</f>
        <v>10771.999999999998</v>
      </c>
      <c r="K2613" s="15">
        <v>2610</v>
      </c>
      <c r="L2613">
        <f t="shared" si="40"/>
        <v>2</v>
      </c>
    </row>
    <row r="2614" spans="1:12" ht="16.5" x14ac:dyDescent="0.2">
      <c r="A2614" s="4" t="s">
        <v>19</v>
      </c>
      <c r="B2614">
        <v>2011</v>
      </c>
      <c r="C2614" s="14">
        <f>61*(2/3*10)</f>
        <v>406.66666666666663</v>
      </c>
      <c r="D2614" s="14">
        <f>6.1*(2/3*10)</f>
        <v>40.666666666666657</v>
      </c>
      <c r="E2614" s="14">
        <f>1355.8*(2/3*10)</f>
        <v>9038.6666666666661</v>
      </c>
      <c r="F2614" s="14">
        <f>16587*(2/3*10)</f>
        <v>110579.99999999999</v>
      </c>
      <c r="G2614" s="14">
        <f>150.7*(2/3*10)</f>
        <v>1004.6666666666665</v>
      </c>
      <c r="H2614" s="14">
        <f>29.8*(2/3*10)</f>
        <v>198.66666666666666</v>
      </c>
      <c r="I2614" s="14">
        <f>1615.7*(2/3*10)</f>
        <v>10771.333333333332</v>
      </c>
      <c r="K2614">
        <v>2611</v>
      </c>
      <c r="L2614">
        <f t="shared" si="40"/>
        <v>3</v>
      </c>
    </row>
    <row r="2615" spans="1:12" ht="16.5" x14ac:dyDescent="0.2">
      <c r="A2615" s="4" t="s">
        <v>19</v>
      </c>
      <c r="B2615">
        <v>2012</v>
      </c>
      <c r="C2615" s="14">
        <f>61.5*(2/3*10)</f>
        <v>409.99999999999994</v>
      </c>
      <c r="D2615" s="14">
        <f>6.1*(2/3*10)</f>
        <v>40.666666666666657</v>
      </c>
      <c r="E2615" s="14">
        <f>1355.6*(2/3*10)</f>
        <v>9037.3333333333321</v>
      </c>
      <c r="F2615" s="14">
        <f>16583.3*(2/3*10)</f>
        <v>110555.33333333331</v>
      </c>
      <c r="G2615" s="14">
        <f>155.5*(2/3*10)</f>
        <v>1036.6666666666665</v>
      </c>
      <c r="H2615" s="14">
        <f>30.7*(2/3*10)</f>
        <v>204.66666666666666</v>
      </c>
      <c r="I2615" s="14">
        <f>1615.6*(2/3*10)</f>
        <v>10770.666666666664</v>
      </c>
      <c r="K2615">
        <v>2612</v>
      </c>
      <c r="L2615">
        <f t="shared" si="40"/>
        <v>4</v>
      </c>
    </row>
    <row r="2616" spans="1:12" ht="16.5" x14ac:dyDescent="0.2">
      <c r="A2616" s="4" t="s">
        <v>19</v>
      </c>
      <c r="B2616">
        <v>2013</v>
      </c>
      <c r="C2616" s="14">
        <f>65*(2/3*10)</f>
        <v>433.33333333333331</v>
      </c>
      <c r="D2616" s="14">
        <f>6.1*(2/3*10)</f>
        <v>40.666666666666657</v>
      </c>
      <c r="E2616" s="14">
        <f>1354.5*(2/3*10)</f>
        <v>9030</v>
      </c>
      <c r="F2616" s="14">
        <f>16577*(2/3*10)</f>
        <v>110513.33333333333</v>
      </c>
      <c r="G2616" s="14">
        <f>161.2*(2/3*10)</f>
        <v>1074.6666666666665</v>
      </c>
      <c r="H2616" s="14">
        <f>36.8*(2/3*10)</f>
        <v>245.33333333333329</v>
      </c>
      <c r="I2616" s="14">
        <f>1615.3*(2/3*10)</f>
        <v>10768.666666666666</v>
      </c>
      <c r="K2616" s="15">
        <v>2613</v>
      </c>
      <c r="L2616">
        <f t="shared" si="40"/>
        <v>5</v>
      </c>
    </row>
    <row r="2617" spans="1:12" ht="16.5" x14ac:dyDescent="0.2">
      <c r="A2617" s="4" t="s">
        <v>19</v>
      </c>
      <c r="B2617">
        <v>2014</v>
      </c>
      <c r="C2617" s="14">
        <f>65.3*(2/3*10)</f>
        <v>435.33333333333326</v>
      </c>
      <c r="D2617" s="14">
        <f>6.1*(2/3*10)</f>
        <v>40.666666666666657</v>
      </c>
      <c r="E2617" s="14">
        <f>1354.4*(2/3*10)</f>
        <v>9029.3333333333339</v>
      </c>
      <c r="F2617" s="14">
        <f>16577.8*(2/3*10)</f>
        <v>110518.66666666666</v>
      </c>
      <c r="G2617" s="14">
        <f>155.4*(2/3*10)</f>
        <v>1036</v>
      </c>
      <c r="H2617" s="14">
        <f>38.9*(2/3*10)</f>
        <v>259.33333333333331</v>
      </c>
      <c r="I2617" s="14">
        <f>1615.3*(2/3*10)</f>
        <v>10768.666666666666</v>
      </c>
      <c r="K2617">
        <v>2614</v>
      </c>
      <c r="L2617">
        <f t="shared" si="40"/>
        <v>6</v>
      </c>
    </row>
    <row r="2618" spans="1:12" ht="16.5" x14ac:dyDescent="0.2">
      <c r="A2618" s="4" t="s">
        <v>19</v>
      </c>
      <c r="B2618">
        <v>2015</v>
      </c>
      <c r="C2618" s="14">
        <f>69.8*(2/3*10)</f>
        <v>465.33333333333326</v>
      </c>
      <c r="D2618" s="14">
        <f>6.1*(2/3*10)</f>
        <v>40.666666666666657</v>
      </c>
      <c r="E2618" s="14">
        <f>1353.6*(2/3*10)</f>
        <v>9023.9999999999982</v>
      </c>
      <c r="F2618" s="14">
        <f>16573*(2/3*10)</f>
        <v>110486.66666666666</v>
      </c>
      <c r="G2618" s="14">
        <f>157.3*(2/3*10)</f>
        <v>1048.6666666666667</v>
      </c>
      <c r="H2618" s="14">
        <f>39.1*(2/3*10)</f>
        <v>260.66666666666663</v>
      </c>
      <c r="I2618" s="14">
        <f>1615.3*(2/3*10)</f>
        <v>10768.666666666666</v>
      </c>
      <c r="K2618" s="15">
        <v>2615</v>
      </c>
      <c r="L2618">
        <f t="shared" si="40"/>
        <v>7</v>
      </c>
    </row>
    <row r="2619" spans="1:12" ht="16.5" x14ac:dyDescent="0.2">
      <c r="A2619" s="4" t="s">
        <v>19</v>
      </c>
      <c r="B2619">
        <v>2016</v>
      </c>
      <c r="C2619" s="14">
        <f>71.6*(2/3*10)</f>
        <v>477.33333333333326</v>
      </c>
      <c r="D2619" s="14">
        <f>6.1*(2/3*10)</f>
        <v>40.666666666666657</v>
      </c>
      <c r="E2619" s="14">
        <f>1352.9*(2/3*10)</f>
        <v>9019.3333333333339</v>
      </c>
      <c r="F2619" s="14">
        <f>16568.8*(2/3*10)</f>
        <v>110458.66666666666</v>
      </c>
      <c r="G2619" s="14">
        <f>160.6*(2/3*10)</f>
        <v>1070.6666666666665</v>
      </c>
      <c r="H2619" s="14">
        <f>42.5*(2/3*10)</f>
        <v>283.33333333333331</v>
      </c>
      <c r="I2619" s="14">
        <f>1615.2*(2/3*10)</f>
        <v>10768</v>
      </c>
      <c r="K2619">
        <v>2616</v>
      </c>
      <c r="L2619">
        <f t="shared" si="40"/>
        <v>0</v>
      </c>
    </row>
    <row r="2620" spans="1:12" ht="16.5" x14ac:dyDescent="0.2">
      <c r="A2620" s="4" t="s">
        <v>18</v>
      </c>
      <c r="B2620">
        <v>2009</v>
      </c>
      <c r="C2620" s="14">
        <f>218.7*(2/3*10)</f>
        <v>1457.9999999999998</v>
      </c>
      <c r="D2620" s="14">
        <f>27.7*(2/3*10)</f>
        <v>184.66666666666666</v>
      </c>
      <c r="E2620" s="14">
        <f>96.7*(2/3*10)</f>
        <v>644.66666666666663</v>
      </c>
      <c r="F2620" s="14">
        <f>469.7*(2/3*10)</f>
        <v>3131.333333333333</v>
      </c>
      <c r="G2620" s="14">
        <f>71.8*(2/3*10)</f>
        <v>478.66666666666663</v>
      </c>
      <c r="H2620" s="14">
        <f>22.2*(2/3*10)</f>
        <v>147.99999999999997</v>
      </c>
      <c r="I2620" s="14">
        <f>94.1*(2/3*10)</f>
        <v>627.33333333333326</v>
      </c>
      <c r="K2620">
        <v>2617</v>
      </c>
      <c r="L2620">
        <f t="shared" si="40"/>
        <v>1</v>
      </c>
    </row>
    <row r="2621" spans="1:12" ht="16.5" x14ac:dyDescent="0.2">
      <c r="A2621" s="4" t="s">
        <v>18</v>
      </c>
      <c r="B2621">
        <v>2010</v>
      </c>
      <c r="C2621" s="14">
        <f>218.5*(2/3*10)</f>
        <v>1456.6666666666665</v>
      </c>
      <c r="D2621" s="14">
        <f>26.9*(2/3*10)</f>
        <v>179.33333333333331</v>
      </c>
      <c r="E2621" s="14">
        <f>96.6*(2/3*10)</f>
        <v>643.99999999999989</v>
      </c>
      <c r="F2621" s="14">
        <f>466.7*(2/3*10)</f>
        <v>3111.333333333333</v>
      </c>
      <c r="G2621" s="14">
        <f>76.2*(2/3*10)</f>
        <v>508</v>
      </c>
      <c r="H2621" s="14">
        <f>23.2*(2/3*10)</f>
        <v>154.66666666666666</v>
      </c>
      <c r="I2621" s="14">
        <f>94.3*(2/3*10)</f>
        <v>628.66666666666663</v>
      </c>
      <c r="K2621" s="15">
        <v>2618</v>
      </c>
      <c r="L2621">
        <f t="shared" si="40"/>
        <v>2</v>
      </c>
    </row>
    <row r="2622" spans="1:12" ht="16.5" x14ac:dyDescent="0.2">
      <c r="A2622" s="4" t="s">
        <v>18</v>
      </c>
      <c r="B2622">
        <v>2011</v>
      </c>
      <c r="C2622" s="14">
        <f>216.3*(2/3*10)</f>
        <v>1442</v>
      </c>
      <c r="D2622" s="14">
        <f>25.9*(2/3*10)</f>
        <v>172.66666666666663</v>
      </c>
      <c r="E2622" s="14">
        <f>95*(2/3*10)</f>
        <v>633.33333333333326</v>
      </c>
      <c r="F2622" s="14">
        <f>397.7*(2/3*10)</f>
        <v>2651.333333333333</v>
      </c>
      <c r="G2622" s="14">
        <f>79.1*(2/3*10)</f>
        <v>527.33333333333326</v>
      </c>
      <c r="H2622" s="14">
        <f>23.3*(2/3*10)</f>
        <v>155.33333333333331</v>
      </c>
      <c r="I2622" s="14">
        <f>92.6*(2/3*10)</f>
        <v>617.33333333333326</v>
      </c>
      <c r="K2622">
        <v>2619</v>
      </c>
      <c r="L2622">
        <f t="shared" si="40"/>
        <v>3</v>
      </c>
    </row>
    <row r="2623" spans="1:12" ht="16.5" x14ac:dyDescent="0.2">
      <c r="A2623" s="4" t="s">
        <v>18</v>
      </c>
      <c r="B2623">
        <v>2012</v>
      </c>
      <c r="C2623" s="14">
        <f>214.7*(2/3*10)</f>
        <v>1431.333333333333</v>
      </c>
      <c r="D2623" s="14">
        <f>26.1*(2/3*10)</f>
        <v>174</v>
      </c>
      <c r="E2623" s="14">
        <f>94.1*(2/3*10)</f>
        <v>627.33333333333326</v>
      </c>
      <c r="F2623" s="14">
        <f>394.6*(2/3*10)</f>
        <v>2630.6666666666665</v>
      </c>
      <c r="G2623" s="14">
        <f>85*(2/3*10)</f>
        <v>566.66666666666663</v>
      </c>
      <c r="H2623" s="14">
        <f>24*(2/3*10)</f>
        <v>160</v>
      </c>
      <c r="I2623" s="14">
        <f>92.2*(2/3*10)</f>
        <v>614.66666666666663</v>
      </c>
      <c r="K2623" s="15">
        <v>2620</v>
      </c>
      <c r="L2623">
        <f t="shared" si="40"/>
        <v>4</v>
      </c>
    </row>
    <row r="2624" spans="1:12" ht="16.5" x14ac:dyDescent="0.2">
      <c r="A2624" s="4" t="s">
        <v>18</v>
      </c>
      <c r="B2624">
        <v>2013</v>
      </c>
      <c r="C2624" s="14">
        <f>214*(2/3*10)</f>
        <v>1426.6666666666665</v>
      </c>
      <c r="D2624" s="14">
        <f>25.8*(2/3*10)</f>
        <v>172</v>
      </c>
      <c r="E2624" s="14">
        <f>93.7*(2/3*10)</f>
        <v>624.66666666666663</v>
      </c>
      <c r="F2624" s="14">
        <f>392.4*(2/3*10)</f>
        <v>2615.9999999999995</v>
      </c>
      <c r="G2624" s="14">
        <f>88.9*(2/3*10)</f>
        <v>592.66666666666663</v>
      </c>
      <c r="H2624" s="14">
        <f>24.7*(2/3*10)</f>
        <v>164.66666666666666</v>
      </c>
      <c r="I2624" s="14">
        <f>92.5*(2/3*10)</f>
        <v>616.66666666666663</v>
      </c>
      <c r="K2624">
        <v>2621</v>
      </c>
      <c r="L2624">
        <f t="shared" ref="L2624:L2687" si="41">MOD(K2624,8)</f>
        <v>5</v>
      </c>
    </row>
    <row r="2625" spans="1:12" ht="16.5" x14ac:dyDescent="0.2">
      <c r="A2625" s="4" t="s">
        <v>18</v>
      </c>
      <c r="B2625">
        <v>2014</v>
      </c>
      <c r="C2625" s="14">
        <f>213.5*(2/3*10)</f>
        <v>1423.3333333333333</v>
      </c>
      <c r="D2625" s="14">
        <f>25.4*(2/3*10)</f>
        <v>169.33333333333331</v>
      </c>
      <c r="E2625" s="14">
        <f>93.5*(2/3*10)</f>
        <v>623.33333333333326</v>
      </c>
      <c r="F2625" s="14">
        <f>390.3*(2/3*10)</f>
        <v>2602</v>
      </c>
      <c r="G2625" s="14">
        <f>92.1*(2/3*10)</f>
        <v>613.99999999999989</v>
      </c>
      <c r="H2625" s="14">
        <f>25.8*(2/3*10)</f>
        <v>172</v>
      </c>
      <c r="I2625" s="14">
        <f>92.3*(2/3*10)</f>
        <v>615.33333333333326</v>
      </c>
      <c r="K2625">
        <v>2622</v>
      </c>
      <c r="L2625">
        <f t="shared" si="41"/>
        <v>6</v>
      </c>
    </row>
    <row r="2626" spans="1:12" ht="16.5" x14ac:dyDescent="0.2">
      <c r="A2626" s="4" t="s">
        <v>18</v>
      </c>
      <c r="B2626">
        <v>2015</v>
      </c>
      <c r="C2626" s="14">
        <f>213.6*(2/3*10)</f>
        <v>1423.9999999999998</v>
      </c>
      <c r="D2626" s="14">
        <f>24.6*(2/3*10)</f>
        <v>164</v>
      </c>
      <c r="E2626" s="14">
        <f>92.6*(2/3*10)</f>
        <v>617.33333333333326</v>
      </c>
      <c r="F2626" s="14">
        <f>388.3*(2/3*10)</f>
        <v>2588.6666666666665</v>
      </c>
      <c r="G2626" s="14">
        <f>95.4*(2/3*10)</f>
        <v>636</v>
      </c>
      <c r="H2626" s="14">
        <f>27.1*(2/3*10)</f>
        <v>180.66666666666666</v>
      </c>
      <c r="I2626" s="14">
        <f>92.1*(2/3*10)</f>
        <v>613.99999999999989</v>
      </c>
      <c r="K2626" s="15">
        <v>2623</v>
      </c>
      <c r="L2626">
        <f t="shared" si="41"/>
        <v>7</v>
      </c>
    </row>
    <row r="2627" spans="1:12" ht="16.5" x14ac:dyDescent="0.2">
      <c r="A2627" s="4" t="s">
        <v>18</v>
      </c>
      <c r="B2627">
        <v>2016</v>
      </c>
      <c r="C2627" s="14">
        <f>212.5*(2/3*10)</f>
        <v>1416.6666666666665</v>
      </c>
      <c r="D2627" s="14">
        <f>24.4*(2/3*10)</f>
        <v>162.66666666666663</v>
      </c>
      <c r="E2627" s="14">
        <f>92.5*(2/3*10)</f>
        <v>616.66666666666663</v>
      </c>
      <c r="F2627" s="14">
        <f>387.3*(2/3*10)</f>
        <v>2582</v>
      </c>
      <c r="G2627" s="14">
        <f>97.5*(2/3*10)</f>
        <v>649.99999999999989</v>
      </c>
      <c r="H2627" s="14">
        <f>28.2*(2/3*10)</f>
        <v>187.99999999999997</v>
      </c>
      <c r="I2627" s="14">
        <f>91.7*(2/3*10)</f>
        <v>611.33333333333326</v>
      </c>
      <c r="K2627">
        <v>2624</v>
      </c>
      <c r="L2627">
        <f t="shared" si="41"/>
        <v>0</v>
      </c>
    </row>
    <row r="2628" spans="1:12" ht="16.5" x14ac:dyDescent="0.2">
      <c r="A2628" s="4" t="s">
        <v>17</v>
      </c>
      <c r="B2628">
        <v>2009</v>
      </c>
      <c r="C2628" s="14">
        <f>126.4*(2/3*10)</f>
        <v>842.66666666666663</v>
      </c>
      <c r="D2628" s="14">
        <f>4.3*(2/3*10)</f>
        <v>28.666666666666664</v>
      </c>
      <c r="E2628" s="14">
        <f>39.8*(2/3*10)</f>
        <v>265.33333333333331</v>
      </c>
      <c r="F2628" s="14">
        <f>162.5*(2/3*10)</f>
        <v>1083.3333333333333</v>
      </c>
      <c r="G2628" s="14">
        <f>51.2*(2/3*10)</f>
        <v>341.33333333333331</v>
      </c>
      <c r="H2628" s="14">
        <f>9.6*(2/3*10)</f>
        <v>63.999999999999993</v>
      </c>
      <c r="I2628" s="14">
        <f>72.5*(2/3*10)</f>
        <v>483.33333333333331</v>
      </c>
      <c r="K2628" s="15">
        <v>2625</v>
      </c>
      <c r="L2628">
        <f t="shared" si="41"/>
        <v>1</v>
      </c>
    </row>
    <row r="2629" spans="1:12" ht="16.5" x14ac:dyDescent="0.2">
      <c r="A2629" s="4" t="s">
        <v>17</v>
      </c>
      <c r="B2629">
        <v>2010</v>
      </c>
      <c r="C2629" s="14">
        <f>126.5*(2/3*10)</f>
        <v>843.33333333333326</v>
      </c>
      <c r="D2629" s="14">
        <f>4.3*(2/3*10)</f>
        <v>28.666666666666664</v>
      </c>
      <c r="E2629" s="14">
        <f>39.7*(2/3*10)</f>
        <v>264.66666666666669</v>
      </c>
      <c r="F2629" s="14">
        <f>161.6*(2/3*10)</f>
        <v>1077.3333333333333</v>
      </c>
      <c r="G2629" s="14">
        <f>53.2*(2/3*10)</f>
        <v>354.66666666666663</v>
      </c>
      <c r="H2629" s="14">
        <f>9.9*(2/3*10)</f>
        <v>66</v>
      </c>
      <c r="I2629" s="14">
        <f>72.3*(2/3*10)</f>
        <v>481.99999999999994</v>
      </c>
      <c r="K2629">
        <v>2626</v>
      </c>
      <c r="L2629">
        <f t="shared" si="41"/>
        <v>2</v>
      </c>
    </row>
    <row r="2630" spans="1:12" ht="16.5" x14ac:dyDescent="0.2">
      <c r="A2630" s="4" t="s">
        <v>17</v>
      </c>
      <c r="B2630">
        <v>2011</v>
      </c>
      <c r="C2630" s="14">
        <f>126.6*(2/3*10)</f>
        <v>843.99999999999989</v>
      </c>
      <c r="D2630" s="14">
        <f>4.2*(2/3*10)</f>
        <v>28</v>
      </c>
      <c r="E2630" s="14">
        <f>39.6*(2/3*10)</f>
        <v>264</v>
      </c>
      <c r="F2630" s="14">
        <f>161.2*(2/3*10)</f>
        <v>1074.6666666666665</v>
      </c>
      <c r="G2630" s="14">
        <f>54.6*(2/3*10)</f>
        <v>364</v>
      </c>
      <c r="H2630" s="14">
        <f>10.2*(2/3*10)</f>
        <v>67.999999999999986</v>
      </c>
      <c r="I2630" s="14">
        <f>71.9*(2/3*10)</f>
        <v>479.33333333333331</v>
      </c>
      <c r="K2630">
        <v>2627</v>
      </c>
      <c r="L2630">
        <f t="shared" si="41"/>
        <v>3</v>
      </c>
    </row>
    <row r="2631" spans="1:12" ht="16.5" x14ac:dyDescent="0.2">
      <c r="A2631" s="4" t="s">
        <v>17</v>
      </c>
      <c r="B2631">
        <v>2012</v>
      </c>
      <c r="C2631" s="14">
        <f>126.9*(2/3*10)</f>
        <v>846</v>
      </c>
      <c r="D2631" s="14">
        <f>4.2*(2/3*10)</f>
        <v>28</v>
      </c>
      <c r="E2631" s="14">
        <f>39.8*(2/3*10)</f>
        <v>265.33333333333331</v>
      </c>
      <c r="F2631" s="14">
        <f>160.6*(2/3*10)</f>
        <v>1070.6666666666665</v>
      </c>
      <c r="G2631" s="14">
        <f>55.8*(2/3*10)</f>
        <v>371.99999999999994</v>
      </c>
      <c r="H2631" s="14">
        <f>10.5*(2/3*10)</f>
        <v>70</v>
      </c>
      <c r="I2631" s="14">
        <f>71.7*(2/3*10)</f>
        <v>478</v>
      </c>
      <c r="K2631" s="15">
        <v>2628</v>
      </c>
      <c r="L2631">
        <f t="shared" si="41"/>
        <v>4</v>
      </c>
    </row>
    <row r="2632" spans="1:12" ht="16.5" x14ac:dyDescent="0.2">
      <c r="A2632" s="4" t="s">
        <v>17</v>
      </c>
      <c r="B2632">
        <v>2013</v>
      </c>
      <c r="C2632" s="14">
        <f>127.4*(2/3*10)</f>
        <v>849.33333333333326</v>
      </c>
      <c r="D2632" s="14">
        <f>4.1*(2/3*10)</f>
        <v>27.333333333333329</v>
      </c>
      <c r="E2632" s="14">
        <f>39.7*(2/3*10)</f>
        <v>264.66666666666669</v>
      </c>
      <c r="F2632" s="14">
        <f>160*(2/3*10)</f>
        <v>1066.6666666666665</v>
      </c>
      <c r="G2632" s="14">
        <f>56.9*(2/3*10)</f>
        <v>379.33333333333331</v>
      </c>
      <c r="H2632" s="14">
        <f>10.9*(2/3*10)</f>
        <v>72.666666666666657</v>
      </c>
      <c r="I2632" s="14">
        <f>71.5*(2/3*10)</f>
        <v>476.66666666666663</v>
      </c>
      <c r="K2632">
        <v>2629</v>
      </c>
      <c r="L2632">
        <f t="shared" si="41"/>
        <v>5</v>
      </c>
    </row>
    <row r="2633" spans="1:12" ht="16.5" x14ac:dyDescent="0.2">
      <c r="A2633" s="4" t="s">
        <v>17</v>
      </c>
      <c r="B2633">
        <v>2014</v>
      </c>
      <c r="C2633" s="14">
        <f>129.8*(2/3*10)</f>
        <v>865.33333333333337</v>
      </c>
      <c r="D2633" s="14">
        <f>4.1*(2/3*10)</f>
        <v>27.333333333333329</v>
      </c>
      <c r="E2633" s="14">
        <f>39.6*(2/3*10)</f>
        <v>264</v>
      </c>
      <c r="F2633" s="14">
        <f>159.5*(2/3*10)</f>
        <v>1063.3333333333333</v>
      </c>
      <c r="G2633" s="14">
        <f>57.8*(2/3*10)</f>
        <v>385.33333333333331</v>
      </c>
      <c r="H2633" s="14">
        <f>11*(2/3*10)</f>
        <v>73.333333333333329</v>
      </c>
      <c r="I2633" s="14">
        <f>71.6*(2/3*10)</f>
        <v>477.33333333333326</v>
      </c>
      <c r="K2633" s="15">
        <v>2630</v>
      </c>
      <c r="L2633">
        <f t="shared" si="41"/>
        <v>6</v>
      </c>
    </row>
    <row r="2634" spans="1:12" ht="16.5" x14ac:dyDescent="0.2">
      <c r="A2634" s="4" t="s">
        <v>17</v>
      </c>
      <c r="B2634">
        <v>2015</v>
      </c>
      <c r="C2634" s="14">
        <f>131.5*(2/3*10)</f>
        <v>876.66666666666663</v>
      </c>
      <c r="D2634" s="14">
        <f>4.1*(2/3*10)</f>
        <v>27.333333333333329</v>
      </c>
      <c r="E2634" s="14">
        <f>38.7*(2/3*10)</f>
        <v>258</v>
      </c>
      <c r="F2634" s="14">
        <f>159.1*(2/3*10)</f>
        <v>1060.6666666666665</v>
      </c>
      <c r="G2634" s="14">
        <f>58.5*(2/3*10)</f>
        <v>389.99999999999994</v>
      </c>
      <c r="H2634" s="14">
        <f>11*(2/3*10)</f>
        <v>73.333333333333329</v>
      </c>
      <c r="I2634" s="14">
        <f>71.6*(2/3*10)</f>
        <v>477.33333333333326</v>
      </c>
      <c r="K2634">
        <v>2631</v>
      </c>
      <c r="L2634">
        <f t="shared" si="41"/>
        <v>7</v>
      </c>
    </row>
    <row r="2635" spans="1:12" ht="16.5" x14ac:dyDescent="0.2">
      <c r="A2635" s="4" t="s">
        <v>17</v>
      </c>
      <c r="B2635">
        <v>2016</v>
      </c>
      <c r="C2635" s="14">
        <f>131.9*(2/3*10)</f>
        <v>879.33333333333326</v>
      </c>
      <c r="D2635" s="14">
        <f>4.1*(2/3*10)</f>
        <v>27.333333333333329</v>
      </c>
      <c r="E2635" s="14">
        <f>38.7*(2/3*10)</f>
        <v>258</v>
      </c>
      <c r="F2635" s="14">
        <f>158.9*(2/3*10)</f>
        <v>1059.3333333333333</v>
      </c>
      <c r="G2635" s="14">
        <f>59*(2/3*10)</f>
        <v>393.33333333333331</v>
      </c>
      <c r="H2635" s="14">
        <f>11.1*(2/3*10)</f>
        <v>73.999999999999986</v>
      </c>
      <c r="I2635" s="14">
        <f>71.5*(2/3*10)</f>
        <v>476.66666666666663</v>
      </c>
      <c r="K2635">
        <v>2632</v>
      </c>
      <c r="L2635">
        <f t="shared" si="41"/>
        <v>0</v>
      </c>
    </row>
    <row r="2636" spans="1:12" ht="16.5" x14ac:dyDescent="0.2">
      <c r="A2636" s="4" t="s">
        <v>16</v>
      </c>
      <c r="B2636">
        <v>2009</v>
      </c>
      <c r="C2636" s="14">
        <f>517.6*(2/3*10)</f>
        <v>3450.6666666666665</v>
      </c>
      <c r="D2636" s="14">
        <f>19*(2/3*10)</f>
        <v>126.66666666666666</v>
      </c>
      <c r="E2636" s="14">
        <f>297.3*(2/3*10)</f>
        <v>1982</v>
      </c>
      <c r="F2636" s="14">
        <f>1249.8*(2/3*10)</f>
        <v>8331.9999999999982</v>
      </c>
      <c r="G2636" s="14">
        <f>78.6*(2/3*10)</f>
        <v>524</v>
      </c>
      <c r="H2636" s="14">
        <f>27.2*(2/3*10)</f>
        <v>181.33333333333331</v>
      </c>
      <c r="I2636" s="14">
        <f>47.3*(2/3*10)</f>
        <v>315.33333333333331</v>
      </c>
      <c r="K2636" s="15">
        <v>2633</v>
      </c>
      <c r="L2636">
        <f t="shared" si="41"/>
        <v>1</v>
      </c>
    </row>
    <row r="2637" spans="1:12" ht="16.5" x14ac:dyDescent="0.2">
      <c r="A2637" s="4" t="s">
        <v>16</v>
      </c>
      <c r="B2637">
        <v>2010</v>
      </c>
      <c r="C2637" s="14">
        <f>515.6*(2/3*10)</f>
        <v>3437.333333333333</v>
      </c>
      <c r="D2637" s="14">
        <f>18.9*(2/3*10)</f>
        <v>125.99999999999999</v>
      </c>
      <c r="E2637" s="14">
        <f>297*(2/3*10)</f>
        <v>1979.9999999999998</v>
      </c>
      <c r="F2637" s="14">
        <f>1247.1*(2/3*10)</f>
        <v>8313.9999999999982</v>
      </c>
      <c r="G2637" s="14">
        <f>82.5*(2/3*10)</f>
        <v>550</v>
      </c>
      <c r="H2637" s="14">
        <f>28.1*(2/3*10)</f>
        <v>187.33333333333331</v>
      </c>
      <c r="I2637" s="14">
        <f>47.3*(2/3*10)</f>
        <v>315.33333333333331</v>
      </c>
      <c r="K2637">
        <v>2634</v>
      </c>
      <c r="L2637">
        <f t="shared" si="41"/>
        <v>2</v>
      </c>
    </row>
    <row r="2638" spans="1:12" ht="16.5" x14ac:dyDescent="0.2">
      <c r="A2638" s="4" t="s">
        <v>16</v>
      </c>
      <c r="B2638">
        <v>2011</v>
      </c>
      <c r="C2638" s="14">
        <f>516.7*(2/3*10)</f>
        <v>3444.6666666666665</v>
      </c>
      <c r="D2638" s="14">
        <f>20*(2/3*10)</f>
        <v>133.33333333333331</v>
      </c>
      <c r="E2638" s="14">
        <f>297.8*(2/3*10)</f>
        <v>1985.3333333333333</v>
      </c>
      <c r="F2638" s="14">
        <f>1311.1*(2/3*10)</f>
        <v>8740.6666666666661</v>
      </c>
      <c r="G2638" s="14">
        <f>85.5*(2/3*10)</f>
        <v>570</v>
      </c>
      <c r="H2638" s="14">
        <f>29.1*(2/3*10)</f>
        <v>194</v>
      </c>
      <c r="I2638" s="14">
        <f>48.9*(2/3*10)</f>
        <v>325.99999999999994</v>
      </c>
      <c r="K2638" s="15">
        <v>2635</v>
      </c>
      <c r="L2638">
        <f t="shared" si="41"/>
        <v>3</v>
      </c>
    </row>
    <row r="2639" spans="1:12" ht="16.5" x14ac:dyDescent="0.2">
      <c r="A2639" s="4" t="s">
        <v>16</v>
      </c>
      <c r="B2639">
        <v>2012</v>
      </c>
      <c r="C2639" s="14">
        <f>518.3*(2/3*10)</f>
        <v>3455.3333333333326</v>
      </c>
      <c r="D2639" s="14">
        <f>19.6*(2/3*10)</f>
        <v>130.66666666666666</v>
      </c>
      <c r="E2639" s="14">
        <f>297.3*(2/3*10)</f>
        <v>1982</v>
      </c>
      <c r="F2639" s="14">
        <f>1306.6*(2/3*10)</f>
        <v>8710.6666666666661</v>
      </c>
      <c r="G2639" s="14">
        <f>88.2*(2/3*10)</f>
        <v>588</v>
      </c>
      <c r="H2639" s="14">
        <f>29.8*(2/3*10)</f>
        <v>198.66666666666666</v>
      </c>
      <c r="I2639" s="14">
        <f>48.8*(2/3*10)</f>
        <v>325.33333333333326</v>
      </c>
      <c r="K2639">
        <v>2636</v>
      </c>
      <c r="L2639">
        <f t="shared" si="41"/>
        <v>4</v>
      </c>
    </row>
    <row r="2640" spans="1:12" ht="16.5" x14ac:dyDescent="0.2">
      <c r="A2640" s="4" t="s">
        <v>16</v>
      </c>
      <c r="B2640">
        <v>2013</v>
      </c>
      <c r="C2640" s="14">
        <f>519.4*(2/3*10)</f>
        <v>3462.6666666666661</v>
      </c>
      <c r="D2640" s="14">
        <f>19.3*(2/3*10)</f>
        <v>128.66666666666666</v>
      </c>
      <c r="E2640" s="14">
        <f>296.6*(2/3*10)</f>
        <v>1977.3333333333333</v>
      </c>
      <c r="F2640" s="14">
        <f>1305.4*(2/3*10)</f>
        <v>8702.6666666666661</v>
      </c>
      <c r="G2640" s="14">
        <f>88.1*(2/3*10)</f>
        <v>587.33333333333326</v>
      </c>
      <c r="H2640" s="14">
        <f>30.3*(2/3*10)</f>
        <v>202</v>
      </c>
      <c r="I2640" s="14">
        <f>48.8*(2/3*10)</f>
        <v>325.33333333333326</v>
      </c>
      <c r="K2640">
        <v>2637</v>
      </c>
      <c r="L2640">
        <f t="shared" si="41"/>
        <v>5</v>
      </c>
    </row>
    <row r="2641" spans="1:12" ht="16.5" x14ac:dyDescent="0.2">
      <c r="A2641" s="4" t="s">
        <v>16</v>
      </c>
      <c r="B2641">
        <v>2014</v>
      </c>
      <c r="C2641" s="14">
        <f>526.8*(2/3*10)</f>
        <v>3511.9999999999995</v>
      </c>
      <c r="D2641" s="14">
        <f>19.2*(2/3*10)</f>
        <v>127.99999999999999</v>
      </c>
      <c r="E2641" s="14">
        <f>294.6*(2/3*10)</f>
        <v>1964</v>
      </c>
      <c r="F2641" s="14">
        <f>1297.4*(2/3*10)</f>
        <v>8649.3333333333339</v>
      </c>
      <c r="G2641" s="14">
        <f>89.9*(2/3*10)</f>
        <v>599.33333333333326</v>
      </c>
      <c r="H2641" s="14">
        <f>31.1*(2/3*10)</f>
        <v>207.33333333333331</v>
      </c>
      <c r="I2641" s="14">
        <f>48.8*(2/3*10)</f>
        <v>325.33333333333326</v>
      </c>
      <c r="K2641" s="15">
        <v>2638</v>
      </c>
      <c r="L2641">
        <f t="shared" si="41"/>
        <v>6</v>
      </c>
    </row>
    <row r="2642" spans="1:12" ht="16.5" x14ac:dyDescent="0.2">
      <c r="A2642" s="4" t="s">
        <v>16</v>
      </c>
      <c r="B2642">
        <v>2015</v>
      </c>
      <c r="C2642" s="14">
        <f>529.5*(2/3*10)</f>
        <v>3529.9999999999995</v>
      </c>
      <c r="D2642" s="14">
        <f>19.2*(2/3*10)</f>
        <v>127.99999999999999</v>
      </c>
      <c r="E2642" s="14">
        <f>294*(2/3*10)</f>
        <v>1959.9999999999998</v>
      </c>
      <c r="F2642" s="14">
        <f>1293.6*(2/3*10)</f>
        <v>8623.9999999999982</v>
      </c>
      <c r="G2642" s="14">
        <f>91*(2/3*10)</f>
        <v>606.66666666666663</v>
      </c>
      <c r="H2642" s="14">
        <f>31.3*(2/3*10)</f>
        <v>208.66666666666666</v>
      </c>
      <c r="I2642" s="14">
        <f>48.8*(2/3*10)</f>
        <v>325.33333333333326</v>
      </c>
      <c r="K2642">
        <v>2639</v>
      </c>
      <c r="L2642">
        <f t="shared" si="41"/>
        <v>7</v>
      </c>
    </row>
    <row r="2643" spans="1:12" ht="16.5" x14ac:dyDescent="0.2">
      <c r="A2643" s="4" t="s">
        <v>16</v>
      </c>
      <c r="B2643">
        <v>2016</v>
      </c>
      <c r="C2643" s="14">
        <f>528.8*(2/3*10)</f>
        <v>3525.3333333333326</v>
      </c>
      <c r="D2643" s="14">
        <f>19.1*(2/3*10)</f>
        <v>127.33333333333333</v>
      </c>
      <c r="E2643" s="14">
        <f>293.8*(2/3*10)</f>
        <v>1958.6666666666665</v>
      </c>
      <c r="F2643" s="14">
        <f>1292*(2/3*10)</f>
        <v>8613.3333333333321</v>
      </c>
      <c r="G2643" s="14">
        <f>92.4*(2/3*10)</f>
        <v>616</v>
      </c>
      <c r="H2643" s="14">
        <f>32.1*(2/3*10)</f>
        <v>214</v>
      </c>
      <c r="I2643" s="14">
        <f>48.9*(2/3*10)</f>
        <v>325.99999999999994</v>
      </c>
      <c r="K2643" s="15">
        <v>2640</v>
      </c>
      <c r="L2643">
        <f t="shared" si="41"/>
        <v>0</v>
      </c>
    </row>
    <row r="2644" spans="1:12" ht="16.5" x14ac:dyDescent="0.2">
      <c r="A2644" s="4" t="s">
        <v>15</v>
      </c>
      <c r="B2644">
        <v>2009</v>
      </c>
      <c r="C2644" s="14">
        <f>609.8*(2/3*10)</f>
        <v>4065.3333333333326</v>
      </c>
      <c r="D2644" s="14">
        <f>2.8*(2/3*10)</f>
        <v>18.666666666666664</v>
      </c>
      <c r="E2644" s="14">
        <f>570.9*(2/3*10)</f>
        <v>3805.9999999999995</v>
      </c>
      <c r="F2644" s="14">
        <f>193.8*(2/3*10)</f>
        <v>1292</v>
      </c>
      <c r="G2644" s="14">
        <f>65.5*(2/3*10)</f>
        <v>436.66666666666663</v>
      </c>
      <c r="H2644" s="14">
        <f>20.6*(2/3*10)</f>
        <v>137.33333333333334</v>
      </c>
      <c r="I2644" s="14">
        <f>12.1*(2/3*10)</f>
        <v>80.666666666666657</v>
      </c>
      <c r="K2644">
        <v>2641</v>
      </c>
      <c r="L2644">
        <f t="shared" si="41"/>
        <v>1</v>
      </c>
    </row>
    <row r="2645" spans="1:12" ht="16.5" x14ac:dyDescent="0.2">
      <c r="A2645" s="4" t="s">
        <v>15</v>
      </c>
      <c r="B2645">
        <v>2010</v>
      </c>
      <c r="C2645" s="14">
        <f>609.9*(2/3*10)</f>
        <v>4065.9999999999995</v>
      </c>
      <c r="D2645" s="14">
        <f>2.8*(2/3*10)</f>
        <v>18.666666666666664</v>
      </c>
      <c r="E2645" s="14">
        <f>570.5*(2/3*10)</f>
        <v>3803.333333333333</v>
      </c>
      <c r="F2645" s="14">
        <f>192.8*(2/3*10)</f>
        <v>1285.3333333333333</v>
      </c>
      <c r="G2645" s="14">
        <f>66.1*(2/3*10)</f>
        <v>440.66666666666657</v>
      </c>
      <c r="H2645" s="14">
        <f>20.8*(2/3*10)</f>
        <v>138.66666666666666</v>
      </c>
      <c r="I2645" s="14">
        <f>12.1*(2/3*10)</f>
        <v>80.666666666666657</v>
      </c>
      <c r="K2645">
        <v>2642</v>
      </c>
      <c r="L2645">
        <f t="shared" si="41"/>
        <v>2</v>
      </c>
    </row>
    <row r="2646" spans="1:12" ht="16.5" x14ac:dyDescent="0.2">
      <c r="A2646" s="4" t="s">
        <v>15</v>
      </c>
      <c r="B2646">
        <v>2011</v>
      </c>
      <c r="C2646" s="14">
        <f>610.1*(2/3*10)</f>
        <v>4067.333333333333</v>
      </c>
      <c r="D2646" s="14">
        <f>2.9*(2/3*10)</f>
        <v>19.333333333333332</v>
      </c>
      <c r="E2646" s="14">
        <f>569.9*(2/3*10)</f>
        <v>3799.333333333333</v>
      </c>
      <c r="F2646" s="14">
        <f>191.7*(2/3*10)</f>
        <v>1277.9999999999998</v>
      </c>
      <c r="G2646" s="14">
        <f>67.2*(2/3*10)</f>
        <v>448</v>
      </c>
      <c r="H2646" s="14">
        <f>20.9*(2/3*10)</f>
        <v>139.33333333333331</v>
      </c>
      <c r="I2646" s="14">
        <f>12.2*(2/3*10)</f>
        <v>81.333333333333314</v>
      </c>
      <c r="K2646" s="15">
        <v>2643</v>
      </c>
      <c r="L2646">
        <f t="shared" si="41"/>
        <v>3</v>
      </c>
    </row>
    <row r="2647" spans="1:12" ht="16.5" x14ac:dyDescent="0.2">
      <c r="A2647" s="4" t="s">
        <v>15</v>
      </c>
      <c r="B2647">
        <v>2012</v>
      </c>
      <c r="C2647" s="14">
        <f>608*(2/3*10)</f>
        <v>4053.333333333333</v>
      </c>
      <c r="D2647" s="14">
        <f>2.8*(2/3*10)</f>
        <v>18.666666666666664</v>
      </c>
      <c r="E2647" s="14">
        <f>569.8*(2/3*10)</f>
        <v>3798.6666666666661</v>
      </c>
      <c r="F2647" s="14">
        <f>193.4*(2/3*10)</f>
        <v>1289.3333333333333</v>
      </c>
      <c r="G2647" s="14">
        <f>67.6*(2/3*10)</f>
        <v>450.66666666666657</v>
      </c>
      <c r="H2647" s="14">
        <f>21.2*(2/3*10)</f>
        <v>141.33333333333331</v>
      </c>
      <c r="I2647" s="14">
        <f>12.2*(2/3*10)</f>
        <v>81.333333333333314</v>
      </c>
      <c r="K2647">
        <v>2644</v>
      </c>
      <c r="L2647">
        <f t="shared" si="41"/>
        <v>4</v>
      </c>
    </row>
    <row r="2648" spans="1:12" ht="16.5" x14ac:dyDescent="0.2">
      <c r="A2648" s="4" t="s">
        <v>15</v>
      </c>
      <c r="B2648">
        <v>2013</v>
      </c>
      <c r="C2648" s="14">
        <f>607.3*(2/3*10)</f>
        <v>4048.6666666666661</v>
      </c>
      <c r="D2648" s="14">
        <f>2.7*(2/3*10)</f>
        <v>18</v>
      </c>
      <c r="E2648" s="14">
        <f>569.6*(2/3*10)</f>
        <v>3797.333333333333</v>
      </c>
      <c r="F2648" s="14">
        <f>192.2*(2/3*10)</f>
        <v>1281.333333333333</v>
      </c>
      <c r="G2648" s="14">
        <f>68.9*(2/3*10)</f>
        <v>459.33333333333326</v>
      </c>
      <c r="H2648" s="14">
        <f>21.9*(2/3*10)</f>
        <v>145.99999999999997</v>
      </c>
      <c r="I2648" s="14">
        <f>12.2*(2/3*10)</f>
        <v>81.333333333333314</v>
      </c>
      <c r="K2648" s="15">
        <v>2645</v>
      </c>
      <c r="L2648">
        <f t="shared" si="41"/>
        <v>5</v>
      </c>
    </row>
    <row r="2649" spans="1:12" ht="16.5" x14ac:dyDescent="0.2">
      <c r="A2649" s="4" t="s">
        <v>15</v>
      </c>
      <c r="B2649">
        <v>2014</v>
      </c>
      <c r="C2649" s="14">
        <f>606.4*(2/3*10)</f>
        <v>4042.6666666666661</v>
      </c>
      <c r="D2649" s="14">
        <f>2.7*(2/3*10)</f>
        <v>18</v>
      </c>
      <c r="E2649" s="14">
        <f>569.4*(2/3*10)</f>
        <v>3795.9999999999995</v>
      </c>
      <c r="F2649" s="14">
        <f>191.9*(2/3*10)</f>
        <v>1279.3333333333333</v>
      </c>
      <c r="G2649" s="14">
        <f>70*(2/3*10)</f>
        <v>466.66666666666663</v>
      </c>
      <c r="H2649" s="14">
        <f>22.3*(2/3*10)</f>
        <v>148.66666666666666</v>
      </c>
      <c r="I2649" s="14">
        <f>12.1*(2/3*10)</f>
        <v>80.666666666666657</v>
      </c>
      <c r="K2649">
        <v>2646</v>
      </c>
      <c r="L2649">
        <f t="shared" si="41"/>
        <v>6</v>
      </c>
    </row>
    <row r="2650" spans="1:12" ht="16.5" x14ac:dyDescent="0.2">
      <c r="A2650" s="4" t="s">
        <v>15</v>
      </c>
      <c r="B2650">
        <v>2015</v>
      </c>
      <c r="C2650" s="14">
        <f>606.7*(2/3*10)</f>
        <v>4044.6666666666665</v>
      </c>
      <c r="D2650" s="14">
        <f>2.7*(2/3*10)</f>
        <v>18</v>
      </c>
      <c r="E2650" s="14">
        <f>569.1*(2/3*10)</f>
        <v>3794</v>
      </c>
      <c r="F2650" s="14">
        <f>191.5*(2/3*10)</f>
        <v>1276.6666666666665</v>
      </c>
      <c r="G2650" s="14">
        <f>69.9*(2/3*10)</f>
        <v>465.99999999999989</v>
      </c>
      <c r="H2650" s="14">
        <f>22.8*(2/3*10)</f>
        <v>152</v>
      </c>
      <c r="I2650" s="14">
        <f>12.1*(2/3*10)</f>
        <v>80.666666666666657</v>
      </c>
      <c r="K2650">
        <v>2647</v>
      </c>
      <c r="L2650">
        <f t="shared" si="41"/>
        <v>7</v>
      </c>
    </row>
    <row r="2651" spans="1:12" ht="16.5" x14ac:dyDescent="0.2">
      <c r="A2651" s="4" t="s">
        <v>15</v>
      </c>
      <c r="B2651">
        <v>2016</v>
      </c>
      <c r="C2651" s="14">
        <f>606*(2/3*10)</f>
        <v>4039.9999999999995</v>
      </c>
      <c r="D2651" s="14">
        <f>2.7*(2/3*10)</f>
        <v>18</v>
      </c>
      <c r="E2651" s="14">
        <f>569*(2/3*10)</f>
        <v>3793.333333333333</v>
      </c>
      <c r="F2651" s="14">
        <f>191.3*(2/3*10)</f>
        <v>1275.3333333333333</v>
      </c>
      <c r="G2651" s="14">
        <f>70.6*(2/3*10)</f>
        <v>470.66666666666657</v>
      </c>
      <c r="H2651" s="14">
        <f>22.9*(2/3*10)</f>
        <v>152.66666666666666</v>
      </c>
      <c r="I2651" s="14">
        <f>12.2*(2/3*10)</f>
        <v>81.333333333333314</v>
      </c>
      <c r="K2651" s="15">
        <v>2648</v>
      </c>
      <c r="L2651">
        <f t="shared" si="41"/>
        <v>0</v>
      </c>
    </row>
    <row r="2652" spans="1:12" ht="16.5" x14ac:dyDescent="0.2">
      <c r="A2652" s="4" t="s">
        <v>14</v>
      </c>
      <c r="B2652">
        <v>2009</v>
      </c>
      <c r="C2652" s="14">
        <f>459.6*(2/3*10)</f>
        <v>3064</v>
      </c>
      <c r="D2652" s="14">
        <f>25.8*(2/3*10)</f>
        <v>172</v>
      </c>
      <c r="E2652" s="14">
        <f>156.3*(2/3*10)</f>
        <v>1042</v>
      </c>
      <c r="F2652" s="14">
        <f>1110.7*(2/3*10)</f>
        <v>7404.6666666666661</v>
      </c>
      <c r="G2652" s="14">
        <f>58.6*(2/3*10)</f>
        <v>390.66666666666657</v>
      </c>
      <c r="H2652" s="14">
        <f>24*(2/3*10)</f>
        <v>160</v>
      </c>
      <c r="I2652" s="14">
        <f>39.8*(2/3*10)</f>
        <v>265.33333333333331</v>
      </c>
      <c r="K2652">
        <v>2649</v>
      </c>
      <c r="L2652">
        <f t="shared" si="41"/>
        <v>1</v>
      </c>
    </row>
    <row r="2653" spans="1:12" ht="16.5" x14ac:dyDescent="0.2">
      <c r="A2653" s="4" t="s">
        <v>14</v>
      </c>
      <c r="B2653">
        <v>2010</v>
      </c>
      <c r="C2653" s="14">
        <f>459.4*(2/3*10)</f>
        <v>3062.6666666666661</v>
      </c>
      <c r="D2653" s="14">
        <f>25.7*(2/3*10)</f>
        <v>171.33333333333331</v>
      </c>
      <c r="E2653" s="14">
        <f>156.3*(2/3*10)</f>
        <v>1042</v>
      </c>
      <c r="F2653" s="14">
        <f>1109.2*(2/3*10)</f>
        <v>7394.6666666666661</v>
      </c>
      <c r="G2653" s="14">
        <f>60.4*(2/3*10)</f>
        <v>402.66666666666663</v>
      </c>
      <c r="H2653" s="14">
        <f>24.2*(2/3*10)</f>
        <v>161.33333333333331</v>
      </c>
      <c r="I2653" s="14">
        <f>39.9*(2/3*10)</f>
        <v>265.99999999999994</v>
      </c>
      <c r="K2653" s="15">
        <v>2650</v>
      </c>
      <c r="L2653">
        <f t="shared" si="41"/>
        <v>2</v>
      </c>
    </row>
    <row r="2654" spans="1:12" ht="16.5" x14ac:dyDescent="0.2">
      <c r="A2654" s="4" t="s">
        <v>14</v>
      </c>
      <c r="B2654">
        <v>2011</v>
      </c>
      <c r="C2654" s="14">
        <f>457.8*(2/3*10)</f>
        <v>3052</v>
      </c>
      <c r="D2654" s="14">
        <f>25.6*(2/3*10)</f>
        <v>170.66666666666666</v>
      </c>
      <c r="E2654" s="14">
        <f>156.2*(2/3*10)</f>
        <v>1041.3333333333333</v>
      </c>
      <c r="F2654" s="14">
        <f>1109.4*(2/3*10)</f>
        <v>7396</v>
      </c>
      <c r="G2654" s="14">
        <f>62.6*(2/3*10)</f>
        <v>417.33333333333331</v>
      </c>
      <c r="H2654" s="14">
        <f>24.4*(2/3*10)</f>
        <v>162.66666666666663</v>
      </c>
      <c r="I2654" s="14">
        <f>39.9*(2/3*10)</f>
        <v>265.99999999999994</v>
      </c>
      <c r="K2654">
        <v>2651</v>
      </c>
      <c r="L2654">
        <f t="shared" si="41"/>
        <v>3</v>
      </c>
    </row>
    <row r="2655" spans="1:12" ht="16.5" x14ac:dyDescent="0.2">
      <c r="A2655" s="4" t="s">
        <v>14</v>
      </c>
      <c r="B2655">
        <v>2012</v>
      </c>
      <c r="C2655" s="14">
        <f>456.2*(2/3*10)</f>
        <v>3041.333333333333</v>
      </c>
      <c r="D2655" s="14">
        <f>25.5*(2/3*10)</f>
        <v>169.99999999999997</v>
      </c>
      <c r="E2655" s="14">
        <f>156.3*(2/3*10)</f>
        <v>1042</v>
      </c>
      <c r="F2655" s="14">
        <f>1109.4*(2/3*10)</f>
        <v>7396</v>
      </c>
      <c r="G2655" s="14">
        <f>64.3*(2/3*10)</f>
        <v>428.66666666666663</v>
      </c>
      <c r="H2655" s="14">
        <f>24.4*(2/3*10)</f>
        <v>162.66666666666663</v>
      </c>
      <c r="I2655" s="14">
        <f>39.8*(2/3*10)</f>
        <v>265.33333333333331</v>
      </c>
      <c r="K2655">
        <v>2652</v>
      </c>
      <c r="L2655">
        <f t="shared" si="41"/>
        <v>4</v>
      </c>
    </row>
    <row r="2656" spans="1:12" ht="16.5" x14ac:dyDescent="0.2">
      <c r="A2656" s="4" t="s">
        <v>14</v>
      </c>
      <c r="B2656">
        <v>2013</v>
      </c>
      <c r="C2656" s="14">
        <f>453.4*(2/3*10)</f>
        <v>3022.6666666666661</v>
      </c>
      <c r="D2656" s="14">
        <f>25.3*(2/3*10)</f>
        <v>168.66666666666666</v>
      </c>
      <c r="E2656" s="14">
        <f>156.2*(2/3*10)</f>
        <v>1041.3333333333333</v>
      </c>
      <c r="F2656" s="14">
        <f>1111*(2/3*10)</f>
        <v>7406.6666666666661</v>
      </c>
      <c r="G2656" s="14">
        <f>65.4*(2/3*10)</f>
        <v>435.99999999999989</v>
      </c>
      <c r="H2656" s="14">
        <f>25*(2/3*10)</f>
        <v>166.66666666666666</v>
      </c>
      <c r="I2656" s="14">
        <f>39.8*(2/3*10)</f>
        <v>265.33333333333331</v>
      </c>
      <c r="K2656" s="15">
        <v>2653</v>
      </c>
      <c r="L2656">
        <f t="shared" si="41"/>
        <v>5</v>
      </c>
    </row>
    <row r="2657" spans="1:12" ht="16.5" x14ac:dyDescent="0.2">
      <c r="A2657" s="4" t="s">
        <v>14</v>
      </c>
      <c r="B2657">
        <v>2014</v>
      </c>
      <c r="C2657" s="14">
        <f>452.2*(2/3*10)</f>
        <v>3014.6666666666665</v>
      </c>
      <c r="D2657" s="14">
        <f>25.1*(2/3*10)</f>
        <v>167.33333333333331</v>
      </c>
      <c r="E2657" s="14">
        <f>155.9*(2/3*10)</f>
        <v>1039.3333333333333</v>
      </c>
      <c r="F2657" s="14">
        <f>1110.1*(2/3*10)</f>
        <v>7400.6666666666652</v>
      </c>
      <c r="G2657" s="14">
        <f>68*(2/3*10)</f>
        <v>453.33333333333331</v>
      </c>
      <c r="H2657" s="14">
        <f>25.3*(2/3*10)</f>
        <v>168.66666666666666</v>
      </c>
      <c r="I2657" s="14">
        <f>39.9*(2/3*10)</f>
        <v>265.99999999999994</v>
      </c>
      <c r="K2657">
        <v>2654</v>
      </c>
      <c r="L2657">
        <f t="shared" si="41"/>
        <v>6</v>
      </c>
    </row>
    <row r="2658" spans="1:12" ht="16.5" x14ac:dyDescent="0.2">
      <c r="A2658" s="4" t="s">
        <v>14</v>
      </c>
      <c r="B2658">
        <v>2015</v>
      </c>
      <c r="C2658" s="14">
        <f>453.9*(2/3*10)</f>
        <v>3025.9999999999995</v>
      </c>
      <c r="D2658" s="14">
        <f>25*(2/3*10)</f>
        <v>166.66666666666666</v>
      </c>
      <c r="E2658" s="14">
        <f>155.8*(2/3*10)</f>
        <v>1038.6666666666667</v>
      </c>
      <c r="F2658" s="14">
        <f>1107.4*(2/3*10)</f>
        <v>7382.666666666667</v>
      </c>
      <c r="G2658" s="14">
        <f>69.7*(2/3*10)</f>
        <v>464.66666666666663</v>
      </c>
      <c r="H2658" s="14">
        <f>25.3*(2/3*10)</f>
        <v>168.66666666666666</v>
      </c>
      <c r="I2658" s="14">
        <f>39.9*(2/3*10)</f>
        <v>265.99999999999994</v>
      </c>
      <c r="K2658" s="15">
        <v>2655</v>
      </c>
      <c r="L2658">
        <f t="shared" si="41"/>
        <v>7</v>
      </c>
    </row>
    <row r="2659" spans="1:12" ht="16.5" x14ac:dyDescent="0.2">
      <c r="A2659" s="4" t="s">
        <v>14</v>
      </c>
      <c r="B2659">
        <v>2016</v>
      </c>
      <c r="C2659" s="14">
        <f>454*(2/3*10)</f>
        <v>3026.6666666666665</v>
      </c>
      <c r="D2659" s="14">
        <f>24.9*(2/3*10)</f>
        <v>165.99999999999997</v>
      </c>
      <c r="E2659" s="14">
        <f>156.2*(2/3*10)</f>
        <v>1041.3333333333333</v>
      </c>
      <c r="F2659" s="14">
        <f>1105.6*(2/3*10)</f>
        <v>7370.6666666666652</v>
      </c>
      <c r="G2659" s="14">
        <f>70.1*(2/3*10)</f>
        <v>467.33333333333337</v>
      </c>
      <c r="H2659" s="14">
        <f>26.2*(2/3*10)</f>
        <v>174.66666666666666</v>
      </c>
      <c r="I2659" s="14">
        <f>40*(2/3*10)</f>
        <v>266.66666666666663</v>
      </c>
      <c r="K2659">
        <v>2656</v>
      </c>
      <c r="L2659">
        <f t="shared" si="41"/>
        <v>0</v>
      </c>
    </row>
    <row r="2660" spans="1:12" ht="16.5" x14ac:dyDescent="0.2">
      <c r="A2660" s="4" t="s">
        <v>13</v>
      </c>
      <c r="B2660">
        <v>2009</v>
      </c>
      <c r="C2660" s="14">
        <f>120.4*(2/3*10)</f>
        <v>802.66666666666663</v>
      </c>
      <c r="D2660" s="14">
        <f>8.3*(2/3*10)</f>
        <v>55.333333333333336</v>
      </c>
      <c r="E2660" s="14">
        <f>120.3*(2/3*10)</f>
        <v>801.99999999999989</v>
      </c>
      <c r="F2660" s="14">
        <f>1174*(2/3*10)</f>
        <v>7826.6666666666661</v>
      </c>
      <c r="G2660" s="14">
        <f>71.4*(2/3*10)</f>
        <v>475.99999999999989</v>
      </c>
      <c r="H2660" s="14">
        <f>20.1*(2/3*10)</f>
        <v>134</v>
      </c>
      <c r="I2660" s="14">
        <f>62.8*(2/3*10)</f>
        <v>418.66666666666663</v>
      </c>
      <c r="K2660">
        <v>2657</v>
      </c>
      <c r="L2660">
        <f t="shared" si="41"/>
        <v>1</v>
      </c>
    </row>
    <row r="2661" spans="1:12" ht="16.5" x14ac:dyDescent="0.2">
      <c r="A2661" s="4" t="s">
        <v>13</v>
      </c>
      <c r="B2661">
        <v>2010</v>
      </c>
      <c r="C2661" s="14">
        <f>119.9*(2/3*10)</f>
        <v>799.33333333333326</v>
      </c>
      <c r="D2661" s="14">
        <f>8.2*(2/3*10)</f>
        <v>54.666666666666657</v>
      </c>
      <c r="E2661" s="14">
        <f>120.9*(2/3*10)</f>
        <v>806</v>
      </c>
      <c r="F2661" s="14">
        <f>1168.4*(2/3*10)</f>
        <v>7789.333333333333</v>
      </c>
      <c r="G2661" s="14">
        <f>75.6*(2/3*10)</f>
        <v>503.99999999999994</v>
      </c>
      <c r="H2661" s="14">
        <f>21.3*(2/3*10)</f>
        <v>142</v>
      </c>
      <c r="I2661" s="14">
        <f>62.7*(2/3*10)</f>
        <v>418</v>
      </c>
      <c r="K2661" s="15">
        <v>2658</v>
      </c>
      <c r="L2661">
        <f t="shared" si="41"/>
        <v>2</v>
      </c>
    </row>
    <row r="2662" spans="1:12" ht="16.5" x14ac:dyDescent="0.2">
      <c r="A2662" s="4" t="s">
        <v>13</v>
      </c>
      <c r="B2662">
        <v>2011</v>
      </c>
      <c r="C2662" s="14">
        <f>119*(2/3*10)</f>
        <v>793.33333333333326</v>
      </c>
      <c r="D2662" s="14">
        <f>7.8*(2/3*10)</f>
        <v>51.999999999999993</v>
      </c>
      <c r="E2662" s="14">
        <f>121*(2/3*10)</f>
        <v>806.66666666666663</v>
      </c>
      <c r="F2662" s="14">
        <f>1165.6*(2/3*10)</f>
        <v>7770.6666666666652</v>
      </c>
      <c r="G2662" s="14">
        <f>79.5*(2/3*10)</f>
        <v>530</v>
      </c>
      <c r="H2662" s="14">
        <f>21.3*(2/3*10)</f>
        <v>142</v>
      </c>
      <c r="I2662" s="14">
        <f>62.6*(2/3*10)</f>
        <v>417.33333333333331</v>
      </c>
      <c r="K2662">
        <v>2659</v>
      </c>
      <c r="L2662">
        <f t="shared" si="41"/>
        <v>3</v>
      </c>
    </row>
    <row r="2663" spans="1:12" ht="16.5" x14ac:dyDescent="0.2">
      <c r="A2663" s="4" t="s">
        <v>13</v>
      </c>
      <c r="B2663">
        <v>2012</v>
      </c>
      <c r="C2663" s="14">
        <f>117.4*(2/3*10)</f>
        <v>782.66666666666663</v>
      </c>
      <c r="D2663" s="14">
        <f>7.6*(2/3*10)</f>
        <v>50.666666666666657</v>
      </c>
      <c r="E2663" s="14">
        <f>120.8*(2/3*10)</f>
        <v>805.33333333333326</v>
      </c>
      <c r="F2663" s="14">
        <f>1163.3*(2/3*10)</f>
        <v>7755.3333333333321</v>
      </c>
      <c r="G2663" s="14">
        <f>83.4*(2/3*10)</f>
        <v>556</v>
      </c>
      <c r="H2663" s="14">
        <f>21.9*(2/3*10)</f>
        <v>145.99999999999997</v>
      </c>
      <c r="I2663" s="14">
        <f>62.6*(2/3*10)</f>
        <v>417.33333333333331</v>
      </c>
      <c r="K2663" s="15">
        <v>2660</v>
      </c>
      <c r="L2663">
        <f t="shared" si="41"/>
        <v>4</v>
      </c>
    </row>
    <row r="2664" spans="1:12" ht="16.5" x14ac:dyDescent="0.2">
      <c r="A2664" s="4" t="s">
        <v>13</v>
      </c>
      <c r="B2664">
        <v>2013</v>
      </c>
      <c r="C2664" s="14">
        <f>116.1*(2/3*10)</f>
        <v>773.99999999999989</v>
      </c>
      <c r="D2664" s="14">
        <f>7.4*(2/3*10)</f>
        <v>49.333333333333329</v>
      </c>
      <c r="E2664" s="14">
        <f>120.4*(2/3*10)</f>
        <v>802.66666666666663</v>
      </c>
      <c r="F2664" s="14">
        <f>1159*(2/3*10)</f>
        <v>7726.6666666666661</v>
      </c>
      <c r="G2664" s="14">
        <f>88.4*(2/3*10)</f>
        <v>589.33333333333337</v>
      </c>
      <c r="H2664" s="14">
        <f>23*(2/3*10)</f>
        <v>153.33333333333331</v>
      </c>
      <c r="I2664" s="14">
        <f>62.5*(2/3*10)</f>
        <v>416.66666666666663</v>
      </c>
      <c r="K2664">
        <v>2661</v>
      </c>
      <c r="L2664">
        <f t="shared" si="41"/>
        <v>5</v>
      </c>
    </row>
    <row r="2665" spans="1:12" ht="16.5" x14ac:dyDescent="0.2">
      <c r="A2665" s="4" t="s">
        <v>13</v>
      </c>
      <c r="B2665">
        <v>2014</v>
      </c>
      <c r="C2665" s="14">
        <f>114.9*(2/3*10)</f>
        <v>766</v>
      </c>
      <c r="D2665" s="14">
        <f>7.1*(2/3*10)</f>
        <v>47.333333333333329</v>
      </c>
      <c r="E2665" s="14">
        <f>119.8*(2/3*10)</f>
        <v>798.66666666666663</v>
      </c>
      <c r="F2665" s="14">
        <f>1153.7*(2/3*10)</f>
        <v>7691.333333333333</v>
      </c>
      <c r="G2665" s="14">
        <f>94.8*(2/3*10)</f>
        <v>631.99999999999989</v>
      </c>
      <c r="H2665" s="14">
        <f>24.5*(2/3*10)</f>
        <v>163.33333333333331</v>
      </c>
      <c r="I2665" s="14">
        <f>62.5*(2/3*10)</f>
        <v>416.66666666666663</v>
      </c>
      <c r="K2665">
        <v>2662</v>
      </c>
      <c r="L2665">
        <f t="shared" si="41"/>
        <v>6</v>
      </c>
    </row>
    <row r="2666" spans="1:12" ht="16.5" x14ac:dyDescent="0.2">
      <c r="A2666" s="4" t="s">
        <v>13</v>
      </c>
      <c r="B2666">
        <v>2015</v>
      </c>
      <c r="C2666" s="14">
        <f>113.8*(2/3*10)</f>
        <v>758.66666666666663</v>
      </c>
      <c r="D2666" s="14">
        <f>6.9*(2/3*10)</f>
        <v>46</v>
      </c>
      <c r="E2666" s="14">
        <f>119.5*(2/3*10)</f>
        <v>796.66666666666663</v>
      </c>
      <c r="F2666" s="14">
        <f>1151.5*(2/3*10)</f>
        <v>7676.6666666666661</v>
      </c>
      <c r="G2666" s="14">
        <f>98.1*(2/3*10)</f>
        <v>654</v>
      </c>
      <c r="H2666" s="14">
        <f>25.1*(2/3*10)</f>
        <v>167.33333333333331</v>
      </c>
      <c r="I2666" s="14">
        <f>62.4*(2/3*10)</f>
        <v>415.99999999999994</v>
      </c>
      <c r="K2666" s="15">
        <v>2663</v>
      </c>
      <c r="L2666">
        <f t="shared" si="41"/>
        <v>7</v>
      </c>
    </row>
    <row r="2667" spans="1:12" ht="16.5" x14ac:dyDescent="0.2">
      <c r="A2667" s="4" t="s">
        <v>13</v>
      </c>
      <c r="B2667">
        <v>2016</v>
      </c>
      <c r="C2667" s="14">
        <f>112.4*(2/3*10)</f>
        <v>749.33333333333326</v>
      </c>
      <c r="D2667" s="14">
        <f>6.7*(2/3*10)</f>
        <v>44.666666666666664</v>
      </c>
      <c r="E2667" s="14">
        <f>119.2*(2/3*10)</f>
        <v>794.66666666666663</v>
      </c>
      <c r="F2667" s="14">
        <f>1150*(2/3*10)</f>
        <v>7666.6666666666661</v>
      </c>
      <c r="G2667" s="14">
        <f>100.9*(2/3*10)</f>
        <v>672.66666666666663</v>
      </c>
      <c r="H2667" s="14">
        <f>25.7*(2/3*10)</f>
        <v>171.33333333333331</v>
      </c>
      <c r="I2667" s="14">
        <f>62.4*(2/3*10)</f>
        <v>415.99999999999994</v>
      </c>
      <c r="K2667">
        <v>2664</v>
      </c>
      <c r="L2667">
        <f t="shared" si="41"/>
        <v>0</v>
      </c>
    </row>
    <row r="2668" spans="1:12" ht="16.5" x14ac:dyDescent="0.2">
      <c r="A2668" s="4" t="s">
        <v>12</v>
      </c>
      <c r="B2668">
        <v>2009</v>
      </c>
      <c r="C2668" s="14">
        <f>95.3*(2/3*10)</f>
        <v>635.33333333333326</v>
      </c>
      <c r="D2668" s="14">
        <f>3.2*(2/3*10)</f>
        <v>21.333333333333332</v>
      </c>
      <c r="E2668" s="14">
        <f>334.6*(2/3*10)</f>
        <v>2230.6666666666665</v>
      </c>
      <c r="F2668" s="14">
        <f>343.2*(2/3*10)</f>
        <v>2287.9999999999995</v>
      </c>
      <c r="G2668" s="14">
        <f>105.7*(2/3*10)</f>
        <v>704.66666666666663</v>
      </c>
      <c r="H2668" s="14">
        <f>9.8*(2/3*10)</f>
        <v>65.333333333333329</v>
      </c>
      <c r="I2668" s="14">
        <f>27.9*(2/3*10)</f>
        <v>185.99999999999997</v>
      </c>
      <c r="K2668" s="15">
        <v>2665</v>
      </c>
      <c r="L2668">
        <f t="shared" si="41"/>
        <v>1</v>
      </c>
    </row>
    <row r="2669" spans="1:12" ht="16.5" x14ac:dyDescent="0.2">
      <c r="A2669" s="4" t="s">
        <v>12</v>
      </c>
      <c r="B2669">
        <v>2010</v>
      </c>
      <c r="C2669" s="14">
        <f>95.2*(2/3*10)</f>
        <v>634.66666666666663</v>
      </c>
      <c r="D2669" s="14">
        <f>3.2*(2/3*10)</f>
        <v>21.333333333333332</v>
      </c>
      <c r="E2669" s="14">
        <f>334.2*(2/3*10)</f>
        <v>2227.9999999999995</v>
      </c>
      <c r="F2669" s="14">
        <f>342.3*(2/3*10)</f>
        <v>2282</v>
      </c>
      <c r="G2669" s="14">
        <f>106.8*(2/3*10)</f>
        <v>711.99999999999989</v>
      </c>
      <c r="H2669" s="14">
        <f>10.5*(2/3*10)</f>
        <v>70</v>
      </c>
      <c r="I2669" s="14">
        <f>27.6*(2/3*10)</f>
        <v>184</v>
      </c>
      <c r="K2669">
        <v>2666</v>
      </c>
      <c r="L2669">
        <f t="shared" si="41"/>
        <v>2</v>
      </c>
    </row>
    <row r="2670" spans="1:12" ht="16.5" x14ac:dyDescent="0.2">
      <c r="A2670" s="4" t="s">
        <v>12</v>
      </c>
      <c r="B2670">
        <v>2011</v>
      </c>
      <c r="C2670" s="14">
        <f>94.2*(2/3*10)</f>
        <v>628</v>
      </c>
      <c r="D2670" s="14">
        <f>3.2*(2/3*10)</f>
        <v>21.333333333333332</v>
      </c>
      <c r="E2670" s="14">
        <f>333.8*(2/3*10)</f>
        <v>2225.333333333333</v>
      </c>
      <c r="F2670" s="14">
        <f>340.3*(2/3*10)</f>
        <v>2268.6666666666665</v>
      </c>
      <c r="G2670" s="14">
        <f>109.3*(2/3*10)</f>
        <v>728.66666666666663</v>
      </c>
      <c r="H2670" s="14">
        <f>12.1*(2/3*10)</f>
        <v>80.666666666666657</v>
      </c>
      <c r="I2670" s="14">
        <f>27.6*(2/3*10)</f>
        <v>184</v>
      </c>
      <c r="K2670">
        <v>2667</v>
      </c>
      <c r="L2670">
        <f t="shared" si="41"/>
        <v>3</v>
      </c>
    </row>
    <row r="2671" spans="1:12" ht="16.5" x14ac:dyDescent="0.2">
      <c r="A2671" s="4" t="s">
        <v>12</v>
      </c>
      <c r="B2671">
        <v>2012</v>
      </c>
      <c r="C2671" s="14">
        <f>94.1*(2/3*10)</f>
        <v>627.33333333333326</v>
      </c>
      <c r="D2671" s="14">
        <f>3.2*(2/3*10)</f>
        <v>21.333333333333332</v>
      </c>
      <c r="E2671" s="14">
        <f>332.3*(2/3*10)</f>
        <v>2215.333333333333</v>
      </c>
      <c r="F2671" s="14">
        <f>339.7*(2/3*10)</f>
        <v>2264.6666666666665</v>
      </c>
      <c r="G2671" s="14">
        <f>110.4*(2/3*10)</f>
        <v>735.99999999999989</v>
      </c>
      <c r="H2671" s="14">
        <f>13.2*(2/3*10)</f>
        <v>87.999999999999986</v>
      </c>
      <c r="I2671" s="14">
        <f>27.6*(2/3*10)</f>
        <v>184</v>
      </c>
      <c r="K2671" s="15">
        <v>2668</v>
      </c>
      <c r="L2671">
        <f t="shared" si="41"/>
        <v>4</v>
      </c>
    </row>
    <row r="2672" spans="1:12" ht="16.5" x14ac:dyDescent="0.2">
      <c r="A2672" s="4" t="s">
        <v>12</v>
      </c>
      <c r="B2672">
        <v>2013</v>
      </c>
      <c r="C2672" s="14">
        <f>94.4*(2/3*10)</f>
        <v>629.33333333333337</v>
      </c>
      <c r="D2672" s="14">
        <f>3.2*(2/3*10)</f>
        <v>21.333333333333332</v>
      </c>
      <c r="E2672" s="14">
        <f>332*(2/3*10)</f>
        <v>2213.333333333333</v>
      </c>
      <c r="F2672" s="14">
        <f>339*(2/3*10)</f>
        <v>2260</v>
      </c>
      <c r="G2672" s="14">
        <f>111.6*(2/3*10)</f>
        <v>743.99999999999989</v>
      </c>
      <c r="H2672" s="14">
        <f>13.5*(2/3*10)</f>
        <v>89.999999999999986</v>
      </c>
      <c r="I2672" s="14">
        <f>27.6*(2/3*10)</f>
        <v>184</v>
      </c>
      <c r="K2672">
        <v>2669</v>
      </c>
      <c r="L2672">
        <f t="shared" si="41"/>
        <v>5</v>
      </c>
    </row>
    <row r="2673" spans="1:12" ht="16.5" x14ac:dyDescent="0.2">
      <c r="A2673" s="4" t="s">
        <v>12</v>
      </c>
      <c r="B2673">
        <v>2014</v>
      </c>
      <c r="C2673" s="14">
        <f>94.6*(2/3*10)</f>
        <v>630.66666666666663</v>
      </c>
      <c r="D2673" s="14">
        <f>3.2*(2/3*10)</f>
        <v>21.333333333333332</v>
      </c>
      <c r="E2673" s="14">
        <f>331.6*(2/3*10)</f>
        <v>2210.6666666666665</v>
      </c>
      <c r="F2673" s="14">
        <f>338.3*(2/3*10)</f>
        <v>2255.333333333333</v>
      </c>
      <c r="G2673" s="14">
        <f>112.7*(2/3*10)</f>
        <v>751.33333333333326</v>
      </c>
      <c r="H2673" s="14">
        <f>13.9*(2/3*10)</f>
        <v>92.666666666666657</v>
      </c>
      <c r="I2673" s="14">
        <f>27.6*(2/3*10)</f>
        <v>184</v>
      </c>
      <c r="K2673" s="15">
        <v>2670</v>
      </c>
      <c r="L2673">
        <f t="shared" si="41"/>
        <v>6</v>
      </c>
    </row>
    <row r="2674" spans="1:12" ht="16.5" x14ac:dyDescent="0.2">
      <c r="A2674" s="4" t="s">
        <v>12</v>
      </c>
      <c r="B2674">
        <v>2015</v>
      </c>
      <c r="C2674" s="14">
        <f>94.9*(2/3*10)</f>
        <v>632.66666666666663</v>
      </c>
      <c r="D2674" s="14">
        <f>3.2*(2/3*10)</f>
        <v>21.333333333333332</v>
      </c>
      <c r="E2674" s="14">
        <f>331.3*(2/3*10)</f>
        <v>2208.6666666666665</v>
      </c>
      <c r="F2674" s="14">
        <f>337.5*(2/3*10)</f>
        <v>2250</v>
      </c>
      <c r="G2674" s="14">
        <f>113.8*(2/3*10)</f>
        <v>758.66666666666663</v>
      </c>
      <c r="H2674" s="14">
        <f>14.2*(2/3*10)</f>
        <v>94.666666666666657</v>
      </c>
      <c r="I2674" s="14">
        <f>27.6*(2/3*10)</f>
        <v>184</v>
      </c>
      <c r="K2674">
        <v>2671</v>
      </c>
      <c r="L2674">
        <f t="shared" si="41"/>
        <v>7</v>
      </c>
    </row>
    <row r="2675" spans="1:12" ht="16.5" x14ac:dyDescent="0.2">
      <c r="A2675" s="4" t="s">
        <v>12</v>
      </c>
      <c r="B2675">
        <v>2016</v>
      </c>
      <c r="C2675" s="14">
        <f>98.5*(2/3*10)</f>
        <v>656.66666666666663</v>
      </c>
      <c r="D2675" s="14">
        <f>3.2*(2/3*10)</f>
        <v>21.333333333333332</v>
      </c>
      <c r="E2675" s="14">
        <f>331.2*(2/3*10)</f>
        <v>2207.9999999999995</v>
      </c>
      <c r="F2675" s="14">
        <f>337.1*(2/3*10)</f>
        <v>2247.3333333333335</v>
      </c>
      <c r="G2675" s="14">
        <f>114.3*(2/3*10)</f>
        <v>761.99999999999989</v>
      </c>
      <c r="H2675" s="14">
        <f>14.3*(2/3*10)</f>
        <v>95.333333333333329</v>
      </c>
      <c r="I2675" s="14">
        <f>27.6*(2/3*10)</f>
        <v>184</v>
      </c>
      <c r="K2675">
        <v>2672</v>
      </c>
      <c r="L2675">
        <f t="shared" si="41"/>
        <v>0</v>
      </c>
    </row>
    <row r="2676" spans="1:12" ht="16.5" x14ac:dyDescent="0.2">
      <c r="A2676" s="4" t="s">
        <v>11</v>
      </c>
      <c r="B2676">
        <v>2009</v>
      </c>
      <c r="C2676" s="14">
        <f>87.2*(2/3*10)</f>
        <v>581.33333333333326</v>
      </c>
      <c r="D2676" s="14">
        <f>67.8*(2/3*10)</f>
        <v>451.99999999999994</v>
      </c>
      <c r="E2676" s="14">
        <f>143.8*(2/3*10)</f>
        <v>958.66666666666663</v>
      </c>
      <c r="F2676" s="14">
        <f>1718.7*(2/3*10)</f>
        <v>11458</v>
      </c>
      <c r="G2676" s="14">
        <f>51.7*(2/3*10)</f>
        <v>344.66666666666663</v>
      </c>
      <c r="H2676" s="14">
        <f>23.2*(2/3*10)</f>
        <v>154.66666666666666</v>
      </c>
      <c r="I2676" s="14">
        <f>34.9*(2/3*10)</f>
        <v>232.66666666666663</v>
      </c>
      <c r="K2676" s="15">
        <v>2673</v>
      </c>
      <c r="L2676">
        <f t="shared" si="41"/>
        <v>1</v>
      </c>
    </row>
    <row r="2677" spans="1:12" ht="16.5" x14ac:dyDescent="0.2">
      <c r="A2677" s="4" t="s">
        <v>11</v>
      </c>
      <c r="B2677">
        <v>2010</v>
      </c>
      <c r="C2677" s="14">
        <f>87.2*(2/3*10)</f>
        <v>581.33333333333326</v>
      </c>
      <c r="D2677" s="14">
        <f>67.5*(2/3*10)</f>
        <v>449.99999999999994</v>
      </c>
      <c r="E2677" s="14">
        <f>143.5*(2/3*10)</f>
        <v>956.66666666666663</v>
      </c>
      <c r="F2677" s="14">
        <f>1718.8*(2/3*10)</f>
        <v>11458.666666666666</v>
      </c>
      <c r="G2677" s="14">
        <f>53.1*(2/3*10)</f>
        <v>353.99999999999994</v>
      </c>
      <c r="H2677" s="14">
        <f>24.3*(2/3*10)</f>
        <v>162</v>
      </c>
      <c r="I2677" s="14">
        <f>34.9*(2/3*10)</f>
        <v>232.66666666666663</v>
      </c>
      <c r="K2677">
        <v>2674</v>
      </c>
      <c r="L2677">
        <f t="shared" si="41"/>
        <v>2</v>
      </c>
    </row>
    <row r="2678" spans="1:12" ht="16.5" x14ac:dyDescent="0.2">
      <c r="A2678" s="4" t="s">
        <v>11</v>
      </c>
      <c r="B2678">
        <v>2011</v>
      </c>
      <c r="C2678" s="14">
        <f>87.2*(2/3*10)</f>
        <v>581.33333333333326</v>
      </c>
      <c r="D2678" s="14">
        <f>67.5*(2/3*10)</f>
        <v>449.99999999999994</v>
      </c>
      <c r="E2678" s="14">
        <f>143.4*(2/3*10)</f>
        <v>956</v>
      </c>
      <c r="F2678" s="14">
        <f>1718.6*(2/3*10)</f>
        <v>11457.333333333332</v>
      </c>
      <c r="G2678" s="14">
        <f>55*(2/3*10)</f>
        <v>366.66666666666663</v>
      </c>
      <c r="H2678" s="14">
        <f>25.3*(2/3*10)</f>
        <v>168.66666666666666</v>
      </c>
      <c r="I2678" s="14">
        <f>34.9*(2/3*10)</f>
        <v>232.66666666666663</v>
      </c>
      <c r="K2678" s="15">
        <v>2675</v>
      </c>
      <c r="L2678">
        <f t="shared" si="41"/>
        <v>3</v>
      </c>
    </row>
    <row r="2679" spans="1:12" ht="16.5" x14ac:dyDescent="0.2">
      <c r="A2679" s="4" t="s">
        <v>11</v>
      </c>
      <c r="B2679">
        <v>2012</v>
      </c>
      <c r="C2679" s="14">
        <f>87.7*(2/3*10)</f>
        <v>584.66666666666663</v>
      </c>
      <c r="D2679" s="14">
        <f>67.4*(2/3*10)</f>
        <v>449.33333333333331</v>
      </c>
      <c r="E2679" s="14">
        <f>143.4*(2/3*10)</f>
        <v>956</v>
      </c>
      <c r="F2679" s="14">
        <f>1718*(2/3*10)</f>
        <v>11453.333333333332</v>
      </c>
      <c r="G2679" s="14">
        <f>56.6*(2/3*10)</f>
        <v>377.33333333333326</v>
      </c>
      <c r="H2679" s="14">
        <f>25.7*(2/3*10)</f>
        <v>171.33333333333331</v>
      </c>
      <c r="I2679" s="14">
        <f>34.9*(2/3*10)</f>
        <v>232.66666666666663</v>
      </c>
      <c r="K2679">
        <v>2676</v>
      </c>
      <c r="L2679">
        <f t="shared" si="41"/>
        <v>4</v>
      </c>
    </row>
    <row r="2680" spans="1:12" ht="16.5" x14ac:dyDescent="0.2">
      <c r="A2680" s="4" t="s">
        <v>11</v>
      </c>
      <c r="B2680">
        <v>2013</v>
      </c>
      <c r="C2680" s="14">
        <f>87.7*(2/3*10)</f>
        <v>584.66666666666663</v>
      </c>
      <c r="D2680" s="14">
        <f>67.2*(2/3*10)</f>
        <v>448</v>
      </c>
      <c r="E2680" s="14">
        <f>143.4*(2/3*10)</f>
        <v>956</v>
      </c>
      <c r="F2680" s="14">
        <f>1717.5*(2/3*10)</f>
        <v>11449.999999999998</v>
      </c>
      <c r="G2680" s="14">
        <f>60.5*(2/3*10)</f>
        <v>403.33333333333331</v>
      </c>
      <c r="H2680" s="14">
        <f>25.8*(2/3*10)</f>
        <v>172</v>
      </c>
      <c r="I2680" s="14">
        <f>34.9*(2/3*10)</f>
        <v>232.66666666666663</v>
      </c>
      <c r="K2680">
        <v>2677</v>
      </c>
      <c r="L2680">
        <f t="shared" si="41"/>
        <v>5</v>
      </c>
    </row>
    <row r="2681" spans="1:12" ht="16.5" x14ac:dyDescent="0.2">
      <c r="A2681" s="4" t="s">
        <v>11</v>
      </c>
      <c r="B2681">
        <v>2014</v>
      </c>
      <c r="C2681" s="14">
        <f>87.7*(2/3*10)</f>
        <v>584.66666666666663</v>
      </c>
      <c r="D2681" s="14">
        <f>67*(2/3*10)</f>
        <v>446.66666666666663</v>
      </c>
      <c r="E2681" s="14">
        <f>143.4*(2/3*10)</f>
        <v>956</v>
      </c>
      <c r="F2681" s="14">
        <f>1716.9*(2/3*10)</f>
        <v>11446</v>
      </c>
      <c r="G2681" s="14">
        <f>63.5*(2/3*10)</f>
        <v>423.33333333333331</v>
      </c>
      <c r="H2681" s="14">
        <f>26.1*(2/3*10)</f>
        <v>174</v>
      </c>
      <c r="I2681" s="14">
        <f>35.2*(2/3*10)</f>
        <v>234.66666666666666</v>
      </c>
      <c r="K2681" s="15">
        <v>2678</v>
      </c>
      <c r="L2681">
        <f t="shared" si="41"/>
        <v>6</v>
      </c>
    </row>
    <row r="2682" spans="1:12" ht="16.5" x14ac:dyDescent="0.2">
      <c r="A2682" s="4" t="s">
        <v>11</v>
      </c>
      <c r="B2682">
        <v>2015</v>
      </c>
      <c r="C2682" s="14">
        <f>87.9*(2/3*10)</f>
        <v>586</v>
      </c>
      <c r="D2682" s="14">
        <f>66.9*(2/3*10)</f>
        <v>446</v>
      </c>
      <c r="E2682" s="14">
        <f>143.3*(2/3*10)</f>
        <v>955.33333333333337</v>
      </c>
      <c r="F2682" s="14">
        <f>1716*(2/3*10)</f>
        <v>11439.999999999998</v>
      </c>
      <c r="G2682" s="14">
        <f>66.5*(2/3*10)</f>
        <v>443.33333333333331</v>
      </c>
      <c r="H2682" s="14">
        <f>26.2*(2/3*10)</f>
        <v>174.66666666666666</v>
      </c>
      <c r="I2682" s="14">
        <f>35.3*(2/3*10)</f>
        <v>235.33333333333329</v>
      </c>
      <c r="K2682">
        <v>2679</v>
      </c>
      <c r="L2682">
        <f t="shared" si="41"/>
        <v>7</v>
      </c>
    </row>
    <row r="2683" spans="1:12" ht="16.5" x14ac:dyDescent="0.2">
      <c r="A2683" s="4" t="s">
        <v>11</v>
      </c>
      <c r="B2683">
        <v>2016</v>
      </c>
      <c r="C2683" s="14">
        <f>87.9*(2/3*10)</f>
        <v>586</v>
      </c>
      <c r="D2683" s="14">
        <f>66.7*(2/3*10)</f>
        <v>444.66666666666663</v>
      </c>
      <c r="E2683" s="14">
        <f>143.3*(2/3*10)</f>
        <v>955.33333333333337</v>
      </c>
      <c r="F2683" s="14">
        <f>1715.7*(2/3*10)</f>
        <v>11438</v>
      </c>
      <c r="G2683" s="14">
        <f>68*(2/3*10)</f>
        <v>453.33333333333331</v>
      </c>
      <c r="H2683" s="14">
        <f>27.2*(2/3*10)</f>
        <v>181.33333333333331</v>
      </c>
      <c r="I2683" s="14">
        <f>35.3*(2/3*10)</f>
        <v>235.33333333333329</v>
      </c>
      <c r="K2683" s="15">
        <v>2680</v>
      </c>
      <c r="L2683">
        <f t="shared" si="41"/>
        <v>0</v>
      </c>
    </row>
    <row r="2684" spans="1:12" ht="16.5" x14ac:dyDescent="0.2">
      <c r="A2684" s="4" t="s">
        <v>10</v>
      </c>
      <c r="B2684">
        <v>2009</v>
      </c>
      <c r="C2684" s="14">
        <f>149.1*(2/3*10)</f>
        <v>993.99999999999989</v>
      </c>
      <c r="D2684" s="14">
        <f>32.6*(2/3*10)</f>
        <v>217.33333333333331</v>
      </c>
      <c r="E2684" s="14">
        <f>435.5*(2/3*10)</f>
        <v>2903.333333333333</v>
      </c>
      <c r="F2684" s="14">
        <f>7651.5*(2/3*10)</f>
        <v>51009.999999999993</v>
      </c>
      <c r="G2684" s="14">
        <f>57.2*(2/3*10)</f>
        <v>381.33333333333331</v>
      </c>
      <c r="H2684" s="14">
        <f>30.5*(2/3*10)</f>
        <v>203.33333333333331</v>
      </c>
      <c r="I2684" s="14">
        <f>62.5*(2/3*10)</f>
        <v>416.66666666666663</v>
      </c>
      <c r="K2684">
        <v>2681</v>
      </c>
      <c r="L2684">
        <f t="shared" si="41"/>
        <v>1</v>
      </c>
    </row>
    <row r="2685" spans="1:12" ht="16.5" x14ac:dyDescent="0.2">
      <c r="A2685" s="4" t="s">
        <v>10</v>
      </c>
      <c r="B2685">
        <v>2010</v>
      </c>
      <c r="C2685" s="14">
        <f>149.2*(2/3*10)</f>
        <v>994.66666666666652</v>
      </c>
      <c r="D2685" s="14">
        <f>32.6*(2/3*10)</f>
        <v>217.33333333333331</v>
      </c>
      <c r="E2685" s="14">
        <f>435.4*(2/3*10)</f>
        <v>2902.6666666666661</v>
      </c>
      <c r="F2685" s="14">
        <f>7649.8*(2/3*10)</f>
        <v>50998.666666666664</v>
      </c>
      <c r="G2685" s="14">
        <f>58.7*(2/3*10)</f>
        <v>391.33333333333326</v>
      </c>
      <c r="H2685" s="14">
        <f>39.7*(2/3*10)</f>
        <v>264.66666666666669</v>
      </c>
      <c r="I2685" s="14">
        <f>62.6*(2/3*10)</f>
        <v>417.33333333333331</v>
      </c>
      <c r="K2685">
        <v>2682</v>
      </c>
      <c r="L2685">
        <f t="shared" si="41"/>
        <v>2</v>
      </c>
    </row>
    <row r="2686" spans="1:12" ht="16.5" x14ac:dyDescent="0.2">
      <c r="A2686" s="4" t="s">
        <v>10</v>
      </c>
      <c r="B2686">
        <v>2011</v>
      </c>
      <c r="C2686" s="14">
        <f>150.1*(2/3*10)</f>
        <v>1000.6666666666665</v>
      </c>
      <c r="D2686" s="14">
        <f>32.5*(2/3*10)</f>
        <v>216.66666666666666</v>
      </c>
      <c r="E2686" s="14">
        <f>435.4*(2/3*10)</f>
        <v>2902.6666666666661</v>
      </c>
      <c r="F2686" s="14">
        <f>7648.1*(2/3*10)</f>
        <v>50987.333333333328</v>
      </c>
      <c r="G2686" s="14">
        <f>60.7*(2/3*10)</f>
        <v>404.66666666666663</v>
      </c>
      <c r="H2686" s="14">
        <f>40*(2/3*10)</f>
        <v>266.66666666666663</v>
      </c>
      <c r="I2686" s="14">
        <f>62.8*(2/3*10)</f>
        <v>418.66666666666663</v>
      </c>
      <c r="K2686" s="15">
        <v>2683</v>
      </c>
      <c r="L2686">
        <f t="shared" si="41"/>
        <v>3</v>
      </c>
    </row>
    <row r="2687" spans="1:12" ht="16.5" x14ac:dyDescent="0.2">
      <c r="A2687" s="4" t="s">
        <v>10</v>
      </c>
      <c r="B2687">
        <v>2012</v>
      </c>
      <c r="C2687" s="14">
        <f>150.3*(2/3*10)</f>
        <v>1002</v>
      </c>
      <c r="D2687" s="14">
        <f>32.4*(2/3*10)</f>
        <v>215.99999999999997</v>
      </c>
      <c r="E2687" s="14">
        <f>435.3*(2/3*10)</f>
        <v>2902</v>
      </c>
      <c r="F2687" s="14">
        <f>7646.3*(2/3*10)</f>
        <v>50975.333333333328</v>
      </c>
      <c r="G2687" s="14">
        <f>63.4*(2/3*10)</f>
        <v>422.66666666666669</v>
      </c>
      <c r="H2687" s="14">
        <f>40.2*(2/3*10)</f>
        <v>268</v>
      </c>
      <c r="I2687" s="14">
        <f>62.8*(2/3*10)</f>
        <v>418.66666666666663</v>
      </c>
      <c r="K2687">
        <v>2684</v>
      </c>
      <c r="L2687">
        <f t="shared" si="41"/>
        <v>4</v>
      </c>
    </row>
    <row r="2688" spans="1:12" ht="16.5" x14ac:dyDescent="0.2">
      <c r="A2688" s="4" t="s">
        <v>10</v>
      </c>
      <c r="B2688">
        <v>2013</v>
      </c>
      <c r="C2688" s="14">
        <f>150.1*(2/3*10)</f>
        <v>1000.6666666666665</v>
      </c>
      <c r="D2688" s="14">
        <f>32.3*(2/3*10)</f>
        <v>215.33333333333329</v>
      </c>
      <c r="E2688" s="14">
        <f>435.3*(2/3*10)</f>
        <v>2902</v>
      </c>
      <c r="F2688" s="14">
        <f>7641.7*(2/3*10)</f>
        <v>50944.666666666664</v>
      </c>
      <c r="G2688" s="14">
        <f>69.1*(2/3*10)</f>
        <v>460.66666666666657</v>
      </c>
      <c r="H2688" s="14">
        <f>44.9*(2/3*10)</f>
        <v>299.33333333333331</v>
      </c>
      <c r="I2688" s="14">
        <f>62.8*(2/3*10)</f>
        <v>418.66666666666663</v>
      </c>
      <c r="K2688" s="15">
        <v>2685</v>
      </c>
      <c r="L2688">
        <f t="shared" ref="L2688:L2751" si="42">MOD(K2688,8)</f>
        <v>5</v>
      </c>
    </row>
    <row r="2689" spans="1:12" ht="16.5" x14ac:dyDescent="0.2">
      <c r="A2689" s="4" t="s">
        <v>10</v>
      </c>
      <c r="B2689">
        <v>2014</v>
      </c>
      <c r="C2689" s="14">
        <f>150.4*(2/3*10)</f>
        <v>1002.6666666666666</v>
      </c>
      <c r="D2689" s="14">
        <f>32.2*(2/3*10)</f>
        <v>214.66666666666666</v>
      </c>
      <c r="E2689" s="14">
        <f>435.2*(2/3*10)</f>
        <v>2901.333333333333</v>
      </c>
      <c r="F2689" s="14">
        <f>7638.9*(2/3*10)</f>
        <v>50925.999999999993</v>
      </c>
      <c r="G2689" s="14">
        <f>73.6*(2/3*10)</f>
        <v>490.66666666666657</v>
      </c>
      <c r="H2689" s="14">
        <f>46.7*(2/3*10)</f>
        <v>311.33333333333331</v>
      </c>
      <c r="I2689" s="14">
        <f>62.8*(2/3*10)</f>
        <v>418.66666666666663</v>
      </c>
      <c r="K2689">
        <v>2686</v>
      </c>
      <c r="L2689">
        <f t="shared" si="42"/>
        <v>6</v>
      </c>
    </row>
    <row r="2690" spans="1:12" ht="16.5" x14ac:dyDescent="0.2">
      <c r="A2690" s="4" t="s">
        <v>10</v>
      </c>
      <c r="B2690">
        <v>2015</v>
      </c>
      <c r="C2690" s="14">
        <f>150.2*(2/3*10)</f>
        <v>1001.3333333333331</v>
      </c>
      <c r="D2690" s="14">
        <f>32.1*(2/3*10)</f>
        <v>214</v>
      </c>
      <c r="E2690" s="14">
        <f>435.2*(2/3*10)</f>
        <v>2901.333333333333</v>
      </c>
      <c r="F2690" s="14">
        <f>7637*(2/3*10)</f>
        <v>50913.333333333328</v>
      </c>
      <c r="G2690" s="14">
        <f>80.1*(2/3*10)</f>
        <v>533.99999999999989</v>
      </c>
      <c r="H2690" s="14">
        <f>47.6*(2/3*10)</f>
        <v>317.33333333333331</v>
      </c>
      <c r="I2690" s="14">
        <f>62.8*(2/3*10)</f>
        <v>418.66666666666663</v>
      </c>
      <c r="K2690">
        <v>2687</v>
      </c>
      <c r="L2690">
        <f t="shared" si="42"/>
        <v>7</v>
      </c>
    </row>
    <row r="2691" spans="1:12" ht="16.5" x14ac:dyDescent="0.2">
      <c r="A2691" s="4" t="s">
        <v>10</v>
      </c>
      <c r="B2691">
        <v>2016</v>
      </c>
      <c r="C2691" s="14">
        <f>150.2*(2/3*10)</f>
        <v>1001.3333333333331</v>
      </c>
      <c r="D2691" s="14">
        <f>32.1*(2/3*10)</f>
        <v>214</v>
      </c>
      <c r="E2691" s="14">
        <f>435.1*(2/3*10)</f>
        <v>2900.6666666666665</v>
      </c>
      <c r="F2691" s="14">
        <f>7634.4*(2/3*10)</f>
        <v>50895.999999999993</v>
      </c>
      <c r="G2691" s="14">
        <f>82.3*(2/3*10)</f>
        <v>548.66666666666663</v>
      </c>
      <c r="H2691" s="14">
        <f>49.8*(2/3*10)</f>
        <v>331.99999999999994</v>
      </c>
      <c r="I2691" s="14">
        <f>62.8*(2/3*10)</f>
        <v>418.66666666666663</v>
      </c>
      <c r="K2691" s="15">
        <v>2688</v>
      </c>
      <c r="L2691">
        <f t="shared" si="42"/>
        <v>0</v>
      </c>
    </row>
    <row r="2692" spans="1:12" ht="16.5" x14ac:dyDescent="0.2">
      <c r="A2692" s="4" t="s">
        <v>9</v>
      </c>
      <c r="B2692">
        <v>2009</v>
      </c>
      <c r="C2692" s="14">
        <f>1110.8*(2/3*10)</f>
        <v>7405.3333333333321</v>
      </c>
      <c r="D2692" s="14">
        <f>26.6*(2/3*10)</f>
        <v>177.33333333333331</v>
      </c>
      <c r="E2692" s="14">
        <f>1601.2*(2/3*10)</f>
        <v>10674.666666666666</v>
      </c>
      <c r="F2692" s="14">
        <f>5140*(2/3*10)</f>
        <v>34266.666666666664</v>
      </c>
      <c r="G2692" s="14">
        <f>139.2*(2/3*10)</f>
        <v>927.99999999999989</v>
      </c>
      <c r="H2692" s="14">
        <f>66.5*(2/3*10)</f>
        <v>443.33333333333331</v>
      </c>
      <c r="I2692" s="14">
        <f>178.2*(2/3*10)</f>
        <v>1187.9999999999998</v>
      </c>
      <c r="K2692">
        <v>2689</v>
      </c>
      <c r="L2692">
        <f t="shared" si="42"/>
        <v>1</v>
      </c>
    </row>
    <row r="2693" spans="1:12" ht="16.5" x14ac:dyDescent="0.2">
      <c r="A2693" s="4" t="s">
        <v>9</v>
      </c>
      <c r="B2693">
        <v>2010</v>
      </c>
      <c r="C2693" s="14">
        <f>1112.1*(2/3*10)</f>
        <v>7413.9999999999991</v>
      </c>
      <c r="D2693" s="14">
        <f>26.9*(2/3*10)</f>
        <v>179.33333333333331</v>
      </c>
      <c r="E2693" s="14">
        <f>1600.9*(2/3*10)</f>
        <v>10672.666666666666</v>
      </c>
      <c r="F2693" s="14">
        <f>5132.8*(2/3*10)</f>
        <v>34218.666666666664</v>
      </c>
      <c r="G2693" s="14">
        <f>144.3*(2/3*10)</f>
        <v>962</v>
      </c>
      <c r="H2693" s="14">
        <f>68.2*(2/3*10)</f>
        <v>454.66666666666663</v>
      </c>
      <c r="I2693" s="14">
        <f>179*(2/3*10)</f>
        <v>1193.3333333333333</v>
      </c>
      <c r="K2693" s="15">
        <v>2690</v>
      </c>
      <c r="L2693">
        <f t="shared" si="42"/>
        <v>2</v>
      </c>
    </row>
    <row r="2694" spans="1:12" ht="16.5" x14ac:dyDescent="0.2">
      <c r="A2694" s="4" t="s">
        <v>9</v>
      </c>
      <c r="B2694">
        <v>2011</v>
      </c>
      <c r="C2694" s="14">
        <f>1111.7*(2/3*10)</f>
        <v>7411.333333333333</v>
      </c>
      <c r="D2694" s="14">
        <f>26.7*(2/3*10)</f>
        <v>177.99999999999997</v>
      </c>
      <c r="E2694" s="14">
        <f>1600*(2/3*10)</f>
        <v>10666.666666666666</v>
      </c>
      <c r="F2694" s="14">
        <f>5121.3*(2/3*10)</f>
        <v>34142</v>
      </c>
      <c r="G2694" s="14">
        <f>155.3*(2/3*10)</f>
        <v>1035.3333333333333</v>
      </c>
      <c r="H2694" s="14">
        <f>70.8*(2/3*10)</f>
        <v>471.99999999999994</v>
      </c>
      <c r="I2694" s="14">
        <f>180.3*(2/3*10)</f>
        <v>1202</v>
      </c>
      <c r="K2694">
        <v>2691</v>
      </c>
      <c r="L2694">
        <f t="shared" si="42"/>
        <v>3</v>
      </c>
    </row>
    <row r="2695" spans="1:12" ht="16.5" x14ac:dyDescent="0.2">
      <c r="A2695" s="4" t="s">
        <v>9</v>
      </c>
      <c r="B2695">
        <v>2012</v>
      </c>
      <c r="C2695" s="14">
        <f>1113.5*(2/3*10)</f>
        <v>7423.333333333333</v>
      </c>
      <c r="D2695" s="14">
        <f>26.5*(2/3*10)</f>
        <v>176.66666666666666</v>
      </c>
      <c r="E2695" s="14">
        <f>1598.5*(2/3*10)</f>
        <v>10656.666666666666</v>
      </c>
      <c r="F2695" s="14">
        <f>5116.7*(2/3*10)</f>
        <v>34111.333333333328</v>
      </c>
      <c r="G2695" s="14">
        <f>159.6*(2/3*10)</f>
        <v>1063.9999999999998</v>
      </c>
      <c r="H2695" s="14">
        <f>71.9*(2/3*10)</f>
        <v>479.33333333333331</v>
      </c>
      <c r="I2695" s="14">
        <f>180.8*(2/3*10)</f>
        <v>1205.3333333333333</v>
      </c>
      <c r="K2695">
        <v>2692</v>
      </c>
      <c r="L2695">
        <f t="shared" si="42"/>
        <v>4</v>
      </c>
    </row>
    <row r="2696" spans="1:12" ht="16.5" x14ac:dyDescent="0.2">
      <c r="A2696" s="4" t="s">
        <v>9</v>
      </c>
      <c r="B2696">
        <v>2013</v>
      </c>
      <c r="C2696" s="14">
        <f>1113.1*(2/3*10)</f>
        <v>7420.6666666666652</v>
      </c>
      <c r="D2696" s="14">
        <f>26.4*(2/3*10)</f>
        <v>175.99999999999997</v>
      </c>
      <c r="E2696" s="14">
        <f>1597.8*(2/3*10)</f>
        <v>10651.999999999998</v>
      </c>
      <c r="F2696" s="14">
        <f>5110.6*(2/3*10)</f>
        <v>34070.666666666664</v>
      </c>
      <c r="G2696" s="14">
        <f>165.6*(2/3*10)</f>
        <v>1103.9999999999998</v>
      </c>
      <c r="H2696" s="14">
        <f>72.8*(2/3*10)</f>
        <v>485.33333333333326</v>
      </c>
      <c r="I2696" s="14">
        <f>181*(2/3*10)</f>
        <v>1206.6666666666665</v>
      </c>
      <c r="K2696" s="15">
        <v>2693</v>
      </c>
      <c r="L2696">
        <f t="shared" si="42"/>
        <v>5</v>
      </c>
    </row>
    <row r="2697" spans="1:12" ht="16.5" x14ac:dyDescent="0.2">
      <c r="A2697" s="4" t="s">
        <v>9</v>
      </c>
      <c r="B2697">
        <v>2014</v>
      </c>
      <c r="C2697" s="14">
        <f>1114.1*(2/3*10)</f>
        <v>7427.3333333333321</v>
      </c>
      <c r="D2697" s="14">
        <f>26.3*(2/3*10)</f>
        <v>175.33333333333331</v>
      </c>
      <c r="E2697" s="14">
        <f>1597.4*(2/3*10)</f>
        <v>10649.333333333332</v>
      </c>
      <c r="F2697" s="14">
        <f>5107.3*(2/3*10)</f>
        <v>34048.666666666664</v>
      </c>
      <c r="G2697" s="14">
        <f>171*(2/3*10)</f>
        <v>1140</v>
      </c>
      <c r="H2697" s="14">
        <f>73.7*(2/3*10)</f>
        <v>491.33333333333331</v>
      </c>
      <c r="I2697" s="14">
        <f>181*(2/3*10)</f>
        <v>1206.6666666666665</v>
      </c>
      <c r="K2697">
        <v>2694</v>
      </c>
      <c r="L2697">
        <f t="shared" si="42"/>
        <v>6</v>
      </c>
    </row>
    <row r="2698" spans="1:12" ht="16.5" x14ac:dyDescent="0.2">
      <c r="A2698" s="4" t="s">
        <v>9</v>
      </c>
      <c r="B2698">
        <v>2015</v>
      </c>
      <c r="C2698" s="14">
        <f>1113.5*(2/3*10)</f>
        <v>7423.333333333333</v>
      </c>
      <c r="D2698" s="14">
        <f>26.1*(2/3*10)</f>
        <v>174</v>
      </c>
      <c r="E2698" s="14">
        <f>1597.1*(2/3*10)</f>
        <v>10647.333333333332</v>
      </c>
      <c r="F2698" s="14">
        <f>5104.2*(2/3*10)</f>
        <v>34027.999999999993</v>
      </c>
      <c r="G2698" s="14">
        <f>176.1*(2/3*10)</f>
        <v>1173.9999999999998</v>
      </c>
      <c r="H2698" s="14">
        <f>74*(2/3*10)</f>
        <v>493.33333333333331</v>
      </c>
      <c r="I2698" s="14">
        <f>181.1*(2/3*10)</f>
        <v>1207.3333333333333</v>
      </c>
      <c r="K2698" s="15">
        <v>2695</v>
      </c>
      <c r="L2698">
        <f t="shared" si="42"/>
        <v>7</v>
      </c>
    </row>
    <row r="2699" spans="1:12" ht="16.5" x14ac:dyDescent="0.2">
      <c r="A2699" s="4" t="s">
        <v>9</v>
      </c>
      <c r="B2699">
        <v>2016</v>
      </c>
      <c r="C2699" s="14">
        <f>1115.1*(2/3*10)</f>
        <v>7433.9999999999991</v>
      </c>
      <c r="D2699" s="14">
        <f>26.1*(2/3*10)</f>
        <v>174</v>
      </c>
      <c r="E2699" s="14">
        <f>1596.8*(2/3*10)</f>
        <v>10645.333333333332</v>
      </c>
      <c r="F2699" s="14">
        <f>5100.9*(2/3*10)</f>
        <v>34005.999999999993</v>
      </c>
      <c r="G2699" s="14">
        <f>178.3*(2/3*10)</f>
        <v>1188.6666666666667</v>
      </c>
      <c r="H2699" s="14">
        <f>74.6*(2/3*10)</f>
        <v>497.33333333333326</v>
      </c>
      <c r="I2699" s="14">
        <f>181.3*(2/3*10)</f>
        <v>1208.6666666666667</v>
      </c>
      <c r="K2699">
        <v>2696</v>
      </c>
      <c r="L2699">
        <f t="shared" si="42"/>
        <v>0</v>
      </c>
    </row>
    <row r="2700" spans="1:12" ht="16.5" x14ac:dyDescent="0.2">
      <c r="A2700" s="4" t="s">
        <v>8</v>
      </c>
      <c r="B2700">
        <v>2009</v>
      </c>
      <c r="C2700" s="14">
        <f>280*(2/3*10)</f>
        <v>1866.6666666666665</v>
      </c>
      <c r="D2700" s="14">
        <f>5.9*(2/3*10)</f>
        <v>39.333333333333336</v>
      </c>
      <c r="E2700" s="14">
        <f>575.7*(2/3*10)</f>
        <v>3838</v>
      </c>
      <c r="F2700" s="14">
        <f>2154.5*(2/3*10)</f>
        <v>14363.333333333332</v>
      </c>
      <c r="G2700" s="14">
        <f>31.5*(2/3*10)</f>
        <v>209.99999999999997</v>
      </c>
      <c r="H2700" s="14">
        <f>17.2*(2/3*10)</f>
        <v>114.66666666666666</v>
      </c>
      <c r="I2700" s="14">
        <f>324.6*(2/3*10)</f>
        <v>2164</v>
      </c>
      <c r="K2700">
        <v>2697</v>
      </c>
      <c r="L2700">
        <f t="shared" si="42"/>
        <v>1</v>
      </c>
    </row>
    <row r="2701" spans="1:12" ht="16.5" x14ac:dyDescent="0.2">
      <c r="A2701" s="4" t="s">
        <v>8</v>
      </c>
      <c r="B2701">
        <v>2010</v>
      </c>
      <c r="C2701" s="14">
        <f>279.7*(2/3*10)</f>
        <v>1864.6666666666665</v>
      </c>
      <c r="D2701" s="14">
        <f>6*(2/3*10)</f>
        <v>40</v>
      </c>
      <c r="E2701" s="14">
        <f>575.7*(2/3*10)</f>
        <v>3838</v>
      </c>
      <c r="F2701" s="14">
        <f>2153.9*(2/3*10)</f>
        <v>14359.333333333332</v>
      </c>
      <c r="G2701" s="14">
        <f>32.5*(2/3*10)</f>
        <v>216.66666666666666</v>
      </c>
      <c r="H2701" s="14">
        <f>17.2*(2/3*10)</f>
        <v>114.66666666666666</v>
      </c>
      <c r="I2701" s="14">
        <f>324.6*(2/3*10)</f>
        <v>2164</v>
      </c>
      <c r="K2701" s="15">
        <v>2698</v>
      </c>
      <c r="L2701">
        <f t="shared" si="42"/>
        <v>2</v>
      </c>
    </row>
    <row r="2702" spans="1:12" ht="16.5" x14ac:dyDescent="0.2">
      <c r="A2702" s="4" t="s">
        <v>8</v>
      </c>
      <c r="B2702">
        <v>2011</v>
      </c>
      <c r="C2702" s="14">
        <f>279.5*(2/3*10)</f>
        <v>1863.3333333333333</v>
      </c>
      <c r="D2702" s="14">
        <f>6*(2/3*10)</f>
        <v>40</v>
      </c>
      <c r="E2702" s="14">
        <f>575.6*(2/3*10)</f>
        <v>3837.333333333333</v>
      </c>
      <c r="F2702" s="14">
        <f>2153.6*(2/3*10)</f>
        <v>14357.333333333332</v>
      </c>
      <c r="G2702" s="14">
        <f>32.9*(2/3*10)</f>
        <v>219.33333333333334</v>
      </c>
      <c r="H2702" s="14">
        <f>17.3*(2/3*10)</f>
        <v>115.33333333333333</v>
      </c>
      <c r="I2702" s="14">
        <f>324.7*(2/3*10)</f>
        <v>2164.6666666666665</v>
      </c>
      <c r="K2702">
        <v>2699</v>
      </c>
      <c r="L2702">
        <f t="shared" si="42"/>
        <v>3</v>
      </c>
    </row>
    <row r="2703" spans="1:12" ht="16.5" x14ac:dyDescent="0.2">
      <c r="A2703" s="4" t="s">
        <v>8</v>
      </c>
      <c r="B2703">
        <v>2012</v>
      </c>
      <c r="C2703" s="14">
        <f>279.2*(2/3*10)</f>
        <v>1861.333333333333</v>
      </c>
      <c r="D2703" s="14">
        <f>6*(2/3*10)</f>
        <v>40</v>
      </c>
      <c r="E2703" s="14">
        <f>575.5*(2/3*10)</f>
        <v>3836.6666666666665</v>
      </c>
      <c r="F2703" s="14">
        <f>2152.5*(2/3*10)</f>
        <v>14349.999999999998</v>
      </c>
      <c r="G2703" s="14">
        <f>34.9*(2/3*10)</f>
        <v>232.66666666666663</v>
      </c>
      <c r="H2703" s="14">
        <f>17.6*(2/3*10)</f>
        <v>117.33333333333333</v>
      </c>
      <c r="I2703" s="14">
        <f>324.7*(2/3*10)</f>
        <v>2164.6666666666665</v>
      </c>
      <c r="K2703" s="15">
        <v>2700</v>
      </c>
      <c r="L2703">
        <f t="shared" si="42"/>
        <v>4</v>
      </c>
    </row>
    <row r="2704" spans="1:12" ht="16.5" x14ac:dyDescent="0.2">
      <c r="A2704" s="4" t="s">
        <v>8</v>
      </c>
      <c r="B2704">
        <v>2013</v>
      </c>
      <c r="C2704" s="14">
        <f>280.2*(2/3*10)</f>
        <v>1867.9999999999998</v>
      </c>
      <c r="D2704" s="14">
        <f>5.9*(2/3*10)</f>
        <v>39.333333333333336</v>
      </c>
      <c r="E2704" s="14">
        <f>575.4*(2/3*10)</f>
        <v>3835.9999999999995</v>
      </c>
      <c r="F2704" s="14">
        <f>2149.9*(2/3*10)</f>
        <v>14332.666666666666</v>
      </c>
      <c r="G2704" s="14">
        <f>36.6*(2/3*10)</f>
        <v>244</v>
      </c>
      <c r="H2704" s="14">
        <f>18*(2/3*10)</f>
        <v>119.99999999999999</v>
      </c>
      <c r="I2704" s="14">
        <f>324.7*(2/3*10)</f>
        <v>2164.6666666666665</v>
      </c>
      <c r="K2704">
        <v>2701</v>
      </c>
      <c r="L2704">
        <f t="shared" si="42"/>
        <v>5</v>
      </c>
    </row>
    <row r="2705" spans="1:12" ht="16.5" x14ac:dyDescent="0.2">
      <c r="A2705" s="4" t="s">
        <v>8</v>
      </c>
      <c r="B2705">
        <v>2014</v>
      </c>
      <c r="C2705" s="14">
        <f>280.1*(2/3*10)</f>
        <v>1867.3333333333333</v>
      </c>
      <c r="D2705" s="14">
        <f>5.9*(2/3*10)</f>
        <v>39.333333333333336</v>
      </c>
      <c r="E2705" s="14">
        <f>575.3*(2/3*10)</f>
        <v>3835.3333333333326</v>
      </c>
      <c r="F2705" s="14">
        <f>2148.4*(2/3*10)</f>
        <v>14322.666666666666</v>
      </c>
      <c r="G2705" s="14">
        <f>38.2*(2/3*10)</f>
        <v>254.66666666666666</v>
      </c>
      <c r="H2705" s="14">
        <f>18.2*(2/3*10)</f>
        <v>121.33333333333331</v>
      </c>
      <c r="I2705" s="14">
        <f>324.7*(2/3*10)</f>
        <v>2164.6666666666665</v>
      </c>
      <c r="K2705">
        <v>2702</v>
      </c>
      <c r="L2705">
        <f t="shared" si="42"/>
        <v>6</v>
      </c>
    </row>
    <row r="2706" spans="1:12" ht="16.5" x14ac:dyDescent="0.2">
      <c r="A2706" s="4" t="s">
        <v>8</v>
      </c>
      <c r="B2706">
        <v>2015</v>
      </c>
      <c r="C2706" s="14">
        <f>280.3*(2/3*10)</f>
        <v>1868.6666666666665</v>
      </c>
      <c r="D2706" s="14">
        <f>5.9*(2/3*10)</f>
        <v>39.333333333333336</v>
      </c>
      <c r="E2706" s="14">
        <f>575.3*(2/3*10)</f>
        <v>3835.3333333333326</v>
      </c>
      <c r="F2706" s="14">
        <f>2146.4*(2/3*10)</f>
        <v>14309.333333333332</v>
      </c>
      <c r="G2706" s="14">
        <f>39.9*(2/3*10)</f>
        <v>265.99999999999994</v>
      </c>
      <c r="H2706" s="14">
        <f>18.8*(2/3*10)</f>
        <v>125.33333333333333</v>
      </c>
      <c r="I2706" s="14">
        <f>324.7*(2/3*10)</f>
        <v>2164.6666666666665</v>
      </c>
      <c r="K2706" s="15">
        <v>2703</v>
      </c>
      <c r="L2706">
        <f t="shared" si="42"/>
        <v>7</v>
      </c>
    </row>
    <row r="2707" spans="1:12" ht="16.5" x14ac:dyDescent="0.2">
      <c r="A2707" s="4" t="s">
        <v>8</v>
      </c>
      <c r="B2707">
        <v>2016</v>
      </c>
      <c r="C2707" s="14">
        <f>281.8*(2/3*10)</f>
        <v>1878.6666666666665</v>
      </c>
      <c r="D2707" s="14">
        <f>5.9*(2/3*10)</f>
        <v>39.333333333333336</v>
      </c>
      <c r="E2707" s="14">
        <f>575.2*(2/3*10)</f>
        <v>3834.6666666666665</v>
      </c>
      <c r="F2707" s="14">
        <f>2145.8*(2/3*10)</f>
        <v>14305.333333333334</v>
      </c>
      <c r="G2707" s="14">
        <f>40.7*(2/3*10)</f>
        <v>271.33333333333331</v>
      </c>
      <c r="H2707" s="14">
        <f>18.9*(2/3*10)</f>
        <v>125.99999999999999</v>
      </c>
      <c r="I2707" s="14">
        <f>324.6*(2/3*10)</f>
        <v>2164</v>
      </c>
      <c r="K2707">
        <v>2704</v>
      </c>
      <c r="L2707">
        <f t="shared" si="42"/>
        <v>0</v>
      </c>
    </row>
    <row r="2708" spans="1:12" ht="16.5" x14ac:dyDescent="0.2">
      <c r="A2708" s="4" t="s">
        <v>7</v>
      </c>
      <c r="B2708">
        <v>2009</v>
      </c>
      <c r="C2708" s="14">
        <f>549.9*(2/3*10)</f>
        <v>3665.9999999999995</v>
      </c>
      <c r="D2708" s="14">
        <f>134.4*(2/3*10)</f>
        <v>896</v>
      </c>
      <c r="E2708" s="14">
        <f>3339.4*(2/3*10)</f>
        <v>22262.666666666664</v>
      </c>
      <c r="F2708" s="14">
        <f>10984.4*(2/3*10)</f>
        <v>73229.333333333328</v>
      </c>
      <c r="G2708" s="14">
        <f>90.9*(2/3*10)</f>
        <v>606</v>
      </c>
      <c r="H2708" s="14">
        <f>59.1*(2/3*10)</f>
        <v>394</v>
      </c>
      <c r="I2708" s="14">
        <f>1540.1*(2/3*10)</f>
        <v>10267.333333333332</v>
      </c>
      <c r="K2708" s="15">
        <v>2705</v>
      </c>
      <c r="L2708">
        <f t="shared" si="42"/>
        <v>1</v>
      </c>
    </row>
    <row r="2709" spans="1:12" ht="16.5" x14ac:dyDescent="0.2">
      <c r="A2709" s="4" t="s">
        <v>7</v>
      </c>
      <c r="B2709">
        <v>2010</v>
      </c>
      <c r="C2709" s="14">
        <f>549.5*(2/3*10)</f>
        <v>3663.333333333333</v>
      </c>
      <c r="D2709" s="14">
        <f>133.9*(2/3*10)</f>
        <v>892.66666666666663</v>
      </c>
      <c r="E2709" s="14">
        <f>3338.9*(2/3*10)</f>
        <v>22259.333333333332</v>
      </c>
      <c r="F2709" s="14">
        <f>10982.3*(2/3*10)</f>
        <v>73215.333333333328</v>
      </c>
      <c r="G2709" s="14">
        <f>93.5*(2/3*10)</f>
        <v>623.33333333333326</v>
      </c>
      <c r="H2709" s="14">
        <f>59.7*(2/3*10)</f>
        <v>398</v>
      </c>
      <c r="I2709" s="14">
        <f>1540.1*(2/3*10)</f>
        <v>10267.333333333332</v>
      </c>
      <c r="K2709">
        <v>2706</v>
      </c>
      <c r="L2709">
        <f t="shared" si="42"/>
        <v>2</v>
      </c>
    </row>
    <row r="2710" spans="1:12" ht="16.5" x14ac:dyDescent="0.2">
      <c r="A2710" s="4" t="s">
        <v>7</v>
      </c>
      <c r="B2710">
        <v>2011</v>
      </c>
      <c r="C2710" s="14">
        <f>550.8*(2/3*10)</f>
        <v>3671.9999999999995</v>
      </c>
      <c r="D2710" s="14">
        <f>133.7*(2/3*10)</f>
        <v>891.33333333333314</v>
      </c>
      <c r="E2710" s="14">
        <f>3338.7*(2/3*10)</f>
        <v>22257.999999999996</v>
      </c>
      <c r="F2710" s="14">
        <f>10980.4*(2/3*10)</f>
        <v>73202.666666666657</v>
      </c>
      <c r="G2710" s="14">
        <f>96.3*(2/3*10)</f>
        <v>642</v>
      </c>
      <c r="H2710" s="14">
        <f>61.2*(2/3*10)</f>
        <v>408</v>
      </c>
      <c r="I2710" s="14">
        <f>1540.2*(2/3*10)</f>
        <v>10268</v>
      </c>
      <c r="K2710">
        <v>2707</v>
      </c>
      <c r="L2710">
        <f t="shared" si="42"/>
        <v>3</v>
      </c>
    </row>
    <row r="2711" spans="1:12" ht="16.5" x14ac:dyDescent="0.2">
      <c r="A2711" s="4" t="s">
        <v>7</v>
      </c>
      <c r="B2711">
        <v>2012</v>
      </c>
      <c r="C2711" s="14">
        <f>551.1*(2/3*10)</f>
        <v>3674</v>
      </c>
      <c r="D2711" s="14">
        <f>131.8*(2/3*10)</f>
        <v>878.66666666666663</v>
      </c>
      <c r="E2711" s="14">
        <f>3339.6*(2/3*10)</f>
        <v>22263.999999999996</v>
      </c>
      <c r="F2711" s="14">
        <f>10977.9*(2/3*10)</f>
        <v>73185.999999999985</v>
      </c>
      <c r="G2711" s="14">
        <f>101.5*(2/3*10)</f>
        <v>676.66666666666663</v>
      </c>
      <c r="H2711" s="14">
        <f>61.4*(2/3*10)</f>
        <v>409.33333333333331</v>
      </c>
      <c r="I2711" s="14">
        <f>1540.2*(2/3*10)</f>
        <v>10268</v>
      </c>
      <c r="K2711" s="15">
        <v>2708</v>
      </c>
      <c r="L2711">
        <f t="shared" si="42"/>
        <v>4</v>
      </c>
    </row>
    <row r="2712" spans="1:12" ht="16.5" x14ac:dyDescent="0.2">
      <c r="A2712" s="4" t="s">
        <v>7</v>
      </c>
      <c r="B2712">
        <v>2013</v>
      </c>
      <c r="C2712" s="14">
        <f>552.8*(2/3*10)</f>
        <v>3685.3333333333326</v>
      </c>
      <c r="D2712" s="14">
        <f>131.3*(2/3*10)</f>
        <v>875.33333333333337</v>
      </c>
      <c r="E2712" s="14">
        <f>3339.2*(2/3*10)</f>
        <v>22261.333333333328</v>
      </c>
      <c r="F2712" s="14">
        <f>10973.7*(2/3*10)</f>
        <v>73158</v>
      </c>
      <c r="G2712" s="14">
        <f>108.4*(2/3*10)</f>
        <v>722.66666666666663</v>
      </c>
      <c r="H2712" s="14">
        <f>63*(2/3*10)</f>
        <v>419.99999999999994</v>
      </c>
      <c r="I2712" s="14">
        <f>1540.3*(2/3*10)</f>
        <v>10268.666666666666</v>
      </c>
      <c r="K2712">
        <v>2709</v>
      </c>
      <c r="L2712">
        <f t="shared" si="42"/>
        <v>5</v>
      </c>
    </row>
    <row r="2713" spans="1:12" ht="16.5" x14ac:dyDescent="0.2">
      <c r="A2713" s="4" t="s">
        <v>7</v>
      </c>
      <c r="B2713">
        <v>2014</v>
      </c>
      <c r="C2713" s="14">
        <f>556.6*(2/3*10)</f>
        <v>3710.6666666666665</v>
      </c>
      <c r="D2713" s="14">
        <f>131.1*(2/3*10)</f>
        <v>873.99999999999989</v>
      </c>
      <c r="E2713" s="14">
        <f>3338.9*(2/3*10)</f>
        <v>22259.333333333332</v>
      </c>
      <c r="F2713" s="14">
        <f>10969.6*(2/3*10)</f>
        <v>73130.666666666657</v>
      </c>
      <c r="G2713" s="14">
        <f>109.6*(2/3*10)</f>
        <v>730.66666666666652</v>
      </c>
      <c r="H2713" s="14">
        <f>63.2*(2/3*10)</f>
        <v>421.33333333333331</v>
      </c>
      <c r="I2713" s="14">
        <f>1540.3*(2/3*10)</f>
        <v>10268.666666666666</v>
      </c>
      <c r="K2713" s="15">
        <v>2710</v>
      </c>
      <c r="L2713">
        <f t="shared" si="42"/>
        <v>6</v>
      </c>
    </row>
    <row r="2714" spans="1:12" ht="16.5" x14ac:dyDescent="0.2">
      <c r="A2714" s="4" t="s">
        <v>7</v>
      </c>
      <c r="B2714">
        <v>2015</v>
      </c>
      <c r="C2714" s="14">
        <f>563.5*(2/3*10)</f>
        <v>3756.6666666666665</v>
      </c>
      <c r="D2714" s="14">
        <f>130.8*(2/3*10)</f>
        <v>872</v>
      </c>
      <c r="E2714" s="14">
        <f>3338.7*(2/3*10)</f>
        <v>22257.999999999996</v>
      </c>
      <c r="F2714" s="14">
        <f>10961.6*(2/3*10)</f>
        <v>73077.333333333328</v>
      </c>
      <c r="G2714" s="14">
        <f>113.2*(2/3*10)</f>
        <v>754.66666666666674</v>
      </c>
      <c r="H2714" s="14">
        <f>63.3*(2/3*10)</f>
        <v>421.99999999999994</v>
      </c>
      <c r="I2714" s="14">
        <f>1540.3*(2/3*10)</f>
        <v>10268.666666666666</v>
      </c>
      <c r="K2714">
        <v>2711</v>
      </c>
      <c r="L2714">
        <f t="shared" si="42"/>
        <v>7</v>
      </c>
    </row>
    <row r="2715" spans="1:12" ht="16.5" x14ac:dyDescent="0.2">
      <c r="A2715" s="4" t="s">
        <v>7</v>
      </c>
      <c r="B2715">
        <v>2016</v>
      </c>
      <c r="C2715" s="14">
        <f>567.3*(2/3*10)</f>
        <v>3781.9999999999995</v>
      </c>
      <c r="D2715" s="14">
        <f>130.5*(2/3*10)</f>
        <v>869.99999999999989</v>
      </c>
      <c r="E2715" s="14">
        <f>3335.9*(2/3*10)</f>
        <v>22239.333333333332</v>
      </c>
      <c r="F2715" s="14">
        <f>10959.9*(2/3*10)</f>
        <v>73065.999999999985</v>
      </c>
      <c r="G2715" s="14">
        <f>114.7*(2/3*10)</f>
        <v>764.66666666666652</v>
      </c>
      <c r="H2715" s="14">
        <f>63.7*(2/3*10)</f>
        <v>424.66666666666663</v>
      </c>
      <c r="I2715" s="14">
        <f>1540.3*(2/3*10)</f>
        <v>10268.666666666666</v>
      </c>
      <c r="K2715">
        <v>2712</v>
      </c>
      <c r="L2715">
        <f t="shared" si="42"/>
        <v>0</v>
      </c>
    </row>
    <row r="2716" spans="1:12" ht="16.5" x14ac:dyDescent="0.2">
      <c r="A2716" s="4" t="s">
        <v>6</v>
      </c>
      <c r="B2716">
        <v>2009</v>
      </c>
      <c r="C2716" s="14">
        <f>991*(2/3*10)</f>
        <v>6606.6666666666661</v>
      </c>
      <c r="D2716" s="14">
        <f>275.1*(2/3*10)</f>
        <v>1834</v>
      </c>
      <c r="E2716" s="14">
        <f>1462.6*(2/3*10)</f>
        <v>9750.6666666666661</v>
      </c>
      <c r="F2716" s="14">
        <f>5622.5*(2/3*10)</f>
        <v>37483.333333333328</v>
      </c>
      <c r="G2716" s="14">
        <f>130.1*(2/3*10)</f>
        <v>867.33333333333326</v>
      </c>
      <c r="H2716" s="14">
        <f>69.1*(2/3*10)</f>
        <v>460.66666666666657</v>
      </c>
      <c r="I2716" s="14">
        <f>926.3*(2/3*10)</f>
        <v>6175.3333333333321</v>
      </c>
      <c r="K2716" s="15">
        <v>2713</v>
      </c>
      <c r="L2716">
        <f t="shared" si="42"/>
        <v>1</v>
      </c>
    </row>
    <row r="2717" spans="1:12" ht="16.5" x14ac:dyDescent="0.2">
      <c r="A2717" s="4" t="s">
        <v>6</v>
      </c>
      <c r="B2717">
        <v>2010</v>
      </c>
      <c r="C2717" s="14">
        <f>991*(2/3*10)</f>
        <v>6606.6666666666661</v>
      </c>
      <c r="D2717" s="14">
        <f>277.1*(2/3*10)</f>
        <v>1847.3333333333333</v>
      </c>
      <c r="E2717" s="14">
        <f>1462.1*(2/3*10)</f>
        <v>9747.3333333333321</v>
      </c>
      <c r="F2717" s="14">
        <f>5616.1*(2/3*10)</f>
        <v>37440.666666666664</v>
      </c>
      <c r="G2717" s="14">
        <f>132.8*(2/3*10)</f>
        <v>885.33333333333337</v>
      </c>
      <c r="H2717" s="14">
        <f>73.1*(2/3*10)</f>
        <v>487.33333333333326</v>
      </c>
      <c r="I2717" s="14">
        <f>927.3*(2/3*10)</f>
        <v>6181.9999999999991</v>
      </c>
      <c r="K2717">
        <v>2714</v>
      </c>
      <c r="L2717">
        <f t="shared" si="42"/>
        <v>2</v>
      </c>
    </row>
    <row r="2718" spans="1:12" ht="16.5" x14ac:dyDescent="0.2">
      <c r="A2718" s="4" t="s">
        <v>6</v>
      </c>
      <c r="B2718">
        <v>2011</v>
      </c>
      <c r="C2718" s="14">
        <f>991.7*(2/3*10)</f>
        <v>6611.333333333333</v>
      </c>
      <c r="D2718" s="14">
        <f>276.3*(2/3*10)</f>
        <v>1842</v>
      </c>
      <c r="E2718" s="14">
        <f>1461.9*(2/3*10)</f>
        <v>9746</v>
      </c>
      <c r="F2718" s="14">
        <f>5613*(2/3*10)</f>
        <v>37420</v>
      </c>
      <c r="G2718" s="14">
        <f>138*(2/3*10)</f>
        <v>919.99999999999989</v>
      </c>
      <c r="H2718" s="14">
        <f>73.4*(2/3*10)</f>
        <v>489.33333333333331</v>
      </c>
      <c r="I2718" s="14">
        <f>927.5*(2/3*10)</f>
        <v>6183.333333333333</v>
      </c>
      <c r="K2718" s="15">
        <v>2715</v>
      </c>
      <c r="L2718">
        <f t="shared" si="42"/>
        <v>3</v>
      </c>
    </row>
    <row r="2719" spans="1:12" ht="16.5" x14ac:dyDescent="0.2">
      <c r="A2719" s="4" t="s">
        <v>6</v>
      </c>
      <c r="B2719">
        <v>2012</v>
      </c>
      <c r="C2719" s="14">
        <f>990.3*(2/3*10)</f>
        <v>6601.9999999999991</v>
      </c>
      <c r="D2719" s="14">
        <f>275.1*(2/3*10)</f>
        <v>1834</v>
      </c>
      <c r="E2719" s="14">
        <f>1461.1*(2/3*10)</f>
        <v>9740.6666666666661</v>
      </c>
      <c r="F2719" s="14">
        <f>5611.1*(2/3*10)</f>
        <v>37407.333333333336</v>
      </c>
      <c r="G2719" s="14">
        <f>145.2*(2/3*10)</f>
        <v>967.99999999999989</v>
      </c>
      <c r="H2719" s="14">
        <f>74*(2/3*10)</f>
        <v>493.33333333333331</v>
      </c>
      <c r="I2719" s="14">
        <f>927.6*(2/3*10)</f>
        <v>6184</v>
      </c>
      <c r="K2719">
        <v>2716</v>
      </c>
      <c r="L2719">
        <f t="shared" si="42"/>
        <v>4</v>
      </c>
    </row>
    <row r="2720" spans="1:12" ht="16.5" x14ac:dyDescent="0.2">
      <c r="A2720" s="4" t="s">
        <v>6</v>
      </c>
      <c r="B2720">
        <v>2013</v>
      </c>
      <c r="C2720" s="14">
        <f>990.5*(2/3*10)</f>
        <v>6603.333333333333</v>
      </c>
      <c r="D2720" s="14">
        <f>274.7*(2/3*10)</f>
        <v>1831.333333333333</v>
      </c>
      <c r="E2720" s="14">
        <f>1460.8*(2/3*10)</f>
        <v>9738.6666666666661</v>
      </c>
      <c r="F2720" s="14">
        <f>5608.6*(2/3*10)</f>
        <v>37390.666666666664</v>
      </c>
      <c r="G2720" s="14">
        <f>150.3*(2/3*10)</f>
        <v>1002</v>
      </c>
      <c r="H2720" s="14">
        <f>74.8*(2/3*10)</f>
        <v>498.66666666666663</v>
      </c>
      <c r="I2720" s="14">
        <f>927.5*(2/3*10)</f>
        <v>6183.333333333333</v>
      </c>
      <c r="K2720">
        <v>2717</v>
      </c>
      <c r="L2720">
        <f t="shared" si="42"/>
        <v>5</v>
      </c>
    </row>
    <row r="2721" spans="1:12" ht="16.5" x14ac:dyDescent="0.2">
      <c r="A2721" s="4" t="s">
        <v>6</v>
      </c>
      <c r="B2721">
        <v>2014</v>
      </c>
      <c r="C2721" s="14">
        <f>989.9*(2/3*10)</f>
        <v>6599.333333333333</v>
      </c>
      <c r="D2721" s="14">
        <f>274*(2/3*10)</f>
        <v>1826.6666666666665</v>
      </c>
      <c r="E2721" s="14">
        <f>1460.5*(2/3*10)</f>
        <v>9736.6666666666661</v>
      </c>
      <c r="F2721" s="14">
        <f>5607.2*(2/3*10)</f>
        <v>37381.333333333328</v>
      </c>
      <c r="G2721" s="14">
        <f>154.8*(2/3*10)</f>
        <v>1032</v>
      </c>
      <c r="H2721" s="14">
        <f>75.2*(2/3*10)</f>
        <v>501.33333333333331</v>
      </c>
      <c r="I2721" s="14">
        <f>927*(2/3*10)</f>
        <v>6179.9999999999991</v>
      </c>
      <c r="K2721" s="15">
        <v>2718</v>
      </c>
      <c r="L2721">
        <f t="shared" si="42"/>
        <v>6</v>
      </c>
    </row>
    <row r="2722" spans="1:12" ht="16.5" x14ac:dyDescent="0.2">
      <c r="A2722" s="4" t="s">
        <v>6</v>
      </c>
      <c r="B2722">
        <v>2015</v>
      </c>
      <c r="C2722" s="14">
        <f>989.2*(2/3*10)</f>
        <v>6594.6666666666661</v>
      </c>
      <c r="D2722" s="14">
        <f>272.8*(2/3*10)</f>
        <v>1818.6666666666665</v>
      </c>
      <c r="E2722" s="14">
        <f>1459.9*(2/3*10)</f>
        <v>9732.6666666666661</v>
      </c>
      <c r="F2722" s="14">
        <f>5605*(2/3*10)</f>
        <v>37366.666666666664</v>
      </c>
      <c r="G2722" s="14">
        <f>161.6*(2/3*10)</f>
        <v>1077.3333333333333</v>
      </c>
      <c r="H2722" s="14">
        <f>75.5*(2/3*10)</f>
        <v>503.33333333333331</v>
      </c>
      <c r="I2722" s="14">
        <f>927.2*(2/3*10)</f>
        <v>6181.333333333333</v>
      </c>
      <c r="K2722">
        <v>2719</v>
      </c>
      <c r="L2722">
        <f t="shared" si="42"/>
        <v>7</v>
      </c>
    </row>
    <row r="2723" spans="1:12" ht="16.5" x14ac:dyDescent="0.2">
      <c r="A2723" s="4" t="s">
        <v>6</v>
      </c>
      <c r="B2723">
        <v>2016</v>
      </c>
      <c r="C2723" s="14">
        <f>989.2*(2/3*10)</f>
        <v>6594.6666666666661</v>
      </c>
      <c r="D2723" s="14">
        <f>272.4*(2/3*10)</f>
        <v>1815.9999999999998</v>
      </c>
      <c r="E2723" s="14">
        <f>1459.8*(2/3*10)</f>
        <v>9731.9999999999982</v>
      </c>
      <c r="F2723" s="14">
        <f>5603.1*(2/3*10)</f>
        <v>37354</v>
      </c>
      <c r="G2723" s="14">
        <f>163.8*(2/3*10)</f>
        <v>1091.9999999999998</v>
      </c>
      <c r="H2723" s="14">
        <f>76*(2/3*10)</f>
        <v>506.66666666666663</v>
      </c>
      <c r="I2723" s="14">
        <f>927.4*(2/3*10)</f>
        <v>6182.6666666666661</v>
      </c>
      <c r="K2723" s="15">
        <v>2720</v>
      </c>
      <c r="L2723">
        <f t="shared" si="42"/>
        <v>0</v>
      </c>
    </row>
    <row r="2724" spans="1:12" ht="16.5" x14ac:dyDescent="0.2">
      <c r="A2724" s="4" t="s">
        <v>5</v>
      </c>
      <c r="B2724">
        <v>2009</v>
      </c>
      <c r="C2724" s="14">
        <f>83.2*(2/3*10)</f>
        <v>554.66666666666663</v>
      </c>
      <c r="D2724" s="14">
        <f>12.3*(2/3*10)</f>
        <v>82</v>
      </c>
      <c r="E2724" s="14">
        <f>334.1*(2/3*10)</f>
        <v>2227.3333333333335</v>
      </c>
      <c r="F2724" s="14">
        <f>7026.1*(2/3*10)</f>
        <v>46840.666666666664</v>
      </c>
      <c r="G2724" s="14">
        <f>22.3*(2/3*10)</f>
        <v>148.66666666666666</v>
      </c>
      <c r="H2724" s="14">
        <f>12.7*(2/3*10)</f>
        <v>84.666666666666657</v>
      </c>
      <c r="I2724" s="14">
        <f>468.2*(2/3*10)</f>
        <v>3121.333333333333</v>
      </c>
      <c r="K2724">
        <v>2721</v>
      </c>
      <c r="L2724">
        <f t="shared" si="42"/>
        <v>1</v>
      </c>
    </row>
    <row r="2725" spans="1:12" ht="16.5" x14ac:dyDescent="0.2">
      <c r="A2725" s="4" t="s">
        <v>5</v>
      </c>
      <c r="B2725">
        <v>2010</v>
      </c>
      <c r="C2725" s="14">
        <f>83.8*(2/3*10)</f>
        <v>558.66666666666663</v>
      </c>
      <c r="D2725" s="14">
        <f>12.2*(2/3*10)</f>
        <v>81.333333333333314</v>
      </c>
      <c r="E2725" s="14">
        <f>333.9*(2/3*10)</f>
        <v>2225.9999999999995</v>
      </c>
      <c r="F2725" s="14">
        <f>7020.5*(2/3*10)</f>
        <v>46803.333333333328</v>
      </c>
      <c r="G2725" s="14">
        <f>23*(2/3*10)</f>
        <v>153.33333333333331</v>
      </c>
      <c r="H2725" s="14">
        <f>12.7*(2/3*10)</f>
        <v>84.666666666666657</v>
      </c>
      <c r="I2725" s="14">
        <f>472*(2/3*10)</f>
        <v>3146.6666666666665</v>
      </c>
      <c r="K2725">
        <v>2722</v>
      </c>
      <c r="L2725">
        <f t="shared" si="42"/>
        <v>2</v>
      </c>
    </row>
    <row r="2726" spans="1:12" ht="16.5" x14ac:dyDescent="0.2">
      <c r="A2726" s="4" t="s">
        <v>5</v>
      </c>
      <c r="B2726">
        <v>2011</v>
      </c>
      <c r="C2726" s="14">
        <f>83.8*(2/3*10)</f>
        <v>558.66666666666663</v>
      </c>
      <c r="D2726" s="14">
        <f>12.1*(2/3*10)</f>
        <v>80.666666666666657</v>
      </c>
      <c r="E2726" s="14">
        <f>333.8*(2/3*10)</f>
        <v>2225.333333333333</v>
      </c>
      <c r="F2726" s="14">
        <f>7012.3*(2/3*10)</f>
        <v>46748.666666666664</v>
      </c>
      <c r="G2726" s="14">
        <f>23.9*(2/3*10)</f>
        <v>159.33333333333334</v>
      </c>
      <c r="H2726" s="14">
        <f>12.8*(2/3*10)</f>
        <v>85.333333333333329</v>
      </c>
      <c r="I2726" s="14">
        <f>471.1*(2/3*10)</f>
        <v>3140.6666666666665</v>
      </c>
      <c r="K2726" s="15">
        <v>2723</v>
      </c>
      <c r="L2726">
        <f t="shared" si="42"/>
        <v>3</v>
      </c>
    </row>
    <row r="2727" spans="1:12" ht="16.5" x14ac:dyDescent="0.2">
      <c r="A2727" s="4" t="s">
        <v>5</v>
      </c>
      <c r="B2727">
        <v>2012</v>
      </c>
      <c r="C2727" s="14">
        <f>84.6*(2/3*10)</f>
        <v>563.99999999999989</v>
      </c>
      <c r="D2727" s="14">
        <f>12.1*(2/3*10)</f>
        <v>80.666666666666657</v>
      </c>
      <c r="E2727" s="14">
        <f>333.7*(2/3*10)</f>
        <v>2224.6666666666665</v>
      </c>
      <c r="F2727" s="14">
        <f>7009.8*(2/3*10)</f>
        <v>46732</v>
      </c>
      <c r="G2727" s="14">
        <f>25.5*(2/3*10)</f>
        <v>169.99999999999997</v>
      </c>
      <c r="H2727" s="14">
        <f>13.2*(2/3*10)</f>
        <v>87.999999999999986</v>
      </c>
      <c r="I2727" s="14">
        <f>471.1*(2/3*10)</f>
        <v>3140.6666666666665</v>
      </c>
      <c r="K2727">
        <v>2724</v>
      </c>
      <c r="L2727">
        <f t="shared" si="42"/>
        <v>4</v>
      </c>
    </row>
    <row r="2728" spans="1:12" ht="16.5" x14ac:dyDescent="0.2">
      <c r="A2728" s="4" t="s">
        <v>5</v>
      </c>
      <c r="B2728">
        <v>2013</v>
      </c>
      <c r="C2728" s="14">
        <f>84.8*(2/3*10)</f>
        <v>565.33333333333326</v>
      </c>
      <c r="D2728" s="14">
        <f>12*(2/3*10)</f>
        <v>80</v>
      </c>
      <c r="E2728" s="14">
        <f>333.5*(2/3*10)</f>
        <v>2223.333333333333</v>
      </c>
      <c r="F2728" s="14">
        <f>7006.8*(2/3*10)</f>
        <v>46712</v>
      </c>
      <c r="G2728" s="14">
        <f>28.3*(2/3*10)</f>
        <v>188.66666666666666</v>
      </c>
      <c r="H2728" s="14">
        <f>13.9*(2/3*10)</f>
        <v>92.666666666666657</v>
      </c>
      <c r="I2728" s="14">
        <f>471.1*(2/3*10)</f>
        <v>3140.6666666666665</v>
      </c>
      <c r="K2728" s="15">
        <v>2725</v>
      </c>
      <c r="L2728">
        <f t="shared" si="42"/>
        <v>5</v>
      </c>
    </row>
    <row r="2729" spans="1:12" ht="16.5" x14ac:dyDescent="0.2">
      <c r="A2729" s="4" t="s">
        <v>5</v>
      </c>
      <c r="B2729">
        <v>2014</v>
      </c>
      <c r="C2729" s="14">
        <f>84.7*(2/3*10)</f>
        <v>564.66666666666663</v>
      </c>
      <c r="D2729" s="14">
        <f>12*(2/3*10)</f>
        <v>80</v>
      </c>
      <c r="E2729" s="14">
        <f>333.4*(2/3*10)</f>
        <v>2222.6666666666665</v>
      </c>
      <c r="F2729" s="14">
        <f>7005.4*(2/3*10)</f>
        <v>46702.666666666657</v>
      </c>
      <c r="G2729" s="14">
        <f>29.9*(2/3*10)</f>
        <v>199.33333333333334</v>
      </c>
      <c r="H2729" s="14">
        <f>14.3*(2/3*10)</f>
        <v>95.333333333333329</v>
      </c>
      <c r="I2729" s="14">
        <f>471.1*(2/3*10)</f>
        <v>3140.6666666666665</v>
      </c>
      <c r="K2729">
        <v>2726</v>
      </c>
      <c r="L2729">
        <f t="shared" si="42"/>
        <v>6</v>
      </c>
    </row>
    <row r="2730" spans="1:12" ht="16.5" x14ac:dyDescent="0.2">
      <c r="A2730" s="4" t="s">
        <v>5</v>
      </c>
      <c r="B2730">
        <v>2015</v>
      </c>
      <c r="C2730" s="14">
        <f>84.9*(2/3*10)</f>
        <v>566</v>
      </c>
      <c r="D2730" s="14">
        <f>12.2*(2/3*10)</f>
        <v>81.333333333333314</v>
      </c>
      <c r="E2730" s="14">
        <f>333.4*(2/3*10)</f>
        <v>2222.6666666666665</v>
      </c>
      <c r="F2730" s="14">
        <f>7002.8*(2/3*10)</f>
        <v>46685.333333333328</v>
      </c>
      <c r="G2730" s="14">
        <f>31.8*(2/3*10)</f>
        <v>211.99999999999997</v>
      </c>
      <c r="H2730" s="14">
        <f>14.5*(2/3*10)</f>
        <v>96.666666666666657</v>
      </c>
      <c r="I2730" s="14">
        <f>471.2*(2/3*10)</f>
        <v>3141.333333333333</v>
      </c>
      <c r="K2730">
        <v>2727</v>
      </c>
      <c r="L2730">
        <f t="shared" si="42"/>
        <v>7</v>
      </c>
    </row>
    <row r="2731" spans="1:12" ht="16.5" x14ac:dyDescent="0.2">
      <c r="A2731" s="4" t="s">
        <v>5</v>
      </c>
      <c r="B2731">
        <v>2016</v>
      </c>
      <c r="C2731" s="14">
        <f>85*(2/3*10)</f>
        <v>566.66666666666663</v>
      </c>
      <c r="D2731" s="14">
        <f>12.2*(2/3*10)</f>
        <v>81.333333333333314</v>
      </c>
      <c r="E2731" s="14">
        <f>333.4*(2/3*10)</f>
        <v>2222.6666666666665</v>
      </c>
      <c r="F2731" s="14">
        <f>7001.7*(2/3*10)</f>
        <v>46677.999999999993</v>
      </c>
      <c r="G2731" s="14">
        <f>32.5*(2/3*10)</f>
        <v>216.66666666666666</v>
      </c>
      <c r="H2731" s="14">
        <f>14.9*(2/3*10)</f>
        <v>99.333333333333329</v>
      </c>
      <c r="I2731" s="14">
        <f>471.2*(2/3*10)</f>
        <v>3141.333333333333</v>
      </c>
      <c r="K2731" s="15">
        <v>2728</v>
      </c>
      <c r="L2731">
        <f t="shared" si="42"/>
        <v>0</v>
      </c>
    </row>
    <row r="2732" spans="1:12" ht="16.5" x14ac:dyDescent="0.2">
      <c r="A2732" s="4" t="s">
        <v>4</v>
      </c>
      <c r="B2732">
        <v>2009</v>
      </c>
      <c r="C2732" s="14">
        <f>1040.7*(2/3*10)</f>
        <v>6938</v>
      </c>
      <c r="D2732" s="14">
        <f>184.3*(2/3*10)</f>
        <v>1228.6666666666667</v>
      </c>
      <c r="E2732" s="14">
        <f>770.8*(2/3*10)</f>
        <v>5138.6666666666661</v>
      </c>
      <c r="F2732" s="14">
        <f>2010.1*(2/3*10)</f>
        <v>13400.666666666664</v>
      </c>
      <c r="G2732" s="14">
        <f>191.7*(2/3*10)</f>
        <v>1278</v>
      </c>
      <c r="H2732" s="14">
        <f>77.9*(2/3*10)</f>
        <v>519.33333333333337</v>
      </c>
      <c r="I2732" s="14">
        <f>1222.6*(2/3*10)</f>
        <v>8150.6666666666652</v>
      </c>
      <c r="K2732">
        <v>2729</v>
      </c>
      <c r="L2732">
        <f t="shared" si="42"/>
        <v>1</v>
      </c>
    </row>
    <row r="2733" spans="1:12" ht="16.5" x14ac:dyDescent="0.2">
      <c r="A2733" s="4" t="s">
        <v>4</v>
      </c>
      <c r="B2733">
        <v>2010</v>
      </c>
      <c r="C2733" s="14">
        <f>1041.4*(2/3*10)</f>
        <v>6942.666666666667</v>
      </c>
      <c r="D2733" s="14">
        <f>184.1*(2/3*10)</f>
        <v>1227.3333333333333</v>
      </c>
      <c r="E2733" s="14">
        <f>770.3*(2/3*10)</f>
        <v>5135.3333333333321</v>
      </c>
      <c r="F2733" s="14">
        <f>2008.8*(2/3*10)</f>
        <v>13391.999999999998</v>
      </c>
      <c r="G2733" s="14">
        <f>195.4*(2/3*10)</f>
        <v>1302.6666666666665</v>
      </c>
      <c r="H2733" s="14">
        <f>78.3*(2/3*10)</f>
        <v>521.99999999999989</v>
      </c>
      <c r="I2733" s="14">
        <f>1222.6*(2/3*10)</f>
        <v>8150.6666666666652</v>
      </c>
      <c r="K2733" s="15">
        <v>2730</v>
      </c>
      <c r="L2733">
        <f t="shared" si="42"/>
        <v>2</v>
      </c>
    </row>
    <row r="2734" spans="1:12" ht="16.5" x14ac:dyDescent="0.2">
      <c r="A2734" s="4" t="s">
        <v>4</v>
      </c>
      <c r="B2734">
        <v>2011</v>
      </c>
      <c r="C2734" s="14">
        <f>1044.4*(2/3*10)</f>
        <v>6962.666666666667</v>
      </c>
      <c r="D2734" s="14">
        <f>182.5*(2/3*10)</f>
        <v>1216.6666666666665</v>
      </c>
      <c r="E2734" s="14">
        <f>769.7*(2/3*10)</f>
        <v>5131.333333333333</v>
      </c>
      <c r="F2734" s="14">
        <f>2002.5*(2/3*10)</f>
        <v>13349.999999999998</v>
      </c>
      <c r="G2734" s="14">
        <f>204.9*(2/3*10)</f>
        <v>1366</v>
      </c>
      <c r="H2734" s="14">
        <f>79.5*(2/3*10)</f>
        <v>530</v>
      </c>
      <c r="I2734" s="14">
        <f>1221.9*(2/3*10)</f>
        <v>8146</v>
      </c>
      <c r="K2734">
        <v>2731</v>
      </c>
      <c r="L2734">
        <f t="shared" si="42"/>
        <v>3</v>
      </c>
    </row>
    <row r="2735" spans="1:12" ht="16.5" x14ac:dyDescent="0.2">
      <c r="A2735" s="4" t="s">
        <v>4</v>
      </c>
      <c r="B2735">
        <v>2012</v>
      </c>
      <c r="C2735" s="14">
        <f>1042.6*(2/3*10)</f>
        <v>6950.6666666666652</v>
      </c>
      <c r="D2735" s="14">
        <f>181.6*(2/3*10)</f>
        <v>1210.6666666666665</v>
      </c>
      <c r="E2735" s="14">
        <f>769.2*(2/3*10)</f>
        <v>5128</v>
      </c>
      <c r="F2735" s="14">
        <f>1999.2*(2/3*10)</f>
        <v>13328</v>
      </c>
      <c r="G2735" s="14">
        <f>216.5*(2/3*10)</f>
        <v>1443.333333333333</v>
      </c>
      <c r="H2735" s="14">
        <f>83.6*(2/3*10)</f>
        <v>557.33333333333326</v>
      </c>
      <c r="I2735" s="14">
        <f>1221.8*(2/3*10)</f>
        <v>8145.3333333333321</v>
      </c>
      <c r="K2735">
        <v>2732</v>
      </c>
      <c r="L2735">
        <f t="shared" si="42"/>
        <v>4</v>
      </c>
    </row>
    <row r="2736" spans="1:12" ht="16.5" x14ac:dyDescent="0.2">
      <c r="A2736" s="4" t="s">
        <v>4</v>
      </c>
      <c r="B2736">
        <v>2013</v>
      </c>
      <c r="C2736" s="14">
        <f>1045.1*(2/3*10)</f>
        <v>6967.3333333333321</v>
      </c>
      <c r="D2736" s="14">
        <f>180.8*(2/3*10)</f>
        <v>1205.3333333333333</v>
      </c>
      <c r="E2736" s="14">
        <f>768.8*(2/3*10)</f>
        <v>5125.3333333333321</v>
      </c>
      <c r="F2736" s="14">
        <f>1994.3*(2/3*10)</f>
        <v>13295.333333333332</v>
      </c>
      <c r="G2736" s="14">
        <f>224.4*(2/3*10)</f>
        <v>1495.9999999999998</v>
      </c>
      <c r="H2736" s="14">
        <f>85*(2/3*10)</f>
        <v>566.66666666666663</v>
      </c>
      <c r="I2736" s="14">
        <f>1221.5*(2/3*10)</f>
        <v>8143.333333333333</v>
      </c>
      <c r="K2736" s="15">
        <v>2733</v>
      </c>
      <c r="L2736">
        <f t="shared" si="42"/>
        <v>5</v>
      </c>
    </row>
    <row r="2737" spans="1:12" ht="16.5" x14ac:dyDescent="0.2">
      <c r="A2737" s="4" t="s">
        <v>4</v>
      </c>
      <c r="B2737">
        <v>2014</v>
      </c>
      <c r="C2737" s="14">
        <f>1046.3*(2/3*10)</f>
        <v>6975.3333333333321</v>
      </c>
      <c r="D2737" s="14">
        <f>180.2*(2/3*10)</f>
        <v>1201.3333333333333</v>
      </c>
      <c r="E2737" s="14">
        <f>768.6*(2/3*10)</f>
        <v>5124</v>
      </c>
      <c r="F2737" s="14">
        <f>1991.8*(2/3*10)</f>
        <v>13278.666666666666</v>
      </c>
      <c r="G2737" s="14">
        <f>230.6*(2/3*10)</f>
        <v>1537.3333333333333</v>
      </c>
      <c r="H2737" s="14">
        <f>85.5*(2/3*10)</f>
        <v>570</v>
      </c>
      <c r="I2737" s="14">
        <f>1221.3*(2/3*10)</f>
        <v>8141.9999999999991</v>
      </c>
      <c r="K2737">
        <v>2734</v>
      </c>
      <c r="L2737">
        <f t="shared" si="42"/>
        <v>6</v>
      </c>
    </row>
    <row r="2738" spans="1:12" ht="16.5" x14ac:dyDescent="0.2">
      <c r="A2738" s="4" t="s">
        <v>4</v>
      </c>
      <c r="B2738">
        <v>2015</v>
      </c>
      <c r="C2738" s="14">
        <f>1048*(2/3*10)</f>
        <v>6986.6666666666661</v>
      </c>
      <c r="D2738" s="14">
        <f>179.8*(2/3*10)</f>
        <v>1198.6666666666667</v>
      </c>
      <c r="E2738" s="14">
        <f>768.3*(2/3*10)</f>
        <v>5121.9999999999991</v>
      </c>
      <c r="F2738" s="14">
        <f>1988.8*(2/3*10)</f>
        <v>13258.666666666666</v>
      </c>
      <c r="G2738" s="14">
        <f>236.2*(2/3*10)</f>
        <v>1574.6666666666665</v>
      </c>
      <c r="H2738" s="14">
        <f>86.4*(2/3*10)</f>
        <v>576</v>
      </c>
      <c r="I2738" s="14">
        <f>1221.5*(2/3*10)</f>
        <v>8143.333333333333</v>
      </c>
      <c r="K2738" s="15">
        <v>2735</v>
      </c>
      <c r="L2738">
        <f t="shared" si="42"/>
        <v>7</v>
      </c>
    </row>
    <row r="2739" spans="1:12" ht="16.5" x14ac:dyDescent="0.2">
      <c r="A2739" s="4" t="s">
        <v>4</v>
      </c>
      <c r="B2739">
        <v>2016</v>
      </c>
      <c r="C2739" s="14">
        <f>1051.8*(2/3*10)</f>
        <v>7011.9999999999991</v>
      </c>
      <c r="D2739" s="14">
        <f>179.2*(2/3*10)</f>
        <v>1194.6666666666665</v>
      </c>
      <c r="E2739" s="14">
        <f>768.4*(2/3*10)</f>
        <v>5122.6666666666661</v>
      </c>
      <c r="F2739" s="14">
        <f>1986.2*(2/3*10)</f>
        <v>13241.333333333332</v>
      </c>
      <c r="G2739" s="14">
        <f>243.6*(2/3*10)</f>
        <v>1623.9999999999995</v>
      </c>
      <c r="H2739" s="14">
        <f>87.3*(2/3*10)</f>
        <v>581.99999999999989</v>
      </c>
      <c r="I2739" s="14">
        <f>1221.4*(2/3*10)</f>
        <v>8142.666666666667</v>
      </c>
      <c r="K2739">
        <v>2736</v>
      </c>
      <c r="L2739">
        <f t="shared" si="42"/>
        <v>0</v>
      </c>
    </row>
    <row r="2740" spans="1:12" ht="16.5" x14ac:dyDescent="0.2">
      <c r="A2740" s="4" t="s">
        <v>3</v>
      </c>
      <c r="B2740">
        <v>2009</v>
      </c>
      <c r="C2740" s="14">
        <f>323.7*(2/3*10)</f>
        <v>2157.9999999999995</v>
      </c>
      <c r="D2740" s="14">
        <f>64.1*(2/3*10)</f>
        <v>427.33333333333326</v>
      </c>
      <c r="E2740" s="14">
        <f>549.3*(2/3*10)</f>
        <v>3661.9999999999995</v>
      </c>
      <c r="F2740" s="14">
        <f>4501.6*(2/3*10)</f>
        <v>30010.666666666668</v>
      </c>
      <c r="G2740" s="14">
        <f>98.6*(2/3*10)</f>
        <v>657.33333333333337</v>
      </c>
      <c r="H2740" s="14">
        <f>34.1*(2/3*10)</f>
        <v>227.33333333333331</v>
      </c>
      <c r="I2740" s="14">
        <f>1404.3*(2/3*10)</f>
        <v>9361.9999999999982</v>
      </c>
      <c r="K2740">
        <v>2737</v>
      </c>
      <c r="L2740">
        <f t="shared" si="42"/>
        <v>1</v>
      </c>
    </row>
    <row r="2741" spans="1:12" ht="16.5" x14ac:dyDescent="0.2">
      <c r="A2741" s="4" t="s">
        <v>3</v>
      </c>
      <c r="B2741">
        <v>2010</v>
      </c>
      <c r="C2741" s="14">
        <f>324.6*(2/3*10)</f>
        <v>2164</v>
      </c>
      <c r="D2741" s="14">
        <f>63.9*(2/3*10)</f>
        <v>425.99999999999994</v>
      </c>
      <c r="E2741" s="14">
        <f>549*(2/3*10)</f>
        <v>3659.9999999999995</v>
      </c>
      <c r="F2741" s="14">
        <f>4500.6*(2/3*10)</f>
        <v>30004</v>
      </c>
      <c r="G2741" s="14">
        <f>99.7*(2/3*10)</f>
        <v>664.66666666666663</v>
      </c>
      <c r="H2741" s="14">
        <f>34.7*(2/3*10)</f>
        <v>231.33333333333334</v>
      </c>
      <c r="I2741" s="14">
        <f>1405.2*(2/3*10)</f>
        <v>9368</v>
      </c>
      <c r="K2741" s="15">
        <v>2738</v>
      </c>
      <c r="L2741">
        <f t="shared" si="42"/>
        <v>2</v>
      </c>
    </row>
    <row r="2742" spans="1:12" ht="16.5" x14ac:dyDescent="0.2">
      <c r="A2742" s="4" t="s">
        <v>3</v>
      </c>
      <c r="B2742">
        <v>2011</v>
      </c>
      <c r="C2742" s="14">
        <f>326.3*(2/3*10)</f>
        <v>2175.333333333333</v>
      </c>
      <c r="D2742" s="14">
        <f>64.2*(2/3*10)</f>
        <v>428</v>
      </c>
      <c r="E2742" s="14">
        <f>548.9*(2/3*10)</f>
        <v>3659.333333333333</v>
      </c>
      <c r="F2742" s="14">
        <f>4499.8*(2/3*10)</f>
        <v>29998.666666666664</v>
      </c>
      <c r="G2742" s="14">
        <f>102.1*(2/3*10)</f>
        <v>680.66666666666652</v>
      </c>
      <c r="H2742" s="14">
        <f>35.1*(2/3*10)</f>
        <v>234</v>
      </c>
      <c r="I2742" s="14">
        <f>1405.1*(2/3*10)</f>
        <v>9367.3333333333321</v>
      </c>
      <c r="K2742">
        <v>2739</v>
      </c>
      <c r="L2742">
        <f t="shared" si="42"/>
        <v>3</v>
      </c>
    </row>
    <row r="2743" spans="1:12" ht="16.5" x14ac:dyDescent="0.2">
      <c r="A2743" s="4" t="s">
        <v>3</v>
      </c>
      <c r="B2743">
        <v>2012</v>
      </c>
      <c r="C2743" s="14">
        <f>326.6*(2/3*10)</f>
        <v>2177.3333333333335</v>
      </c>
      <c r="D2743" s="14">
        <f>64.1*(2/3*10)</f>
        <v>427.33333333333326</v>
      </c>
      <c r="E2743" s="14">
        <f>548.9*(2/3*10)</f>
        <v>3659.333333333333</v>
      </c>
      <c r="F2743" s="14">
        <f>4499.4*(2/3*10)</f>
        <v>29995.999999999996</v>
      </c>
      <c r="G2743" s="14">
        <f>104*(2/3*10)</f>
        <v>693.33333333333326</v>
      </c>
      <c r="H2743" s="14">
        <f>35.3*(2/3*10)</f>
        <v>235.33333333333329</v>
      </c>
      <c r="I2743" s="14">
        <f>1404.9*(2/3*10)</f>
        <v>9366</v>
      </c>
      <c r="K2743" s="15">
        <v>2740</v>
      </c>
      <c r="L2743">
        <f t="shared" si="42"/>
        <v>4</v>
      </c>
    </row>
    <row r="2744" spans="1:12" ht="16.5" x14ac:dyDescent="0.2">
      <c r="A2744" s="4" t="s">
        <v>3</v>
      </c>
      <c r="B2744">
        <v>2013</v>
      </c>
      <c r="C2744" s="14">
        <f>328.5*(2/3*10)</f>
        <v>2190</v>
      </c>
      <c r="D2744" s="14">
        <f>64*(2/3*10)</f>
        <v>426.66666666666663</v>
      </c>
      <c r="E2744" s="14">
        <f>548.9*(2/3*10)</f>
        <v>3659.333333333333</v>
      </c>
      <c r="F2744" s="14">
        <f>4498.9*(2/3*10)</f>
        <v>29992.666666666661</v>
      </c>
      <c r="G2744" s="14">
        <f>106.3*(2/3*10)</f>
        <v>708.66666666666663</v>
      </c>
      <c r="H2744" s="14">
        <f>35.5*(2/3*10)</f>
        <v>236.66666666666666</v>
      </c>
      <c r="I2744" s="14">
        <f>1404.8*(2/3*10)</f>
        <v>9365.3333333333321</v>
      </c>
      <c r="K2744">
        <v>2741</v>
      </c>
      <c r="L2744">
        <f t="shared" si="42"/>
        <v>5</v>
      </c>
    </row>
    <row r="2745" spans="1:12" ht="16.5" x14ac:dyDescent="0.2">
      <c r="A2745" s="4" t="s">
        <v>3</v>
      </c>
      <c r="B2745">
        <v>2014</v>
      </c>
      <c r="C2745" s="14">
        <f>328.8*(2/3*10)</f>
        <v>2192</v>
      </c>
      <c r="D2745" s="14">
        <f>63.9*(2/3*10)</f>
        <v>425.99999999999994</v>
      </c>
      <c r="E2745" s="14">
        <f>548.9*(2/3*10)</f>
        <v>3659.333333333333</v>
      </c>
      <c r="F2745" s="14">
        <f>4498.6*(2/3*10)</f>
        <v>29990.666666666668</v>
      </c>
      <c r="G2745" s="14">
        <f>107.8*(2/3*10)</f>
        <v>718.66666666666663</v>
      </c>
      <c r="H2745" s="14">
        <f>35.7*(2/3*10)</f>
        <v>238</v>
      </c>
      <c r="I2745" s="14">
        <f>1404.8*(2/3*10)</f>
        <v>9365.3333333333321</v>
      </c>
      <c r="K2745">
        <v>2742</v>
      </c>
      <c r="L2745">
        <f t="shared" si="42"/>
        <v>6</v>
      </c>
    </row>
    <row r="2746" spans="1:12" ht="16.5" x14ac:dyDescent="0.2">
      <c r="A2746" s="4" t="s">
        <v>3</v>
      </c>
      <c r="B2746">
        <v>2015</v>
      </c>
      <c r="C2746" s="14">
        <f>329.9*(2/3*10)</f>
        <v>2199.333333333333</v>
      </c>
      <c r="D2746" s="14">
        <f>63.8*(2/3*10)</f>
        <v>425.33333333333326</v>
      </c>
      <c r="E2746" s="14">
        <f>548.8*(2/3*10)</f>
        <v>3658.6666666666661</v>
      </c>
      <c r="F2746" s="14">
        <f>4498.2*(2/3*10)</f>
        <v>29987.999999999996</v>
      </c>
      <c r="G2746" s="14">
        <f>110.7*(2/3*10)</f>
        <v>738</v>
      </c>
      <c r="H2746" s="14">
        <f>35.8*(2/3*10)</f>
        <v>238.66666666666663</v>
      </c>
      <c r="I2746" s="14">
        <f>1404.7*(2/3*10)</f>
        <v>9364.6666666666661</v>
      </c>
      <c r="K2746" s="15">
        <v>2743</v>
      </c>
      <c r="L2746">
        <f t="shared" si="42"/>
        <v>7</v>
      </c>
    </row>
    <row r="2747" spans="1:12" ht="16.5" x14ac:dyDescent="0.2">
      <c r="A2747" s="4" t="s">
        <v>3</v>
      </c>
      <c r="B2747">
        <v>2016</v>
      </c>
      <c r="C2747" s="14">
        <f>334.1*(2/3*10)</f>
        <v>2227.3333333333335</v>
      </c>
      <c r="D2747" s="14">
        <f>63.4*(2/3*10)</f>
        <v>422.66666666666663</v>
      </c>
      <c r="E2747" s="14">
        <f>548.7*(2/3*10)</f>
        <v>3658</v>
      </c>
      <c r="F2747" s="14">
        <f>4497.6*(2/3*10)</f>
        <v>29984</v>
      </c>
      <c r="G2747" s="14">
        <f>111.8*(2/3*10)</f>
        <v>745.33333333333326</v>
      </c>
      <c r="H2747" s="14">
        <f>36.2*(2/3*10)</f>
        <v>241.33333333333334</v>
      </c>
      <c r="I2747" s="14">
        <f>1404.7*(2/3*10)</f>
        <v>9364.6666666666661</v>
      </c>
      <c r="K2747">
        <v>2744</v>
      </c>
      <c r="L2747">
        <f t="shared" si="42"/>
        <v>0</v>
      </c>
    </row>
    <row r="2748" spans="1:12" ht="16.5" x14ac:dyDescent="0.2">
      <c r="A2748" s="4" t="s">
        <v>2</v>
      </c>
      <c r="B2748">
        <v>2009</v>
      </c>
      <c r="C2748" s="14">
        <f>966.9*(2/3*10)</f>
        <v>6445.9999999999991</v>
      </c>
      <c r="D2748" s="14">
        <f>46*(2/3*10)</f>
        <v>306.66666666666663</v>
      </c>
      <c r="E2748" s="14">
        <f>856.2*(2/3*10)</f>
        <v>5708</v>
      </c>
      <c r="F2748" s="14">
        <f>5030.8*(2/3*10)</f>
        <v>33538.666666666664</v>
      </c>
      <c r="G2748" s="14">
        <f>146.5*(2/3*10)</f>
        <v>976.66666666666663</v>
      </c>
      <c r="H2748" s="14">
        <f>50.2*(2/3*10)</f>
        <v>334.66666666666663</v>
      </c>
      <c r="I2748" s="14">
        <f>423.3*(2/3*10)</f>
        <v>2822</v>
      </c>
      <c r="K2748" s="15">
        <v>2745</v>
      </c>
      <c r="L2748">
        <f t="shared" si="42"/>
        <v>1</v>
      </c>
    </row>
    <row r="2749" spans="1:12" ht="16.5" x14ac:dyDescent="0.2">
      <c r="A2749" s="4" t="s">
        <v>2</v>
      </c>
      <c r="B2749">
        <v>2010</v>
      </c>
      <c r="C2749" s="14">
        <f>963.3*(2/3*10)</f>
        <v>6421.9999999999991</v>
      </c>
      <c r="D2749" s="14">
        <f>46.5*(2/3*10)</f>
        <v>310</v>
      </c>
      <c r="E2749" s="14">
        <f>856.1*(2/3*10)</f>
        <v>5707.333333333333</v>
      </c>
      <c r="F2749" s="14">
        <f>5028.1*(2/3*10)</f>
        <v>33520.666666666664</v>
      </c>
      <c r="G2749" s="14">
        <f>151.5*(2/3*10)</f>
        <v>1009.9999999999999</v>
      </c>
      <c r="H2749" s="14">
        <f>50.5*(2/3*10)</f>
        <v>336.66666666666663</v>
      </c>
      <c r="I2749" s="14">
        <f>424.1*(2/3*10)</f>
        <v>2827.333333333333</v>
      </c>
      <c r="K2749">
        <v>2746</v>
      </c>
      <c r="L2749">
        <f t="shared" si="42"/>
        <v>2</v>
      </c>
    </row>
    <row r="2750" spans="1:12" ht="16.5" x14ac:dyDescent="0.2">
      <c r="A2750" s="4" t="s">
        <v>2</v>
      </c>
      <c r="B2750">
        <v>2011</v>
      </c>
      <c r="C2750" s="14">
        <f>974.6*(2/3*10)</f>
        <v>6497.333333333333</v>
      </c>
      <c r="D2750" s="14">
        <f>46.8*(2/3*10)</f>
        <v>311.99999999999994</v>
      </c>
      <c r="E2750" s="14">
        <f>855.9*(2/3*10)</f>
        <v>5705.9999999999991</v>
      </c>
      <c r="F2750" s="14">
        <f>5009.3*(2/3*10)</f>
        <v>33395.333333333328</v>
      </c>
      <c r="G2750" s="14">
        <f>161.9*(2/3*10)</f>
        <v>1079.3333333333333</v>
      </c>
      <c r="H2750" s="14">
        <f>50.8*(2/3*10)</f>
        <v>338.66666666666663</v>
      </c>
      <c r="I2750" s="14">
        <f>424.3*(2/3*10)</f>
        <v>2828.6666666666665</v>
      </c>
      <c r="K2750">
        <v>2747</v>
      </c>
      <c r="L2750">
        <f t="shared" si="42"/>
        <v>3</v>
      </c>
    </row>
    <row r="2751" spans="1:12" ht="16.5" x14ac:dyDescent="0.2">
      <c r="A2751" s="4" t="s">
        <v>2</v>
      </c>
      <c r="B2751">
        <v>2012</v>
      </c>
      <c r="C2751" s="14">
        <f>986.9*(2/3*10)</f>
        <v>6579.333333333333</v>
      </c>
      <c r="D2751" s="14">
        <f>46.8*(2/3*10)</f>
        <v>311.99999999999994</v>
      </c>
      <c r="E2751" s="14">
        <f>855.7*(2/3*10)</f>
        <v>5704.6666666666661</v>
      </c>
      <c r="F2751" s="14">
        <f>4994.6*(2/3*10)</f>
        <v>33297.333333333336</v>
      </c>
      <c r="G2751" s="14">
        <f>164.9*(2/3*10)</f>
        <v>1099.3333333333333</v>
      </c>
      <c r="H2751" s="14">
        <f>52.5*(2/3*10)</f>
        <v>349.99999999999994</v>
      </c>
      <c r="I2751" s="14">
        <f>424.4*(2/3*10)</f>
        <v>2829.333333333333</v>
      </c>
      <c r="K2751" s="15">
        <v>2748</v>
      </c>
      <c r="L2751">
        <f t="shared" si="42"/>
        <v>4</v>
      </c>
    </row>
    <row r="2752" spans="1:12" ht="16.5" x14ac:dyDescent="0.2">
      <c r="A2752" s="4" t="s">
        <v>2</v>
      </c>
      <c r="B2752">
        <v>2013</v>
      </c>
      <c r="C2752" s="14">
        <f>995*(2/3*10)</f>
        <v>6633.333333333333</v>
      </c>
      <c r="D2752" s="14">
        <f>48*(2/3*10)</f>
        <v>320</v>
      </c>
      <c r="E2752" s="14">
        <f>855.2*(2/3*10)</f>
        <v>5701.333333333333</v>
      </c>
      <c r="F2752" s="14">
        <f>4983.9*(2/3*10)</f>
        <v>33225.999999999993</v>
      </c>
      <c r="G2752" s="14">
        <f>174.9*(2/3*10)</f>
        <v>1166</v>
      </c>
      <c r="H2752" s="14">
        <f>53.4*(2/3*10)</f>
        <v>355.99999999999994</v>
      </c>
      <c r="I2752" s="14">
        <f>424.6*(2/3*10)</f>
        <v>2830.6666666666665</v>
      </c>
      <c r="K2752">
        <v>2749</v>
      </c>
      <c r="L2752">
        <f t="shared" ref="L2752:L2771" si="43">MOD(K2752,8)</f>
        <v>5</v>
      </c>
    </row>
    <row r="2753" spans="1:12" ht="16.5" x14ac:dyDescent="0.2">
      <c r="A2753" s="4" t="s">
        <v>2</v>
      </c>
      <c r="B2753">
        <v>2014</v>
      </c>
      <c r="C2753" s="14">
        <f>999.6*(2/3*10)</f>
        <v>6664</v>
      </c>
      <c r="D2753" s="14">
        <f>47.9*(2/3*10)</f>
        <v>319.33333333333331</v>
      </c>
      <c r="E2753" s="14">
        <f>854.8*(2/3*10)</f>
        <v>5698.6666666666661</v>
      </c>
      <c r="F2753" s="14">
        <f>4979.1*(2/3*10)</f>
        <v>33194</v>
      </c>
      <c r="G2753" s="14">
        <f>177.5*(2/3*10)</f>
        <v>1183.3333333333333</v>
      </c>
      <c r="H2753" s="14">
        <f>54.2*(2/3*10)</f>
        <v>361.33333333333331</v>
      </c>
      <c r="I2753" s="14">
        <f>424.6*(2/3*10)</f>
        <v>2830.6666666666665</v>
      </c>
      <c r="K2753" s="15">
        <v>2750</v>
      </c>
      <c r="L2753">
        <f t="shared" si="43"/>
        <v>6</v>
      </c>
    </row>
    <row r="2754" spans="1:12" ht="16.5" x14ac:dyDescent="0.2">
      <c r="A2754" s="4" t="s">
        <v>2</v>
      </c>
      <c r="B2754">
        <v>2015</v>
      </c>
      <c r="C2754" s="14">
        <f>1005.6*(2/3*10)</f>
        <v>6704</v>
      </c>
      <c r="D2754" s="14">
        <f>47.2*(2/3*10)</f>
        <v>314.66666666666669</v>
      </c>
      <c r="E2754" s="14">
        <f>854.4*(2/3*10)</f>
        <v>5695.9999999999991</v>
      </c>
      <c r="F2754" s="14">
        <f>4970.4*(2/3*10)</f>
        <v>33135.999999999993</v>
      </c>
      <c r="G2754" s="14">
        <f>181.1*(2/3*10)</f>
        <v>1207.3333333333333</v>
      </c>
      <c r="H2754" s="14">
        <f>54.3*(2/3*10)</f>
        <v>361.99999999999994</v>
      </c>
      <c r="I2754" s="14">
        <f>425.2*(2/3*10)</f>
        <v>2834.6666666666665</v>
      </c>
      <c r="K2754">
        <v>2751</v>
      </c>
      <c r="L2754">
        <f t="shared" si="43"/>
        <v>7</v>
      </c>
    </row>
    <row r="2755" spans="1:12" ht="16.5" x14ac:dyDescent="0.2">
      <c r="A2755" s="4" t="s">
        <v>2</v>
      </c>
      <c r="B2755">
        <v>2016</v>
      </c>
      <c r="C2755" s="14">
        <f>1008.9*(2/3*10)</f>
        <v>6725.9999999999991</v>
      </c>
      <c r="D2755" s="14">
        <f>48.5*(2/3*10)</f>
        <v>323.33333333333331</v>
      </c>
      <c r="E2755" s="14">
        <f>854.3*(2/3*10)</f>
        <v>5695.3333333333321</v>
      </c>
      <c r="F2755" s="14">
        <f>4966.6*(2/3*10)</f>
        <v>33110.666666666664</v>
      </c>
      <c r="G2755" s="14">
        <f>182.9*(2/3*10)</f>
        <v>1219.3333333333333</v>
      </c>
      <c r="H2755" s="14">
        <f>55.2*(2/3*10)</f>
        <v>368</v>
      </c>
      <c r="I2755" s="14">
        <f>425.3*(2/3*10)</f>
        <v>2835.333333333333</v>
      </c>
      <c r="K2755">
        <v>2752</v>
      </c>
      <c r="L2755">
        <f t="shared" si="43"/>
        <v>0</v>
      </c>
    </row>
    <row r="2756" spans="1:12" ht="16.5" x14ac:dyDescent="0.2">
      <c r="A2756" s="4" t="s">
        <v>1</v>
      </c>
      <c r="B2756">
        <v>2009</v>
      </c>
      <c r="C2756" s="14">
        <f>1197.8*(2/3*10)</f>
        <v>7985.3333333333321</v>
      </c>
      <c r="D2756" s="14">
        <f>16*(2/3*10)</f>
        <v>106.66666666666666</v>
      </c>
      <c r="E2756" s="14">
        <f>1313.9*(2/3*10)</f>
        <v>8759.3333333333339</v>
      </c>
      <c r="F2756" s="14">
        <f>9183.8*(2/3*10)</f>
        <v>61225.333333333321</v>
      </c>
      <c r="G2756" s="14">
        <f>163.6*(2/3*10)</f>
        <v>1090.6666666666665</v>
      </c>
      <c r="H2756" s="14">
        <f>66.5*(2/3*10)</f>
        <v>443.33333333333331</v>
      </c>
      <c r="I2756" s="14">
        <f>321.7*(2/3*10)</f>
        <v>2144.6666666666665</v>
      </c>
      <c r="K2756" s="15">
        <v>2753</v>
      </c>
      <c r="L2756">
        <f t="shared" si="43"/>
        <v>1</v>
      </c>
    </row>
    <row r="2757" spans="1:12" ht="16.5" x14ac:dyDescent="0.2">
      <c r="A2757" s="4" t="s">
        <v>1</v>
      </c>
      <c r="B2757">
        <v>2010</v>
      </c>
      <c r="C2757" s="14">
        <f>1197.6*(2/3*10)</f>
        <v>7983.9999999999991</v>
      </c>
      <c r="D2757" s="14">
        <f>16.2*(2/3*10)</f>
        <v>107.99999999999999</v>
      </c>
      <c r="E2757" s="14">
        <f>1314*(2/3*10)</f>
        <v>8760</v>
      </c>
      <c r="F2757" s="14">
        <f>9181.9*(2/3*10)</f>
        <v>61212.666666666657</v>
      </c>
      <c r="G2757" s="14">
        <f>165.2*(2/3*10)</f>
        <v>1101.3333333333333</v>
      </c>
      <c r="H2757" s="14">
        <f>66.6*(2/3*10)</f>
        <v>443.99999999999994</v>
      </c>
      <c r="I2757" s="14">
        <f>322*(2/3*10)</f>
        <v>2146.6666666666665</v>
      </c>
      <c r="K2757">
        <v>2754</v>
      </c>
      <c r="L2757">
        <f t="shared" si="43"/>
        <v>2</v>
      </c>
    </row>
    <row r="2758" spans="1:12" ht="16.5" x14ac:dyDescent="0.2">
      <c r="A2758" s="4" t="s">
        <v>1</v>
      </c>
      <c r="B2758">
        <v>2011</v>
      </c>
      <c r="C2758" s="14">
        <f>1202.3*(2/3*10)</f>
        <v>8015.3333333333321</v>
      </c>
      <c r="D2758" s="14">
        <f>16.1*(2/3*10)</f>
        <v>107.33333333333333</v>
      </c>
      <c r="E2758" s="14">
        <f>1313.4*(2/3*10)</f>
        <v>8756</v>
      </c>
      <c r="F2758" s="14">
        <f>9177.1*(2/3*10)</f>
        <v>61180.666666666664</v>
      </c>
      <c r="G2758" s="14">
        <f>166.7*(2/3*10)</f>
        <v>1111.3333333333333</v>
      </c>
      <c r="H2758" s="14">
        <f>66.7*(2/3*10)</f>
        <v>444.66666666666663</v>
      </c>
      <c r="I2758" s="14">
        <f>322.5*(2/3*10)</f>
        <v>2150</v>
      </c>
      <c r="K2758" s="15">
        <v>2755</v>
      </c>
      <c r="L2758">
        <f t="shared" si="43"/>
        <v>3</v>
      </c>
    </row>
    <row r="2759" spans="1:12" ht="16.5" x14ac:dyDescent="0.2">
      <c r="A2759" s="4" t="s">
        <v>1</v>
      </c>
      <c r="B2759">
        <v>2012</v>
      </c>
      <c r="C2759" s="14">
        <f>1208.2*(2/3*10)</f>
        <v>8054.6666666666661</v>
      </c>
      <c r="D2759" s="14">
        <f>16*(2/3*10)</f>
        <v>106.66666666666666</v>
      </c>
      <c r="E2759" s="14">
        <f>1313*(2/3*10)</f>
        <v>8753.3333333333321</v>
      </c>
      <c r="F2759" s="14">
        <f>9171.4*(2/3*10)</f>
        <v>61142.666666666657</v>
      </c>
      <c r="G2759" s="14">
        <f>168.2*(2/3*10)</f>
        <v>1121.3333333333333</v>
      </c>
      <c r="H2759" s="14">
        <f>67.1*(2/3*10)</f>
        <v>447.33333333333326</v>
      </c>
      <c r="I2759" s="14">
        <f>322.4*(2/3*10)</f>
        <v>2149.333333333333</v>
      </c>
      <c r="K2759">
        <v>2756</v>
      </c>
      <c r="L2759">
        <f t="shared" si="43"/>
        <v>4</v>
      </c>
    </row>
    <row r="2760" spans="1:12" ht="16.5" x14ac:dyDescent="0.2">
      <c r="A2760" s="4" t="s">
        <v>1</v>
      </c>
      <c r="B2760">
        <v>2013</v>
      </c>
      <c r="C2760" s="14">
        <f>1207.8*(2/3*10)</f>
        <v>8051.9999999999991</v>
      </c>
      <c r="D2760" s="14">
        <f>15.9*(2/3*10)</f>
        <v>106</v>
      </c>
      <c r="E2760" s="14">
        <f>1312.9*(2/3*10)</f>
        <v>8752.6666666666661</v>
      </c>
      <c r="F2760" s="14">
        <f>9167.9*(2/3*10)</f>
        <v>61119.333333333328</v>
      </c>
      <c r="G2760" s="14">
        <f>170.4*(2/3*10)</f>
        <v>1136</v>
      </c>
      <c r="H2760" s="14">
        <f>70*(2/3*10)</f>
        <v>466.66666666666663</v>
      </c>
      <c r="I2760" s="14">
        <f>322.4*(2/3*10)</f>
        <v>2149.333333333333</v>
      </c>
      <c r="K2760">
        <v>2757</v>
      </c>
      <c r="L2760">
        <f t="shared" si="43"/>
        <v>5</v>
      </c>
    </row>
    <row r="2761" spans="1:12" ht="16.5" x14ac:dyDescent="0.2">
      <c r="A2761" s="4" t="s">
        <v>1</v>
      </c>
      <c r="B2761">
        <v>2014</v>
      </c>
      <c r="C2761" s="14">
        <f>1208.5*(2/3*10)</f>
        <v>8056.6666666666661</v>
      </c>
      <c r="D2761" s="14">
        <f>15.9*(2/3*10)</f>
        <v>106</v>
      </c>
      <c r="E2761" s="14">
        <f>1312.6*(2/3*10)</f>
        <v>8750.6666666666661</v>
      </c>
      <c r="F2761" s="14">
        <f>9165.7*(2/3*10)</f>
        <v>61104.666666666664</v>
      </c>
      <c r="G2761" s="14">
        <f>171.7*(2/3*10)</f>
        <v>1144.6666666666667</v>
      </c>
      <c r="H2761" s="14">
        <f>70.7*(2/3*10)</f>
        <v>471.33333333333331</v>
      </c>
      <c r="I2761" s="14">
        <f>322.6*(2/3*10)</f>
        <v>2150.6666666666665</v>
      </c>
      <c r="K2761" s="15">
        <v>2758</v>
      </c>
      <c r="L2761">
        <f t="shared" si="43"/>
        <v>6</v>
      </c>
    </row>
    <row r="2762" spans="1:12" ht="16.5" x14ac:dyDescent="0.2">
      <c r="A2762" s="4" t="s">
        <v>1</v>
      </c>
      <c r="B2762">
        <v>2015</v>
      </c>
      <c r="C2762" s="14">
        <f>1208.9*(2/3*10)</f>
        <v>8059.333333333333</v>
      </c>
      <c r="D2762" s="14">
        <f>15.8*(2/3*10)</f>
        <v>105.33333333333333</v>
      </c>
      <c r="E2762" s="14">
        <f>1312.5*(2/3*10)</f>
        <v>8750</v>
      </c>
      <c r="F2762" s="14">
        <f>9163.5*(2/3*10)</f>
        <v>61089.999999999993</v>
      </c>
      <c r="G2762" s="14">
        <f>174.3*(2/3*10)</f>
        <v>1162</v>
      </c>
      <c r="H2762" s="14">
        <f>71.1*(2/3*10)</f>
        <v>473.99999999999994</v>
      </c>
      <c r="I2762" s="14">
        <f>322.7*(2/3*10)</f>
        <v>2151.333333333333</v>
      </c>
      <c r="K2762">
        <v>2759</v>
      </c>
      <c r="L2762">
        <f t="shared" si="43"/>
        <v>7</v>
      </c>
    </row>
    <row r="2763" spans="1:12" ht="16.5" x14ac:dyDescent="0.2">
      <c r="A2763" s="4" t="s">
        <v>1</v>
      </c>
      <c r="B2763">
        <v>2016</v>
      </c>
      <c r="C2763" s="14">
        <f>1221.1*(2/3*10)</f>
        <v>8140.6666666666652</v>
      </c>
      <c r="D2763" s="14">
        <f>15.8*(2/3*10)</f>
        <v>105.33333333333333</v>
      </c>
      <c r="E2763" s="14">
        <f>1312.3*(2/3*10)</f>
        <v>8748.6666666666661</v>
      </c>
      <c r="F2763" s="14">
        <f>9162.6*(2/3*10)</f>
        <v>61084</v>
      </c>
      <c r="G2763" s="14">
        <f>175.9*(2/3*10)</f>
        <v>1172.6666666666665</v>
      </c>
      <c r="H2763" s="14">
        <f>71.4*(2/3*10)</f>
        <v>476</v>
      </c>
      <c r="I2763" s="14">
        <f>322.5*(2/3*10)</f>
        <v>2150</v>
      </c>
      <c r="K2763" s="15">
        <v>2760</v>
      </c>
      <c r="L2763">
        <f t="shared" si="43"/>
        <v>0</v>
      </c>
    </row>
    <row r="2764" spans="1:12" ht="16.5" x14ac:dyDescent="0.2">
      <c r="A2764" s="4" t="s">
        <v>0</v>
      </c>
      <c r="B2764">
        <v>2009</v>
      </c>
      <c r="C2764" s="14">
        <f>372.6*(2/3*10)</f>
        <v>2484</v>
      </c>
      <c r="D2764" s="14">
        <f>4*(2/3*10)</f>
        <v>26.666666666666664</v>
      </c>
      <c r="E2764" s="14">
        <f>1476.1*(2/3*10)</f>
        <v>9840.6666666666661</v>
      </c>
      <c r="F2764" s="14">
        <f>12670*(2/3*10)</f>
        <v>84466.666666666657</v>
      </c>
      <c r="G2764" s="14">
        <f>49.3*(2/3*10)</f>
        <v>328.66666666666669</v>
      </c>
      <c r="H2764" s="14">
        <f>35.2*(2/3*10)</f>
        <v>234.66666666666666</v>
      </c>
      <c r="I2764" s="14">
        <f>405.4*(2/3*10)</f>
        <v>2702.6666666666661</v>
      </c>
      <c r="K2764">
        <v>2761</v>
      </c>
      <c r="L2764">
        <f t="shared" si="43"/>
        <v>1</v>
      </c>
    </row>
    <row r="2765" spans="1:12" ht="16.5" x14ac:dyDescent="0.2">
      <c r="A2765" s="4" t="s">
        <v>0</v>
      </c>
      <c r="B2765">
        <v>2010</v>
      </c>
      <c r="C2765" s="14">
        <f>375.2*(2/3*10)</f>
        <v>2501.333333333333</v>
      </c>
      <c r="D2765" s="14">
        <f>4*(2/3*10)</f>
        <v>26.666666666666664</v>
      </c>
      <c r="E2765" s="14">
        <f>1478.5*(2/3*10)</f>
        <v>9856.6666666666661</v>
      </c>
      <c r="F2765" s="14">
        <f>12661.6*(2/3*10)</f>
        <v>84410.666666666657</v>
      </c>
      <c r="G2765" s="14">
        <f>52.2*(2/3*10)</f>
        <v>347.99999999999994</v>
      </c>
      <c r="H2765" s="14">
        <f>35.6*(2/3*10)</f>
        <v>237.33333333333331</v>
      </c>
      <c r="I2765" s="14">
        <f>407.1*(2/3*10)</f>
        <v>2714</v>
      </c>
      <c r="K2765">
        <v>2762</v>
      </c>
      <c r="L2765">
        <f t="shared" si="43"/>
        <v>2</v>
      </c>
    </row>
    <row r="2766" spans="1:12" ht="16.5" x14ac:dyDescent="0.2">
      <c r="A2766" s="4" t="s">
        <v>0</v>
      </c>
      <c r="B2766">
        <v>2011</v>
      </c>
      <c r="C2766" s="14">
        <f>376.6*(2/3*10)</f>
        <v>2510.6666666666665</v>
      </c>
      <c r="D2766" s="14">
        <f>4*(2/3*10)</f>
        <v>26.666666666666664</v>
      </c>
      <c r="E2766" s="14">
        <f>1478.2*(2/3*10)</f>
        <v>9854.6666666666661</v>
      </c>
      <c r="F2766" s="14">
        <f>12655.5*(2/3*10)</f>
        <v>84369.999999999985</v>
      </c>
      <c r="G2766" s="14">
        <f>55.4*(2/3*10)</f>
        <v>369.33333333333331</v>
      </c>
      <c r="H2766" s="14">
        <f>37.4*(2/3*10)</f>
        <v>249.33333333333331</v>
      </c>
      <c r="I2766" s="14">
        <f>408.1*(2/3*10)</f>
        <v>2720.6666666666665</v>
      </c>
      <c r="K2766" s="15">
        <v>2763</v>
      </c>
      <c r="L2766">
        <f t="shared" si="43"/>
        <v>3</v>
      </c>
    </row>
    <row r="2767" spans="1:12" ht="16.5" x14ac:dyDescent="0.2">
      <c r="A2767" s="4" t="s">
        <v>0</v>
      </c>
      <c r="B2767">
        <v>2012</v>
      </c>
      <c r="C2767" s="14">
        <f>379.8*(2/3*10)</f>
        <v>2532</v>
      </c>
      <c r="D2767" s="14">
        <f>4*(2/3*10)</f>
        <v>26.666666666666664</v>
      </c>
      <c r="E2767" s="14">
        <f>1477.8*(2/3*10)</f>
        <v>9851.9999999999982</v>
      </c>
      <c r="F2767" s="14">
        <f>12648.7*(2/3*10)</f>
        <v>84324.666666666657</v>
      </c>
      <c r="G2767" s="14">
        <f>59.1*(2/3*10)</f>
        <v>393.99999999999994</v>
      </c>
      <c r="H2767" s="14">
        <f>37.6*(2/3*10)</f>
        <v>250.66666666666666</v>
      </c>
      <c r="I2767" s="14">
        <f>408.7*(2/3*10)</f>
        <v>2724.6666666666665</v>
      </c>
      <c r="K2767">
        <v>2764</v>
      </c>
      <c r="L2767">
        <f t="shared" si="43"/>
        <v>4</v>
      </c>
    </row>
    <row r="2768" spans="1:12" ht="16.5" x14ac:dyDescent="0.2">
      <c r="A2768" s="4" t="s">
        <v>0</v>
      </c>
      <c r="B2768">
        <v>2013</v>
      </c>
      <c r="C2768" s="14">
        <f>387*(2/3*10)</f>
        <v>2579.9999999999995</v>
      </c>
      <c r="D2768" s="14">
        <f>4*(2/3*10)</f>
        <v>26.666666666666664</v>
      </c>
      <c r="E2768" s="14">
        <f>1478.1*(2/3*10)</f>
        <v>9853.9999999999982</v>
      </c>
      <c r="F2768" s="14">
        <f>12637.9*(2/3*10)</f>
        <v>84252.666666666657</v>
      </c>
      <c r="G2768" s="14">
        <f>61.9*(2/3*10)</f>
        <v>412.66666666666663</v>
      </c>
      <c r="H2768" s="14">
        <f>38.4*(2/3*10)</f>
        <v>255.99999999999997</v>
      </c>
      <c r="I2768" s="14">
        <f>408.8*(2/3*10)</f>
        <v>2725.333333333333</v>
      </c>
      <c r="K2768" s="15">
        <v>2765</v>
      </c>
      <c r="L2768">
        <f t="shared" si="43"/>
        <v>5</v>
      </c>
    </row>
    <row r="2769" spans="1:12" ht="16.5" x14ac:dyDescent="0.2">
      <c r="A2769" s="4" t="s">
        <v>0</v>
      </c>
      <c r="B2769">
        <v>2014</v>
      </c>
      <c r="C2769" s="14">
        <f>391.8*(2/3*10)</f>
        <v>2612</v>
      </c>
      <c r="D2769" s="14">
        <f>4*(2/3*10)</f>
        <v>26.666666666666664</v>
      </c>
      <c r="E2769" s="14">
        <f>1477.8*(2/3*10)</f>
        <v>9851.9999999999982</v>
      </c>
      <c r="F2769" s="14">
        <f>12628.1*(2/3*10)</f>
        <v>84187.333333333328</v>
      </c>
      <c r="G2769" s="14">
        <f>64.9*(2/3*10)</f>
        <v>432.66666666666669</v>
      </c>
      <c r="H2769" s="14">
        <f>39.2*(2/3*10)</f>
        <v>261.33333333333331</v>
      </c>
      <c r="I2769" s="14">
        <f>410.4*(2/3*10)</f>
        <v>2735.9999999999995</v>
      </c>
      <c r="K2769">
        <v>2766</v>
      </c>
      <c r="L2769">
        <f t="shared" si="43"/>
        <v>6</v>
      </c>
    </row>
    <row r="2770" spans="1:12" ht="16.5" x14ac:dyDescent="0.2">
      <c r="A2770" s="4" t="s">
        <v>0</v>
      </c>
      <c r="B2770">
        <v>2015</v>
      </c>
      <c r="C2770" s="14">
        <f>407.6*(2/3*10)</f>
        <v>2717.333333333333</v>
      </c>
      <c r="D2770" s="14">
        <f>4*(2/3*10)</f>
        <v>26.666666666666664</v>
      </c>
      <c r="E2770" s="14">
        <f>1477.7*(2/3*10)</f>
        <v>9851.3333333333321</v>
      </c>
      <c r="F2770" s="14">
        <f>12611.4*(2/3*10)</f>
        <v>84075.999999999985</v>
      </c>
      <c r="G2770" s="14">
        <f>66.2*(2/3*10)</f>
        <v>441.33333333333331</v>
      </c>
      <c r="H2770" s="14">
        <f>39.6*(2/3*10)</f>
        <v>264</v>
      </c>
      <c r="I2770" s="14">
        <f>410.2*(2/3*10)</f>
        <v>2734.6666666666665</v>
      </c>
      <c r="K2770">
        <v>2767</v>
      </c>
      <c r="L2770">
        <f t="shared" si="43"/>
        <v>7</v>
      </c>
    </row>
    <row r="2771" spans="1:12" ht="16.5" x14ac:dyDescent="0.2">
      <c r="A2771" s="4" t="s">
        <v>0</v>
      </c>
      <c r="B2771">
        <v>2016</v>
      </c>
      <c r="C2771" s="14">
        <f>415.5*(2/3*10)</f>
        <v>2769.9999999999995</v>
      </c>
      <c r="D2771" s="14">
        <f>4*(2/3*10)</f>
        <v>26.666666666666664</v>
      </c>
      <c r="E2771" s="14">
        <f>1477.5*(2/3*10)</f>
        <v>9850</v>
      </c>
      <c r="F2771" s="14">
        <f>12603.2*(2/3*10)</f>
        <v>84021.333333333328</v>
      </c>
      <c r="G2771" s="14">
        <f>67.6*(2/3*10)</f>
        <v>450.66666666666657</v>
      </c>
      <c r="H2771" s="14">
        <f>40.1*(2/3*10)</f>
        <v>267.33333333333331</v>
      </c>
      <c r="I2771" s="14">
        <f>410.3*(2/3*10)</f>
        <v>2735.333333333333</v>
      </c>
      <c r="K2771" s="15">
        <v>2768</v>
      </c>
      <c r="L2771">
        <f t="shared" si="43"/>
        <v>0</v>
      </c>
    </row>
    <row r="2772" spans="1:12" ht="16.5" x14ac:dyDescent="0.35">
      <c r="A2772" s="3"/>
      <c r="B2772" s="3"/>
      <c r="C2772" s="2"/>
      <c r="D2772" s="2"/>
      <c r="E2772" s="2"/>
      <c r="F2772" s="2"/>
      <c r="H2772" s="2"/>
      <c r="I2772" s="2"/>
    </row>
    <row r="2773" spans="1:12" ht="16.5" x14ac:dyDescent="0.35">
      <c r="A2773" s="3"/>
      <c r="B2773" s="3"/>
      <c r="C2773" s="2"/>
      <c r="D2773" s="2"/>
      <c r="E2773" s="2"/>
      <c r="F2773" s="2"/>
      <c r="H2773" s="2"/>
      <c r="I2773" s="2"/>
      <c r="K2773" s="15"/>
    </row>
    <row r="2774" spans="1:12" ht="16.5" x14ac:dyDescent="0.35">
      <c r="A2774" s="3"/>
      <c r="B2774" s="3"/>
      <c r="C2774" s="2"/>
      <c r="D2774" s="2"/>
      <c r="E2774" s="2"/>
      <c r="F2774" s="2"/>
      <c r="H2774" s="2"/>
      <c r="I2774" s="2"/>
    </row>
    <row r="2775" spans="1:12" x14ac:dyDescent="0.2">
      <c r="K2775" s="15"/>
    </row>
    <row r="2777" spans="1:12" x14ac:dyDescent="0.2">
      <c r="K2777" s="15"/>
    </row>
    <row r="2779" spans="1:12" x14ac:dyDescent="0.2">
      <c r="K2779" s="15"/>
    </row>
    <row r="2781" spans="1:12" x14ac:dyDescent="0.2">
      <c r="K2781" s="15"/>
    </row>
    <row r="2783" spans="1:12" x14ac:dyDescent="0.2">
      <c r="K2783" s="15"/>
    </row>
    <row r="2785" spans="11:11" x14ac:dyDescent="0.2">
      <c r="K2785" s="15"/>
    </row>
    <row r="2787" spans="11:11" x14ac:dyDescent="0.2">
      <c r="K2787" s="15"/>
    </row>
    <row r="2789" spans="11:11" x14ac:dyDescent="0.2">
      <c r="K2789" s="15"/>
    </row>
    <row r="2791" spans="11:11" x14ac:dyDescent="0.2">
      <c r="K2791" s="15"/>
    </row>
    <row r="2793" spans="11:11" x14ac:dyDescent="0.2">
      <c r="K2793" s="15"/>
    </row>
    <row r="2795" spans="11:11" x14ac:dyDescent="0.2">
      <c r="K2795" s="15"/>
    </row>
    <row r="2797" spans="11:11" x14ac:dyDescent="0.2">
      <c r="K2797" s="15"/>
    </row>
    <row r="2799" spans="11:11" x14ac:dyDescent="0.2">
      <c r="K2799" s="15"/>
    </row>
    <row r="2801" spans="11:11" x14ac:dyDescent="0.2">
      <c r="K2801" s="15"/>
    </row>
    <row r="2803" spans="11:11" x14ac:dyDescent="0.2">
      <c r="K2803" s="15"/>
    </row>
    <row r="2805" spans="11:11" x14ac:dyDescent="0.2">
      <c r="K2805" s="15"/>
    </row>
    <row r="2807" spans="11:11" x14ac:dyDescent="0.2">
      <c r="K2807" s="15"/>
    </row>
    <row r="2809" spans="11:11" x14ac:dyDescent="0.2">
      <c r="K2809" s="15"/>
    </row>
    <row r="2811" spans="11:11" x14ac:dyDescent="0.2">
      <c r="K2811" s="15"/>
    </row>
    <row r="2813" spans="11:11" x14ac:dyDescent="0.2">
      <c r="K2813" s="15"/>
    </row>
    <row r="2815" spans="11:11" x14ac:dyDescent="0.2">
      <c r="K2815" s="15"/>
    </row>
    <row r="2817" spans="11:11" x14ac:dyDescent="0.2">
      <c r="K2817" s="15"/>
    </row>
    <row r="2819" spans="11:11" x14ac:dyDescent="0.2">
      <c r="K2819" s="15"/>
    </row>
    <row r="2821" spans="11:11" x14ac:dyDescent="0.2">
      <c r="K2821" s="15"/>
    </row>
    <row r="2823" spans="11:11" x14ac:dyDescent="0.2">
      <c r="K2823" s="15"/>
    </row>
    <row r="2825" spans="11:11" x14ac:dyDescent="0.2">
      <c r="K2825" s="15"/>
    </row>
    <row r="2827" spans="11:11" x14ac:dyDescent="0.2">
      <c r="K2827" s="15"/>
    </row>
    <row r="2829" spans="11:11" x14ac:dyDescent="0.2">
      <c r="K2829" s="15"/>
    </row>
    <row r="2831" spans="11:11" x14ac:dyDescent="0.2">
      <c r="K2831" s="15"/>
    </row>
    <row r="2833" spans="11:11" x14ac:dyDescent="0.2">
      <c r="K2833" s="15"/>
    </row>
    <row r="2835" spans="11:11" x14ac:dyDescent="0.2">
      <c r="K2835" s="15"/>
    </row>
    <row r="2837" spans="11:11" x14ac:dyDescent="0.2">
      <c r="K2837" s="15"/>
    </row>
    <row r="2839" spans="11:11" x14ac:dyDescent="0.2">
      <c r="K2839" s="15"/>
    </row>
    <row r="2841" spans="11:11" x14ac:dyDescent="0.2">
      <c r="K2841" s="15"/>
    </row>
    <row r="2843" spans="11:11" x14ac:dyDescent="0.2">
      <c r="K2843" s="15"/>
    </row>
    <row r="2845" spans="11:11" x14ac:dyDescent="0.2">
      <c r="K2845" s="15"/>
    </row>
    <row r="2847" spans="11:11" x14ac:dyDescent="0.2">
      <c r="K2847" s="15"/>
    </row>
    <row r="2849" spans="11:11" x14ac:dyDescent="0.2">
      <c r="K2849" s="15"/>
    </row>
    <row r="2851" spans="11:11" x14ac:dyDescent="0.2">
      <c r="K2851" s="15"/>
    </row>
    <row r="2853" spans="11:11" x14ac:dyDescent="0.2">
      <c r="K2853" s="15"/>
    </row>
    <row r="2855" spans="11:11" x14ac:dyDescent="0.2">
      <c r="K2855" s="15"/>
    </row>
    <row r="2857" spans="11:11" x14ac:dyDescent="0.2">
      <c r="K2857" s="15"/>
    </row>
    <row r="2859" spans="11:11" x14ac:dyDescent="0.2">
      <c r="K2859" s="15"/>
    </row>
    <row r="2861" spans="11:11" x14ac:dyDescent="0.2">
      <c r="K2861" s="15"/>
    </row>
    <row r="2863" spans="11:11" x14ac:dyDescent="0.2">
      <c r="K2863" s="15"/>
    </row>
    <row r="2865" spans="11:11" x14ac:dyDescent="0.2">
      <c r="K2865" s="15"/>
    </row>
    <row r="2867" spans="11:11" x14ac:dyDescent="0.2">
      <c r="K2867" s="15"/>
    </row>
    <row r="2869" spans="11:11" x14ac:dyDescent="0.2">
      <c r="K2869" s="15"/>
    </row>
    <row r="2871" spans="11:11" x14ac:dyDescent="0.2">
      <c r="K2871" s="15"/>
    </row>
    <row r="2873" spans="11:11" x14ac:dyDescent="0.2">
      <c r="K2873" s="15"/>
    </row>
    <row r="2875" spans="11:11" x14ac:dyDescent="0.2">
      <c r="K2875" s="15"/>
    </row>
    <row r="2877" spans="11:11" x14ac:dyDescent="0.2">
      <c r="K2877" s="15"/>
    </row>
    <row r="2879" spans="11:11" x14ac:dyDescent="0.2">
      <c r="K2879" s="15"/>
    </row>
    <row r="2881" spans="11:11" x14ac:dyDescent="0.2">
      <c r="K2881" s="15"/>
    </row>
    <row r="2883" spans="11:11" x14ac:dyDescent="0.2">
      <c r="K2883" s="15"/>
    </row>
    <row r="2885" spans="11:11" x14ac:dyDescent="0.2">
      <c r="K2885" s="15"/>
    </row>
    <row r="2887" spans="11:11" x14ac:dyDescent="0.2">
      <c r="K2887" s="15"/>
    </row>
    <row r="2889" spans="11:11" x14ac:dyDescent="0.2">
      <c r="K2889" s="15"/>
    </row>
    <row r="2891" spans="11:11" x14ac:dyDescent="0.2">
      <c r="K2891" s="15"/>
    </row>
    <row r="2893" spans="11:11" x14ac:dyDescent="0.2">
      <c r="K2893" s="15"/>
    </row>
    <row r="2895" spans="11:11" x14ac:dyDescent="0.2">
      <c r="K2895" s="15"/>
    </row>
    <row r="2897" spans="11:11" x14ac:dyDescent="0.2">
      <c r="K2897" s="15"/>
    </row>
    <row r="2899" spans="11:11" x14ac:dyDescent="0.2">
      <c r="K2899" s="15"/>
    </row>
    <row r="2901" spans="11:11" x14ac:dyDescent="0.2">
      <c r="K2901" s="15"/>
    </row>
    <row r="2903" spans="11:11" x14ac:dyDescent="0.2">
      <c r="K2903" s="15"/>
    </row>
    <row r="2905" spans="11:11" x14ac:dyDescent="0.2">
      <c r="K2905" s="15"/>
    </row>
    <row r="2907" spans="11:11" x14ac:dyDescent="0.2">
      <c r="K2907" s="15"/>
    </row>
    <row r="2909" spans="11:11" x14ac:dyDescent="0.2">
      <c r="K2909" s="15"/>
    </row>
    <row r="2911" spans="11:11" x14ac:dyDescent="0.2">
      <c r="K2911" s="15"/>
    </row>
    <row r="2913" spans="11:11" x14ac:dyDescent="0.2">
      <c r="K2913" s="15"/>
    </row>
    <row r="2915" spans="11:11" x14ac:dyDescent="0.2">
      <c r="K2915" s="15"/>
    </row>
    <row r="2917" spans="11:11" x14ac:dyDescent="0.2">
      <c r="K2917" s="15"/>
    </row>
    <row r="2919" spans="11:11" x14ac:dyDescent="0.2">
      <c r="K2919" s="15"/>
    </row>
    <row r="2921" spans="11:11" x14ac:dyDescent="0.2">
      <c r="K2921" s="15"/>
    </row>
    <row r="2923" spans="11:11" x14ac:dyDescent="0.2">
      <c r="K2923" s="15"/>
    </row>
    <row r="2925" spans="11:11" x14ac:dyDescent="0.2">
      <c r="K2925" s="15"/>
    </row>
    <row r="2927" spans="11:11" x14ac:dyDescent="0.2">
      <c r="K2927" s="15"/>
    </row>
    <row r="2929" spans="11:11" x14ac:dyDescent="0.2">
      <c r="K2929" s="15"/>
    </row>
    <row r="2931" spans="11:11" x14ac:dyDescent="0.2">
      <c r="K2931" s="15"/>
    </row>
    <row r="2933" spans="11:11" x14ac:dyDescent="0.2">
      <c r="K2933" s="15"/>
    </row>
    <row r="2935" spans="11:11" x14ac:dyDescent="0.2">
      <c r="K2935" s="15"/>
    </row>
    <row r="2937" spans="11:11" x14ac:dyDescent="0.2">
      <c r="K2937" s="15"/>
    </row>
    <row r="2939" spans="11:11" x14ac:dyDescent="0.2">
      <c r="K2939" s="15"/>
    </row>
    <row r="2941" spans="11:11" x14ac:dyDescent="0.2">
      <c r="K2941" s="15"/>
    </row>
    <row r="2943" spans="11:11" x14ac:dyDescent="0.2">
      <c r="K2943" s="15"/>
    </row>
    <row r="2945" spans="11:11" x14ac:dyDescent="0.2">
      <c r="K2945" s="15"/>
    </row>
    <row r="2947" spans="11:11" x14ac:dyDescent="0.2">
      <c r="K2947" s="15"/>
    </row>
    <row r="2949" spans="11:11" x14ac:dyDescent="0.2">
      <c r="K2949" s="15"/>
    </row>
    <row r="2951" spans="11:11" x14ac:dyDescent="0.2">
      <c r="K2951" s="15"/>
    </row>
    <row r="2953" spans="11:11" x14ac:dyDescent="0.2">
      <c r="K2953" s="15"/>
    </row>
    <row r="2955" spans="11:11" x14ac:dyDescent="0.2">
      <c r="K2955" s="15"/>
    </row>
    <row r="2957" spans="11:11" x14ac:dyDescent="0.2">
      <c r="K2957" s="15"/>
    </row>
    <row r="2959" spans="11:11" x14ac:dyDescent="0.2">
      <c r="K2959" s="15"/>
    </row>
    <row r="2961" spans="11:11" x14ac:dyDescent="0.2">
      <c r="K2961" s="15"/>
    </row>
    <row r="2963" spans="11:11" x14ac:dyDescent="0.2">
      <c r="K2963" s="15"/>
    </row>
    <row r="2965" spans="11:11" x14ac:dyDescent="0.2">
      <c r="K2965" s="15"/>
    </row>
    <row r="2967" spans="11:11" x14ac:dyDescent="0.2">
      <c r="K2967" s="15"/>
    </row>
    <row r="2969" spans="11:11" x14ac:dyDescent="0.2">
      <c r="K2969" s="15"/>
    </row>
    <row r="2971" spans="11:11" x14ac:dyDescent="0.2">
      <c r="K2971" s="15"/>
    </row>
    <row r="2973" spans="11:11" x14ac:dyDescent="0.2">
      <c r="K2973" s="15"/>
    </row>
    <row r="2975" spans="11:11" x14ac:dyDescent="0.2">
      <c r="K2975" s="15"/>
    </row>
    <row r="2977" spans="11:11" x14ac:dyDescent="0.2">
      <c r="K2977" s="15"/>
    </row>
    <row r="2979" spans="11:11" x14ac:dyDescent="0.2">
      <c r="K2979" s="15"/>
    </row>
    <row r="2981" spans="11:11" x14ac:dyDescent="0.2">
      <c r="K2981" s="15"/>
    </row>
    <row r="2983" spans="11:11" x14ac:dyDescent="0.2">
      <c r="K2983" s="15"/>
    </row>
    <row r="2985" spans="11:11" x14ac:dyDescent="0.2">
      <c r="K2985" s="15"/>
    </row>
    <row r="2987" spans="11:11" x14ac:dyDescent="0.2">
      <c r="K2987" s="15"/>
    </row>
    <row r="2989" spans="11:11" x14ac:dyDescent="0.2">
      <c r="K2989" s="15"/>
    </row>
    <row r="2991" spans="11:11" x14ac:dyDescent="0.2">
      <c r="K2991" s="15"/>
    </row>
    <row r="2993" spans="11:11" x14ac:dyDescent="0.2">
      <c r="K2993" s="15"/>
    </row>
    <row r="2995" spans="11:11" x14ac:dyDescent="0.2">
      <c r="K2995" s="15"/>
    </row>
    <row r="2997" spans="11:11" x14ac:dyDescent="0.2">
      <c r="K2997" s="15"/>
    </row>
    <row r="2999" spans="11:11" x14ac:dyDescent="0.2">
      <c r="K2999" s="15"/>
    </row>
    <row r="3001" spans="11:11" x14ac:dyDescent="0.2">
      <c r="K3001" s="15"/>
    </row>
    <row r="3003" spans="11:11" x14ac:dyDescent="0.2">
      <c r="K3003" s="15"/>
    </row>
    <row r="3005" spans="11:11" x14ac:dyDescent="0.2">
      <c r="K3005" s="15"/>
    </row>
    <row r="3007" spans="11:11" x14ac:dyDescent="0.2">
      <c r="K3007" s="15"/>
    </row>
    <row r="3009" spans="11:11" x14ac:dyDescent="0.2">
      <c r="K3009" s="15"/>
    </row>
    <row r="3011" spans="11:11" x14ac:dyDescent="0.2">
      <c r="K3011" s="15"/>
    </row>
    <row r="3013" spans="11:11" x14ac:dyDescent="0.2">
      <c r="K3013" s="15"/>
    </row>
    <row r="3015" spans="11:11" x14ac:dyDescent="0.2">
      <c r="K3015" s="15"/>
    </row>
    <row r="3017" spans="11:11" x14ac:dyDescent="0.2">
      <c r="K3017" s="15"/>
    </row>
    <row r="3019" spans="11:11" x14ac:dyDescent="0.2">
      <c r="K3019" s="15"/>
    </row>
    <row r="3021" spans="11:11" x14ac:dyDescent="0.2">
      <c r="K3021" s="15"/>
    </row>
    <row r="3023" spans="11:11" x14ac:dyDescent="0.2">
      <c r="K3023" s="15"/>
    </row>
    <row r="3025" spans="11:11" x14ac:dyDescent="0.2">
      <c r="K3025" s="15"/>
    </row>
    <row r="3027" spans="11:11" x14ac:dyDescent="0.2">
      <c r="K3027" s="15"/>
    </row>
    <row r="3029" spans="11:11" x14ac:dyDescent="0.2">
      <c r="K3029" s="15"/>
    </row>
    <row r="3031" spans="11:11" x14ac:dyDescent="0.2">
      <c r="K3031" s="15"/>
    </row>
    <row r="3033" spans="11:11" x14ac:dyDescent="0.2">
      <c r="K3033" s="15"/>
    </row>
    <row r="3035" spans="11:11" x14ac:dyDescent="0.2">
      <c r="K3035" s="15"/>
    </row>
    <row r="3037" spans="11:11" x14ac:dyDescent="0.2">
      <c r="K3037" s="15"/>
    </row>
    <row r="3039" spans="11:11" x14ac:dyDescent="0.2">
      <c r="K3039" s="15"/>
    </row>
    <row r="3041" spans="11:11" x14ac:dyDescent="0.2">
      <c r="K3041" s="15"/>
    </row>
    <row r="3043" spans="11:11" x14ac:dyDescent="0.2">
      <c r="K3043" s="15"/>
    </row>
    <row r="3045" spans="11:11" x14ac:dyDescent="0.2">
      <c r="K3045" s="15"/>
    </row>
    <row r="3047" spans="11:11" x14ac:dyDescent="0.2">
      <c r="K3047" s="15"/>
    </row>
    <row r="3049" spans="11:11" x14ac:dyDescent="0.2">
      <c r="K3049" s="15"/>
    </row>
    <row r="3051" spans="11:11" x14ac:dyDescent="0.2">
      <c r="K3051" s="15"/>
    </row>
    <row r="3053" spans="11:11" x14ac:dyDescent="0.2">
      <c r="K3053" s="15"/>
    </row>
  </sheetData>
  <phoneticPr fontId="2" type="noConversion"/>
  <hyperlinks>
    <hyperlink ref="A8:A11" r:id="rId1" display="北京市" xr:uid="{0A9EBD02-F162-48C9-9F98-048BFF08F1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maggie</dc:creator>
  <cp:lastModifiedBy>chen maggie</cp:lastModifiedBy>
  <dcterms:created xsi:type="dcterms:W3CDTF">2025-07-27T14:16:59Z</dcterms:created>
  <dcterms:modified xsi:type="dcterms:W3CDTF">2025-07-29T02:08:19Z</dcterms:modified>
</cp:coreProperties>
</file>