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gland\Documents\govhack\"/>
    </mc:Choice>
  </mc:AlternateContent>
  <xr:revisionPtr revIDLastSave="0" documentId="8_{1D893C3D-8C1A-4114-A6B6-7ED372406F17}" xr6:coauthVersionLast="44" xr6:coauthVersionMax="44" xr10:uidLastSave="{00000000-0000-0000-0000-000000000000}"/>
  <bookViews>
    <workbookView xWindow="-98" yWindow="-98" windowWidth="20715" windowHeight="13276" firstSheet="1" activeTab="4"/>
  </bookViews>
  <sheets>
    <sheet name="data-yT0wB" sheetId="1" r:id="rId1"/>
    <sheet name="Sheet7" sheetId="8" r:id="rId2"/>
    <sheet name="Coorparoo" sheetId="2" r:id="rId3"/>
    <sheet name="Petrie low" sheetId="3" r:id="rId4"/>
    <sheet name="Petrie high" sheetId="6" r:id="rId5"/>
    <sheet name="Eight mile plains" sheetId="5" r:id="rId6"/>
    <sheet name="Sheet3" sheetId="4" r:id="rId7"/>
    <sheet name="Sheet6" sheetId="7" r:id="rId8"/>
  </sheets>
  <calcPr calcId="0"/>
</workbook>
</file>

<file path=xl/calcChain.xml><?xml version="1.0" encoding="utf-8"?>
<calcChain xmlns="http://schemas.openxmlformats.org/spreadsheetml/2006/main">
  <c r="S5" i="8" l="1"/>
  <c r="S4" i="8"/>
  <c r="S6" i="8"/>
  <c r="S7" i="8"/>
  <c r="S8" i="8"/>
  <c r="S9" i="8"/>
  <c r="S3" i="8"/>
  <c r="P3" i="8"/>
  <c r="Q3" i="8"/>
  <c r="R3" i="8"/>
  <c r="O3" i="8"/>
  <c r="R8" i="8"/>
  <c r="K3" i="8"/>
  <c r="J14" i="8"/>
  <c r="I14" i="8"/>
  <c r="J13" i="8"/>
  <c r="R30" i="6"/>
  <c r="U29" i="6"/>
  <c r="U30" i="6" s="1"/>
  <c r="T29" i="6"/>
  <c r="T30" i="6" s="1"/>
  <c r="S29" i="6"/>
  <c r="S30" i="6" s="1"/>
  <c r="R29" i="6"/>
  <c r="Q29" i="6"/>
  <c r="Q30" i="6" s="1"/>
  <c r="Z28" i="6"/>
  <c r="Y28" i="6"/>
  <c r="X28" i="6"/>
  <c r="W28" i="6"/>
  <c r="V28" i="6"/>
  <c r="X26" i="6"/>
  <c r="V26" i="6"/>
  <c r="X25" i="6"/>
  <c r="V25" i="6"/>
  <c r="R25" i="6"/>
  <c r="X23" i="6"/>
  <c r="V23" i="6"/>
  <c r="X21" i="6"/>
  <c r="W21" i="6"/>
  <c r="V21" i="6"/>
  <c r="V19" i="6"/>
  <c r="S17" i="6"/>
  <c r="R15" i="6"/>
  <c r="D11" i="6"/>
  <c r="C11" i="6"/>
  <c r="E10" i="6"/>
  <c r="O7" i="6"/>
  <c r="O6" i="6"/>
  <c r="H3" i="6"/>
  <c r="P3" i="6" s="1"/>
  <c r="P16" i="6" s="1"/>
  <c r="P18" i="6" s="1"/>
  <c r="G3" i="6"/>
  <c r="F3" i="6"/>
  <c r="L3" i="6" s="1"/>
  <c r="O2" i="6"/>
  <c r="L2" i="6"/>
  <c r="I2" i="6"/>
  <c r="O3" i="3"/>
  <c r="R29" i="3"/>
  <c r="R25" i="3"/>
  <c r="G7" i="4"/>
  <c r="H7" i="4"/>
  <c r="I7" i="4"/>
  <c r="F7" i="4"/>
  <c r="E7" i="4"/>
  <c r="I5" i="4"/>
  <c r="G6" i="4"/>
  <c r="Q17" i="5"/>
  <c r="O17" i="5"/>
  <c r="S17" i="5"/>
  <c r="O15" i="5"/>
  <c r="U29" i="5"/>
  <c r="U30" i="5" s="1"/>
  <c r="I6" i="4" s="1"/>
  <c r="T29" i="5"/>
  <c r="T30" i="5" s="1"/>
  <c r="H6" i="4" s="1"/>
  <c r="S29" i="5"/>
  <c r="S30" i="5" s="1"/>
  <c r="R29" i="5"/>
  <c r="R30" i="5" s="1"/>
  <c r="F6" i="4" s="1"/>
  <c r="Q29" i="5"/>
  <c r="Q30" i="5" s="1"/>
  <c r="E6" i="4" s="1"/>
  <c r="Z28" i="5"/>
  <c r="Y28" i="5"/>
  <c r="X28" i="5"/>
  <c r="W28" i="5"/>
  <c r="V28" i="5"/>
  <c r="X26" i="5"/>
  <c r="V26" i="5"/>
  <c r="X25" i="5"/>
  <c r="V25" i="5"/>
  <c r="X23" i="5"/>
  <c r="V23" i="5"/>
  <c r="X21" i="5"/>
  <c r="W21" i="5"/>
  <c r="V21" i="5"/>
  <c r="V19" i="5"/>
  <c r="Q18" i="5"/>
  <c r="Q16" i="5"/>
  <c r="R15" i="5"/>
  <c r="R2" i="5" s="1"/>
  <c r="D11" i="5"/>
  <c r="C11" i="5"/>
  <c r="E10" i="5"/>
  <c r="O7" i="5"/>
  <c r="O6" i="5"/>
  <c r="Q3" i="5"/>
  <c r="O3" i="5"/>
  <c r="I3" i="5"/>
  <c r="H3" i="5"/>
  <c r="P3" i="5" s="1"/>
  <c r="P16" i="5" s="1"/>
  <c r="G3" i="5"/>
  <c r="F3" i="5"/>
  <c r="L3" i="5" s="1"/>
  <c r="O2" i="5"/>
  <c r="O16" i="5" s="1"/>
  <c r="L2" i="5"/>
  <c r="I2" i="5"/>
  <c r="S17" i="3"/>
  <c r="R15" i="3"/>
  <c r="U29" i="3"/>
  <c r="U30" i="3" s="1"/>
  <c r="T29" i="3"/>
  <c r="T30" i="3" s="1"/>
  <c r="H5" i="4" s="1"/>
  <c r="S29" i="3"/>
  <c r="S30" i="3" s="1"/>
  <c r="G5" i="4" s="1"/>
  <c r="R30" i="3"/>
  <c r="F5" i="4" s="1"/>
  <c r="Q29" i="3"/>
  <c r="Q30" i="3" s="1"/>
  <c r="E5" i="4" s="1"/>
  <c r="Z28" i="3"/>
  <c r="Y28" i="3"/>
  <c r="X28" i="3"/>
  <c r="W28" i="3"/>
  <c r="V28" i="3"/>
  <c r="X26" i="3"/>
  <c r="V26" i="3"/>
  <c r="X25" i="3"/>
  <c r="V25" i="3"/>
  <c r="X23" i="3"/>
  <c r="V23" i="3"/>
  <c r="X21" i="3"/>
  <c r="W21" i="3"/>
  <c r="V21" i="3"/>
  <c r="V19" i="3"/>
  <c r="D11" i="3"/>
  <c r="C11" i="3"/>
  <c r="E10" i="3"/>
  <c r="O7" i="3"/>
  <c r="H3" i="3"/>
  <c r="Q3" i="3" s="1"/>
  <c r="Q16" i="3" s="1"/>
  <c r="G3" i="3"/>
  <c r="F3" i="3"/>
  <c r="L3" i="3" s="1"/>
  <c r="L2" i="3"/>
  <c r="I2" i="3"/>
  <c r="X26" i="2"/>
  <c r="V26" i="2"/>
  <c r="U29" i="2"/>
  <c r="U30" i="2"/>
  <c r="Q17" i="2"/>
  <c r="O17" i="2"/>
  <c r="S17" i="2"/>
  <c r="W28" i="2"/>
  <c r="X28" i="2"/>
  <c r="Y28" i="2"/>
  <c r="Z28" i="2"/>
  <c r="V28" i="2"/>
  <c r="Q3" i="2"/>
  <c r="H3" i="2"/>
  <c r="Q16" i="2" s="1"/>
  <c r="R29" i="2"/>
  <c r="R30" i="2" s="1"/>
  <c r="S29" i="2"/>
  <c r="S30" i="2" s="1"/>
  <c r="T29" i="2"/>
  <c r="T30" i="2" s="1"/>
  <c r="Q29" i="2"/>
  <c r="Q30" i="2" s="1"/>
  <c r="X25" i="2"/>
  <c r="V25" i="2"/>
  <c r="W21" i="2"/>
  <c r="X21" i="2"/>
  <c r="V23" i="2"/>
  <c r="X23" i="2"/>
  <c r="V21" i="2"/>
  <c r="V19" i="2"/>
  <c r="R15" i="2"/>
  <c r="P3" i="2"/>
  <c r="P16" i="2"/>
  <c r="P18" i="2" s="1"/>
  <c r="O2" i="2"/>
  <c r="L3" i="2"/>
  <c r="I3" i="2"/>
  <c r="O3" i="2" s="1"/>
  <c r="L2" i="2"/>
  <c r="I2" i="2"/>
  <c r="E10" i="2"/>
  <c r="O7" i="2"/>
  <c r="O6" i="2"/>
  <c r="D11" i="2"/>
  <c r="C11" i="2"/>
  <c r="G3" i="2"/>
  <c r="F3" i="2"/>
  <c r="E22" i="1"/>
  <c r="D22" i="1"/>
  <c r="D21" i="1"/>
  <c r="B8" i="1"/>
  <c r="C8" i="1"/>
  <c r="D8" i="1"/>
  <c r="E8" i="1"/>
  <c r="F8" i="1"/>
  <c r="G8" i="1"/>
  <c r="H8" i="1"/>
  <c r="I8" i="1"/>
  <c r="C18" i="1"/>
  <c r="R2" i="6" l="1"/>
  <c r="I3" i="6"/>
  <c r="Q3" i="6"/>
  <c r="Q16" i="6" s="1"/>
  <c r="Q18" i="6" s="1"/>
  <c r="R3" i="5"/>
  <c r="R16" i="5" s="1"/>
  <c r="R18" i="5" s="1"/>
  <c r="P18" i="5"/>
  <c r="O18" i="5"/>
  <c r="O2" i="3"/>
  <c r="O6" i="3"/>
  <c r="R2" i="3"/>
  <c r="Q18" i="3"/>
  <c r="P3" i="3"/>
  <c r="P16" i="3" s="1"/>
  <c r="P18" i="3" s="1"/>
  <c r="I3" i="3"/>
  <c r="Q18" i="2"/>
  <c r="O16" i="2"/>
  <c r="R3" i="2"/>
  <c r="O18" i="2"/>
  <c r="R2" i="2"/>
  <c r="R3" i="6" l="1"/>
  <c r="R16" i="6" s="1"/>
  <c r="R18" i="6" s="1"/>
  <c r="O3" i="6"/>
  <c r="O16" i="6" s="1"/>
  <c r="O18" i="6" s="1"/>
  <c r="S18" i="5"/>
  <c r="S19" i="5" s="1"/>
  <c r="R3" i="3"/>
  <c r="R16" i="3" s="1"/>
  <c r="R18" i="3" s="1"/>
  <c r="O16" i="3"/>
  <c r="O18" i="3" s="1"/>
  <c r="R16" i="2"/>
  <c r="R18" i="2" s="1"/>
  <c r="S18" i="2"/>
  <c r="S19" i="2" s="1"/>
  <c r="S18" i="6" l="1"/>
  <c r="S19" i="6" s="1"/>
  <c r="T19" i="6" s="1"/>
  <c r="S18" i="3"/>
  <c r="S19" i="3" l="1"/>
  <c r="T19" i="3" s="1"/>
</calcChain>
</file>

<file path=xl/sharedStrings.xml><?xml version="1.0" encoding="utf-8"?>
<sst xmlns="http://schemas.openxmlformats.org/spreadsheetml/2006/main" count="306" uniqueCount="75">
  <si>
    <t>X.1</t>
  </si>
  <si>
    <t>Sydney</t>
  </si>
  <si>
    <t>Melbourne</t>
  </si>
  <si>
    <t>Brisbane</t>
  </si>
  <si>
    <t>Canberra</t>
  </si>
  <si>
    <t>Adelaide</t>
  </si>
  <si>
    <t>Perth</t>
  </si>
  <si>
    <t>Hobart</t>
  </si>
  <si>
    <t>Darwin</t>
  </si>
  <si>
    <t>registered vehicles</t>
  </si>
  <si>
    <t>commuting</t>
  </si>
  <si>
    <t>Economic incentive</t>
  </si>
  <si>
    <t>Individual incentive</t>
  </si>
  <si>
    <t>Economic</t>
  </si>
  <si>
    <t>Education and skills</t>
  </si>
  <si>
    <t>Home</t>
  </si>
  <si>
    <t>Health</t>
  </si>
  <si>
    <t>Safety</t>
  </si>
  <si>
    <t>Social and community</t>
  </si>
  <si>
    <t>Empowerment</t>
  </si>
  <si>
    <t>Cost to government of congestion</t>
  </si>
  <si>
    <t>Cost of personal vs public transport</t>
  </si>
  <si>
    <t>Effect on education outcomes</t>
  </si>
  <si>
    <t>Proportion of the population that require assistance in transport</t>
  </si>
  <si>
    <t>The rate of people who suffer from long commutes</t>
  </si>
  <si>
    <t>Percentage of people achieving 10000 steps per day</t>
  </si>
  <si>
    <t>Percentage of people who are required to achieve the mark</t>
  </si>
  <si>
    <t>Incidents of vehicle safety in the last 12 months</t>
  </si>
  <si>
    <t>Relative risk of transport method for the last 12 months</t>
  </si>
  <si>
    <t>Proportion of households who have capacity to assist in transport</t>
  </si>
  <si>
    <t>Proportion of people who have community obligations</t>
  </si>
  <si>
    <t>Access to systems allowing access to systems to get help where needed.</t>
  </si>
  <si>
    <t>Impact</t>
  </si>
  <si>
    <t>take the bus</t>
  </si>
  <si>
    <t>No car</t>
  </si>
  <si>
    <t>Proportion of time suffer from congestion</t>
  </si>
  <si>
    <t>Personal</t>
  </si>
  <si>
    <t>community</t>
  </si>
  <si>
    <t>parking</t>
  </si>
  <si>
    <t>social cohesion</t>
  </si>
  <si>
    <t>wear and tear</t>
  </si>
  <si>
    <t>Empowering</t>
  </si>
  <si>
    <t>Weighting</t>
  </si>
  <si>
    <t>Car</t>
  </si>
  <si>
    <t>Cycling</t>
  </si>
  <si>
    <t>Train</t>
  </si>
  <si>
    <t>Time taken</t>
  </si>
  <si>
    <t>source</t>
  </si>
  <si>
    <t xml:space="preserve">Household, Income and Labour Dynamics in Australia (HILDA) Survey </t>
  </si>
  <si>
    <t>km baseline</t>
  </si>
  <si>
    <t>time baseline</t>
  </si>
  <si>
    <t>per minute</t>
  </si>
  <si>
    <t>per km</t>
  </si>
  <si>
    <t>$perday</t>
  </si>
  <si>
    <t>https://www.abs.gov.au/ausstats/abs@.nsf/Lookup/by%20Subject/2071.0.55.001~2016~Main%20Features~Commuting%20Distance%20for%20Australia~1</t>
  </si>
  <si>
    <t>https://www.ttf.org.au/wp-content/uploads/2018/06/TTF-LEK-Public-Transport-Barometer.pdf</t>
  </si>
  <si>
    <t>Carpooling</t>
  </si>
  <si>
    <t>Cost</t>
  </si>
  <si>
    <t>extra passengers</t>
  </si>
  <si>
    <t>Scenario</t>
  </si>
  <si>
    <t>Baseline</t>
  </si>
  <si>
    <t>Bike</t>
  </si>
  <si>
    <t>Carpooling 2</t>
  </si>
  <si>
    <t>Coorparoo</t>
  </si>
  <si>
    <t>Petrie</t>
  </si>
  <si>
    <t>Eightmile Plains</t>
  </si>
  <si>
    <t>Baseline Cost</t>
  </si>
  <si>
    <t>Carpooling (1)</t>
  </si>
  <si>
    <t>Carpooling (2)</t>
  </si>
  <si>
    <t>Framework</t>
  </si>
  <si>
    <t>Carpooling 1</t>
  </si>
  <si>
    <t>Bicycle</t>
  </si>
  <si>
    <t>Car-train</t>
  </si>
  <si>
    <t>Train - car</t>
  </si>
  <si>
    <t>Carpool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</si>
</sst>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00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6"/>
      <color rgb="FF333333"/>
      <name val="Arial"/>
      <family val="2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7">
    <xf numFmtId="0" fontId="0" fillId="0" borderId="0" xfId="0"/>
    <xf numFmtId="3" fontId="18" fillId="0" borderId="0" xfId="0" applyNumberFormat="1" applyFont="1"/>
    <xf numFmtId="9" fontId="0" fillId="0" borderId="0" xfId="0" applyNumberFormat="1"/>
    <xf numFmtId="10" fontId="0" fillId="0" borderId="0" xfId="0" applyNumberFormat="1"/>
    <xf numFmtId="9" fontId="0" fillId="0" borderId="0" xfId="1" applyFont="1"/>
    <xf numFmtId="170" fontId="0" fillId="0" borderId="0" xfId="1" applyNumberFormat="1" applyFont="1"/>
    <xf numFmtId="0" fontId="19" fillId="0" borderId="0" xfId="43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Framework</a:t>
            </a:r>
            <a:r>
              <a:rPr lang="en-AU" baseline="0"/>
              <a:t> for Transport choices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Sheet7!$F$2</c:f>
              <c:strCache>
                <c:ptCount val="1"/>
                <c:pt idx="0">
                  <c:v>Car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Sheet7!$C$3:$C$15</c:f>
              <c:strCache>
                <c:ptCount val="13"/>
                <c:pt idx="0">
                  <c:v>Cost to government of congestion</c:v>
                </c:pt>
                <c:pt idx="1">
                  <c:v>Cost of personal vs public transport</c:v>
                </c:pt>
                <c:pt idx="2">
                  <c:v>Effect on education outcomes</c:v>
                </c:pt>
                <c:pt idx="3">
                  <c:v>Proportion of the population that require assistance in transport</c:v>
                </c:pt>
                <c:pt idx="4">
                  <c:v>Proportion of time suffer from congestion</c:v>
                </c:pt>
                <c:pt idx="5">
                  <c:v>The rate of people who suffer from long commutes</c:v>
                </c:pt>
                <c:pt idx="6">
                  <c:v>Percentage of people achieving 10000 steps per day</c:v>
                </c:pt>
                <c:pt idx="7">
                  <c:v>Percentage of people who are required to achieve the mark</c:v>
                </c:pt>
                <c:pt idx="8">
                  <c:v>Incidents of vehicle safety in the last 12 months</c:v>
                </c:pt>
                <c:pt idx="9">
                  <c:v>Relative risk of transport method for the last 12 months</c:v>
                </c:pt>
                <c:pt idx="10">
                  <c:v>Proportion of households who have capacity to assist in transport</c:v>
                </c:pt>
                <c:pt idx="11">
                  <c:v>Proportion of people who have community obligations</c:v>
                </c:pt>
                <c:pt idx="12">
                  <c:v>Access to systems allowing access to systems to get help where needed.</c:v>
                </c:pt>
              </c:strCache>
            </c:strRef>
          </c:cat>
          <c:val>
            <c:numRef>
              <c:f>Sheet7!$F$3:$F$15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0.5</c:v>
                </c:pt>
                <c:pt idx="11">
                  <c:v>0.31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10-4AD6-B144-A764BE41966A}"/>
            </c:ext>
          </c:extLst>
        </c:ser>
        <c:ser>
          <c:idx val="1"/>
          <c:order val="1"/>
          <c:tx>
            <c:strRef>
              <c:f>Sheet7!$G$2</c:f>
              <c:strCache>
                <c:ptCount val="1"/>
                <c:pt idx="0">
                  <c:v>Cycling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Sheet7!$C$3:$C$15</c:f>
              <c:strCache>
                <c:ptCount val="13"/>
                <c:pt idx="0">
                  <c:v>Cost to government of congestion</c:v>
                </c:pt>
                <c:pt idx="1">
                  <c:v>Cost of personal vs public transport</c:v>
                </c:pt>
                <c:pt idx="2">
                  <c:v>Effect on education outcomes</c:v>
                </c:pt>
                <c:pt idx="3">
                  <c:v>Proportion of the population that require assistance in transport</c:v>
                </c:pt>
                <c:pt idx="4">
                  <c:v>Proportion of time suffer from congestion</c:v>
                </c:pt>
                <c:pt idx="5">
                  <c:v>The rate of people who suffer from long commutes</c:v>
                </c:pt>
                <c:pt idx="6">
                  <c:v>Percentage of people achieving 10000 steps per day</c:v>
                </c:pt>
                <c:pt idx="7">
                  <c:v>Percentage of people who are required to achieve the mark</c:v>
                </c:pt>
                <c:pt idx="8">
                  <c:v>Incidents of vehicle safety in the last 12 months</c:v>
                </c:pt>
                <c:pt idx="9">
                  <c:v>Relative risk of transport method for the last 12 months</c:v>
                </c:pt>
                <c:pt idx="10">
                  <c:v>Proportion of households who have capacity to assist in transport</c:v>
                </c:pt>
                <c:pt idx="11">
                  <c:v>Proportion of people who have community obligations</c:v>
                </c:pt>
                <c:pt idx="12">
                  <c:v>Access to systems allowing access to systems to get help where needed.</c:v>
                </c:pt>
              </c:strCache>
            </c:strRef>
          </c:cat>
          <c:val>
            <c:numRef>
              <c:f>Sheet7!$G$3:$G$15</c:f>
              <c:numCache>
                <c:formatCode>General</c:formatCode>
                <c:ptCount val="13"/>
                <c:pt idx="0">
                  <c:v>0.25</c:v>
                </c:pt>
                <c:pt idx="1">
                  <c:v>0.8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0.25</c:v>
                </c:pt>
                <c:pt idx="10">
                  <c:v>0</c:v>
                </c:pt>
                <c:pt idx="11">
                  <c:v>0.31</c:v>
                </c:pt>
                <c:pt idx="1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10-4AD6-B144-A764BE41966A}"/>
            </c:ext>
          </c:extLst>
        </c:ser>
        <c:ser>
          <c:idx val="2"/>
          <c:order val="2"/>
          <c:tx>
            <c:strRef>
              <c:f>Sheet7!$H$2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Sheet7!$C$3:$C$15</c:f>
              <c:strCache>
                <c:ptCount val="13"/>
                <c:pt idx="0">
                  <c:v>Cost to government of congestion</c:v>
                </c:pt>
                <c:pt idx="1">
                  <c:v>Cost of personal vs public transport</c:v>
                </c:pt>
                <c:pt idx="2">
                  <c:v>Effect on education outcomes</c:v>
                </c:pt>
                <c:pt idx="3">
                  <c:v>Proportion of the population that require assistance in transport</c:v>
                </c:pt>
                <c:pt idx="4">
                  <c:v>Proportion of time suffer from congestion</c:v>
                </c:pt>
                <c:pt idx="5">
                  <c:v>The rate of people who suffer from long commutes</c:v>
                </c:pt>
                <c:pt idx="6">
                  <c:v>Percentage of people achieving 10000 steps per day</c:v>
                </c:pt>
                <c:pt idx="7">
                  <c:v>Percentage of people who are required to achieve the mark</c:v>
                </c:pt>
                <c:pt idx="8">
                  <c:v>Incidents of vehicle safety in the last 12 months</c:v>
                </c:pt>
                <c:pt idx="9">
                  <c:v>Relative risk of transport method for the last 12 months</c:v>
                </c:pt>
                <c:pt idx="10">
                  <c:v>Proportion of households who have capacity to assist in transport</c:v>
                </c:pt>
                <c:pt idx="11">
                  <c:v>Proportion of people who have community obligations</c:v>
                </c:pt>
                <c:pt idx="12">
                  <c:v>Access to systems allowing access to systems to get help where needed.</c:v>
                </c:pt>
              </c:strCache>
            </c:strRef>
          </c:cat>
          <c:val>
            <c:numRef>
              <c:f>Sheet7!$H$3:$H$15</c:f>
              <c:numCache>
                <c:formatCode>General</c:formatCode>
                <c:ptCount val="13"/>
                <c:pt idx="0">
                  <c:v>0.87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0.25</c:v>
                </c:pt>
                <c:pt idx="7">
                  <c:v>0.25</c:v>
                </c:pt>
                <c:pt idx="8">
                  <c:v>0</c:v>
                </c:pt>
                <c:pt idx="9">
                  <c:v>0.1</c:v>
                </c:pt>
                <c:pt idx="10">
                  <c:v>0</c:v>
                </c:pt>
                <c:pt idx="11">
                  <c:v>0.31</c:v>
                </c:pt>
                <c:pt idx="1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10-4AD6-B144-A764BE41966A}"/>
            </c:ext>
          </c:extLst>
        </c:ser>
        <c:ser>
          <c:idx val="3"/>
          <c:order val="3"/>
          <c:tx>
            <c:strRef>
              <c:f>Sheet7!$I$2</c:f>
              <c:strCache>
                <c:ptCount val="1"/>
                <c:pt idx="0">
                  <c:v>Carpooling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Sheet7!$C$3:$C$15</c:f>
              <c:strCache>
                <c:ptCount val="13"/>
                <c:pt idx="0">
                  <c:v>Cost to government of congestion</c:v>
                </c:pt>
                <c:pt idx="1">
                  <c:v>Cost of personal vs public transport</c:v>
                </c:pt>
                <c:pt idx="2">
                  <c:v>Effect on education outcomes</c:v>
                </c:pt>
                <c:pt idx="3">
                  <c:v>Proportion of the population that require assistance in transport</c:v>
                </c:pt>
                <c:pt idx="4">
                  <c:v>Proportion of time suffer from congestion</c:v>
                </c:pt>
                <c:pt idx="5">
                  <c:v>The rate of people who suffer from long commutes</c:v>
                </c:pt>
                <c:pt idx="6">
                  <c:v>Percentage of people achieving 10000 steps per day</c:v>
                </c:pt>
                <c:pt idx="7">
                  <c:v>Percentage of people who are required to achieve the mark</c:v>
                </c:pt>
                <c:pt idx="8">
                  <c:v>Incidents of vehicle safety in the last 12 months</c:v>
                </c:pt>
                <c:pt idx="9">
                  <c:v>Relative risk of transport method for the last 12 months</c:v>
                </c:pt>
                <c:pt idx="10">
                  <c:v>Proportion of households who have capacity to assist in transport</c:v>
                </c:pt>
                <c:pt idx="11">
                  <c:v>Proportion of people who have community obligations</c:v>
                </c:pt>
                <c:pt idx="12">
                  <c:v>Access to systems allowing access to systems to get help where needed.</c:v>
                </c:pt>
              </c:strCache>
            </c:strRef>
          </c:cat>
          <c:val>
            <c:numRef>
              <c:f>Sheet7!$I$3:$I$15</c:f>
              <c:numCache>
                <c:formatCode>General</c:formatCode>
                <c:ptCount val="13"/>
                <c:pt idx="0">
                  <c:v>0.5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0.5</c:v>
                </c:pt>
                <c:pt idx="5">
                  <c:v>0.5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0.25</c:v>
                </c:pt>
                <c:pt idx="11">
                  <c:v>0.66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10-4AD6-B144-A764BE41966A}"/>
            </c:ext>
          </c:extLst>
        </c:ser>
        <c:ser>
          <c:idx val="4"/>
          <c:order val="4"/>
          <c:tx>
            <c:strRef>
              <c:f>Sheet7!$J$2</c:f>
              <c:strCache>
                <c:ptCount val="1"/>
                <c:pt idx="0">
                  <c:v>Carpooling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Sheet7!$C$3:$C$15</c:f>
              <c:strCache>
                <c:ptCount val="13"/>
                <c:pt idx="0">
                  <c:v>Cost to government of congestion</c:v>
                </c:pt>
                <c:pt idx="1">
                  <c:v>Cost of personal vs public transport</c:v>
                </c:pt>
                <c:pt idx="2">
                  <c:v>Effect on education outcomes</c:v>
                </c:pt>
                <c:pt idx="3">
                  <c:v>Proportion of the population that require assistance in transport</c:v>
                </c:pt>
                <c:pt idx="4">
                  <c:v>Proportion of time suffer from congestion</c:v>
                </c:pt>
                <c:pt idx="5">
                  <c:v>The rate of people who suffer from long commutes</c:v>
                </c:pt>
                <c:pt idx="6">
                  <c:v>Percentage of people achieving 10000 steps per day</c:v>
                </c:pt>
                <c:pt idx="7">
                  <c:v>Percentage of people who are required to achieve the mark</c:v>
                </c:pt>
                <c:pt idx="8">
                  <c:v>Incidents of vehicle safety in the last 12 months</c:v>
                </c:pt>
                <c:pt idx="9">
                  <c:v>Relative risk of transport method for the last 12 months</c:v>
                </c:pt>
                <c:pt idx="10">
                  <c:v>Proportion of households who have capacity to assist in transport</c:v>
                </c:pt>
                <c:pt idx="11">
                  <c:v>Proportion of people who have community obligations</c:v>
                </c:pt>
                <c:pt idx="12">
                  <c:v>Access to systems allowing access to systems to get help where needed.</c:v>
                </c:pt>
              </c:strCache>
            </c:strRef>
          </c:cat>
          <c:val>
            <c:numRef>
              <c:f>Sheet7!$J$3:$J$15</c:f>
              <c:numCache>
                <c:formatCode>General</c:formatCode>
                <c:ptCount val="13"/>
                <c:pt idx="0">
                  <c:v>0.33</c:v>
                </c:pt>
                <c:pt idx="1">
                  <c:v>0.33</c:v>
                </c:pt>
                <c:pt idx="2">
                  <c:v>0.8</c:v>
                </c:pt>
                <c:pt idx="3">
                  <c:v>1</c:v>
                </c:pt>
                <c:pt idx="4">
                  <c:v>0.33</c:v>
                </c:pt>
                <c:pt idx="5">
                  <c:v>0.33</c:v>
                </c:pt>
                <c:pt idx="6">
                  <c:v>0</c:v>
                </c:pt>
                <c:pt idx="7">
                  <c:v>0</c:v>
                </c:pt>
                <c:pt idx="8">
                  <c:v>0.33</c:v>
                </c:pt>
                <c:pt idx="9">
                  <c:v>0.33</c:v>
                </c:pt>
                <c:pt idx="10">
                  <c:v>0.16500000000000001</c:v>
                </c:pt>
                <c:pt idx="11">
                  <c:v>0.99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10-4AD6-B144-A764BE419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478072"/>
        <c:axId val="605478392"/>
      </c:radarChart>
      <c:catAx>
        <c:axId val="605478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478392"/>
        <c:crosses val="autoZero"/>
        <c:auto val="1"/>
        <c:lblAlgn val="ctr"/>
        <c:lblOffset val="100"/>
        <c:noMultiLvlLbl val="0"/>
      </c:catAx>
      <c:valAx>
        <c:axId val="60547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47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Sheet3!$C$5</c:f>
              <c:strCache>
                <c:ptCount val="1"/>
                <c:pt idx="0">
                  <c:v>Petrie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Sheet3!$D$3:$I$3</c:f>
              <c:strCache>
                <c:ptCount val="6"/>
                <c:pt idx="0">
                  <c:v>Baseline Cost</c:v>
                </c:pt>
                <c:pt idx="1">
                  <c:v>Car</c:v>
                </c:pt>
                <c:pt idx="2">
                  <c:v>Cycling</c:v>
                </c:pt>
                <c:pt idx="3">
                  <c:v>Train</c:v>
                </c:pt>
                <c:pt idx="4">
                  <c:v>Carpooling (1)</c:v>
                </c:pt>
                <c:pt idx="5">
                  <c:v>Carpooling (2)</c:v>
                </c:pt>
              </c:strCache>
            </c:strRef>
          </c:cat>
          <c:val>
            <c:numRef>
              <c:f>Sheet3!$D$5:$I$5</c:f>
              <c:numCache>
                <c:formatCode>0%</c:formatCode>
                <c:ptCount val="6"/>
                <c:pt idx="0" formatCode="General">
                  <c:v>1</c:v>
                </c:pt>
                <c:pt idx="1">
                  <c:v>1</c:v>
                </c:pt>
                <c:pt idx="2">
                  <c:v>-2.2307594596383886</c:v>
                </c:pt>
                <c:pt idx="3">
                  <c:v>-1.8576825285600607</c:v>
                </c:pt>
                <c:pt idx="4">
                  <c:v>-1.3925045310167685</c:v>
                </c:pt>
                <c:pt idx="5">
                  <c:v>-2.9805233686901746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96-4574-AB6A-C3D198F34D24}"/>
            </c:ext>
          </c:extLst>
        </c:ser>
        <c:ser>
          <c:idx val="1"/>
          <c:order val="1"/>
          <c:tx>
            <c:strRef>
              <c:f>Sheet3!$C$6</c:f>
              <c:strCache>
                <c:ptCount val="1"/>
                <c:pt idx="0">
                  <c:v>Eightmile Plains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Sheet3!$D$3:$I$3</c:f>
              <c:strCache>
                <c:ptCount val="6"/>
                <c:pt idx="0">
                  <c:v>Baseline Cost</c:v>
                </c:pt>
                <c:pt idx="1">
                  <c:v>Car</c:v>
                </c:pt>
                <c:pt idx="2">
                  <c:v>Cycling</c:v>
                </c:pt>
                <c:pt idx="3">
                  <c:v>Train</c:v>
                </c:pt>
                <c:pt idx="4">
                  <c:v>Carpooling (1)</c:v>
                </c:pt>
                <c:pt idx="5">
                  <c:v>Carpooling (2)</c:v>
                </c:pt>
              </c:strCache>
            </c:strRef>
          </c:cat>
          <c:val>
            <c:numRef>
              <c:f>Sheet3!$D$6:$I$6</c:f>
              <c:numCache>
                <c:formatCode>0%</c:formatCode>
                <c:ptCount val="6"/>
                <c:pt idx="0" formatCode="General">
                  <c:v>1</c:v>
                </c:pt>
                <c:pt idx="1">
                  <c:v>1</c:v>
                </c:pt>
                <c:pt idx="2">
                  <c:v>-0.21169373693577609</c:v>
                </c:pt>
                <c:pt idx="3">
                  <c:v>-1.545398829258926E-2</c:v>
                </c:pt>
                <c:pt idx="4">
                  <c:v>1.2160481117781452E-2</c:v>
                </c:pt>
                <c:pt idx="5">
                  <c:v>-0.57036857489344706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96-4574-AB6A-C3D198F34D24}"/>
            </c:ext>
          </c:extLst>
        </c:ser>
        <c:ser>
          <c:idx val="2"/>
          <c:order val="2"/>
          <c:tx>
            <c:strRef>
              <c:f>Sheet3!$C$7</c:f>
              <c:strCache>
                <c:ptCount val="1"/>
                <c:pt idx="0">
                  <c:v>Coorparoo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Sheet3!$D$3:$I$3</c:f>
              <c:strCache>
                <c:ptCount val="6"/>
                <c:pt idx="0">
                  <c:v>Baseline Cost</c:v>
                </c:pt>
                <c:pt idx="1">
                  <c:v>Car</c:v>
                </c:pt>
                <c:pt idx="2">
                  <c:v>Cycling</c:v>
                </c:pt>
                <c:pt idx="3">
                  <c:v>Train</c:v>
                </c:pt>
                <c:pt idx="4">
                  <c:v>Carpooling (1)</c:v>
                </c:pt>
                <c:pt idx="5">
                  <c:v>Carpooling (2)</c:v>
                </c:pt>
              </c:strCache>
            </c:strRef>
          </c:cat>
          <c:val>
            <c:numRef>
              <c:f>Sheet3!$D$7:$I$7</c:f>
              <c:numCache>
                <c:formatCode>0%</c:formatCode>
                <c:ptCount val="6"/>
                <c:pt idx="0" formatCode="General">
                  <c:v>1</c:v>
                </c:pt>
                <c:pt idx="1">
                  <c:v>1</c:v>
                </c:pt>
                <c:pt idx="2">
                  <c:v>0.35812514627335212</c:v>
                </c:pt>
                <c:pt idx="3">
                  <c:v>0.52047873171980341</c:v>
                </c:pt>
                <c:pt idx="4">
                  <c:v>0.58260958381738248</c:v>
                </c:pt>
                <c:pt idx="5">
                  <c:v>5.4923818815890812E-2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96-4574-AB6A-C3D198F34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51108280"/>
        <c:axId val="313396920"/>
      </c:barChart>
      <c:catAx>
        <c:axId val="55110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396920"/>
        <c:crosses val="autoZero"/>
        <c:auto val="1"/>
        <c:lblAlgn val="ctr"/>
        <c:lblOffset val="100"/>
        <c:noMultiLvlLbl val="0"/>
      </c:catAx>
      <c:valAx>
        <c:axId val="31339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0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978695</xdr:colOff>
      <xdr:row>16</xdr:row>
      <xdr:rowOff>42863</xdr:rowOff>
    </xdr:from>
    <xdr:to>
      <xdr:col>9</xdr:col>
      <xdr:colOff>533400</xdr:colOff>
      <xdr:row>43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493F5F-DE09-4D00-9612-E681F49AD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159543</xdr:colOff>
      <xdr:row>7</xdr:row>
      <xdr:rowOff>152399</xdr:rowOff>
    </xdr:from>
    <xdr:to>
      <xdr:col>14</xdr:col>
      <xdr:colOff>504825</xdr:colOff>
      <xdr:row>29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E4BDFE-8E4E-4F31-B565-AB3508EDC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tf.org.au/wp-content/uploads/2018/06/TTF-LEK-Public-Transport-Barometer.pdf" TargetMode="External"/><Relationship Id="rId1" Type="http://schemas.openxmlformats.org/officeDocument/2006/relationships/hyperlink" Target="https://www.abs.gov.au/ausstats/abs@.nsf/Lookup/by%20Subject/2071.0.55.001~2016~Main%20Features~Commuting%20Distance%20for%20Australia~1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tf.org.au/wp-content/uploads/2018/06/TTF-LEK-Public-Transport-Barometer.pdf" TargetMode="External"/><Relationship Id="rId1" Type="http://schemas.openxmlformats.org/officeDocument/2006/relationships/hyperlink" Target="https://www.abs.gov.au/ausstats/abs@.nsf/Lookup/by%20Subject/2071.0.55.001~2016~Main%20Features~Commuting%20Distance%20for%20Australia~1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tf.org.au/wp-content/uploads/2018/06/TTF-LEK-Public-Transport-Barometer.pdf" TargetMode="External"/><Relationship Id="rId1" Type="http://schemas.openxmlformats.org/officeDocument/2006/relationships/hyperlink" Target="https://www.abs.gov.au/ausstats/abs@.nsf/Lookup/by%20Subject/2071.0.55.001~2016~Main%20Features~Commuting%20Distance%20for%20Australia~1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tf.org.au/wp-content/uploads/2018/06/TTF-LEK-Public-Transport-Barometer.pdf" TargetMode="External"/><Relationship Id="rId1" Type="http://schemas.openxmlformats.org/officeDocument/2006/relationships/hyperlink" Target="https://www.abs.gov.au/ausstats/abs@.nsf/Lookup/by%20Subject/2071.0.55.001~2016~Main%20Features~Commuting%20Distance%20for%20Australia~1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B23" sqref="B23"/>
    </sheetView>
  </sheetViews>
  <sheetFormatPr defaultRowHeight="14.25" x14ac:dyDescent="0.45"/>
  <cols>
    <col min="3" max="3" width="11.73046875" bestFit="1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45">
      <c r="A2">
        <v>2013</v>
      </c>
      <c r="B2">
        <v>79.599999999999994</v>
      </c>
      <c r="C2">
        <v>78.7</v>
      </c>
      <c r="D2">
        <v>86.7</v>
      </c>
      <c r="E2">
        <v>82.9</v>
      </c>
      <c r="F2">
        <v>79.7</v>
      </c>
      <c r="G2">
        <v>81.5</v>
      </c>
      <c r="H2">
        <v>80.099999999999994</v>
      </c>
      <c r="I2">
        <v>80.099999999999994</v>
      </c>
    </row>
    <row r="3" spans="1:9" x14ac:dyDescent="0.45">
      <c r="A3">
        <v>2014</v>
      </c>
      <c r="B3">
        <v>79.400000000000006</v>
      </c>
      <c r="C3">
        <v>78.7</v>
      </c>
      <c r="D3">
        <v>86.7</v>
      </c>
      <c r="E3">
        <v>82.8</v>
      </c>
      <c r="F3">
        <v>79.400000000000006</v>
      </c>
      <c r="G3">
        <v>81.099999999999994</v>
      </c>
      <c r="H3">
        <v>81.400000000000006</v>
      </c>
      <c r="I3">
        <v>79.3</v>
      </c>
    </row>
    <row r="4" spans="1:9" x14ac:dyDescent="0.45">
      <c r="A4">
        <v>2015</v>
      </c>
      <c r="B4">
        <v>79.8</v>
      </c>
      <c r="C4">
        <v>78.7</v>
      </c>
      <c r="D4">
        <v>87.3</v>
      </c>
      <c r="E4">
        <v>82.9</v>
      </c>
      <c r="F4">
        <v>79.7</v>
      </c>
      <c r="G4">
        <v>81.599999999999994</v>
      </c>
      <c r="H4">
        <v>81.099999999999994</v>
      </c>
      <c r="I4">
        <v>78.8</v>
      </c>
    </row>
    <row r="5" spans="1:9" x14ac:dyDescent="0.45">
      <c r="A5">
        <v>2016</v>
      </c>
      <c r="B5">
        <v>79.400000000000006</v>
      </c>
      <c r="C5">
        <v>78.099999999999994</v>
      </c>
      <c r="D5">
        <v>86.9</v>
      </c>
      <c r="E5">
        <v>83.1</v>
      </c>
      <c r="F5">
        <v>79.3</v>
      </c>
      <c r="G5">
        <v>82.3</v>
      </c>
      <c r="H5">
        <v>81.3</v>
      </c>
      <c r="I5">
        <v>79.7</v>
      </c>
    </row>
    <row r="6" spans="1:9" x14ac:dyDescent="0.45">
      <c r="A6">
        <v>2017</v>
      </c>
      <c r="B6">
        <v>78.400000000000006</v>
      </c>
      <c r="C6">
        <v>75.400000000000006</v>
      </c>
      <c r="D6">
        <v>85.7</v>
      </c>
      <c r="E6">
        <v>81.8</v>
      </c>
      <c r="F6">
        <v>77.5</v>
      </c>
      <c r="G6">
        <v>81</v>
      </c>
      <c r="H6">
        <v>81.2</v>
      </c>
      <c r="I6">
        <v>81.099999999999994</v>
      </c>
    </row>
    <row r="7" spans="1:9" x14ac:dyDescent="0.45">
      <c r="A7">
        <v>2018</v>
      </c>
      <c r="B7">
        <v>77.3</v>
      </c>
      <c r="C7">
        <v>74.099999999999994</v>
      </c>
      <c r="D7">
        <v>83.8</v>
      </c>
      <c r="E7">
        <v>80</v>
      </c>
      <c r="F7">
        <v>76.3</v>
      </c>
      <c r="G7">
        <v>80.5</v>
      </c>
      <c r="H7">
        <v>80.599999999999994</v>
      </c>
      <c r="I7">
        <v>80.5</v>
      </c>
    </row>
    <row r="8" spans="1:9" x14ac:dyDescent="0.45">
      <c r="A8">
        <v>2018</v>
      </c>
      <c r="B8">
        <f>((B6-B7)/B7)</f>
        <v>1.423027166882288E-2</v>
      </c>
      <c r="C8">
        <f t="shared" ref="C8:I8" si="0">C6-C7</f>
        <v>1.3000000000000114</v>
      </c>
      <c r="D8">
        <f t="shared" si="0"/>
        <v>1.9000000000000057</v>
      </c>
      <c r="E8">
        <f t="shared" si="0"/>
        <v>1.7999999999999972</v>
      </c>
      <c r="F8">
        <f t="shared" si="0"/>
        <v>1.2000000000000028</v>
      </c>
      <c r="G8">
        <f t="shared" si="0"/>
        <v>0.5</v>
      </c>
      <c r="H8">
        <f t="shared" si="0"/>
        <v>0.60000000000000853</v>
      </c>
      <c r="I8">
        <f t="shared" si="0"/>
        <v>0.59999999999999432</v>
      </c>
    </row>
    <row r="18" spans="3:5" x14ac:dyDescent="0.45">
      <c r="C18">
        <f>27000000000/10000000</f>
        <v>2700</v>
      </c>
    </row>
    <row r="20" spans="3:5" x14ac:dyDescent="0.45">
      <c r="C20" t="s">
        <v>9</v>
      </c>
      <c r="D20" s="1">
        <v>18007767</v>
      </c>
    </row>
    <row r="21" spans="3:5" x14ac:dyDescent="0.45">
      <c r="C21" t="s">
        <v>10</v>
      </c>
      <c r="D21">
        <f>D20*0.698</f>
        <v>12569421.365999999</v>
      </c>
      <c r="E21" t="s">
        <v>11</v>
      </c>
    </row>
    <row r="22" spans="3:5" x14ac:dyDescent="0.45">
      <c r="C22">
        <v>16500000000</v>
      </c>
      <c r="D22">
        <f>C22/D21</f>
        <v>1312.7095925538886</v>
      </c>
      <c r="E22">
        <f>D22/200</f>
        <v>6.5635479627694426</v>
      </c>
    </row>
    <row r="24" spans="3:5" x14ac:dyDescent="0.45">
      <c r="C24" t="s">
        <v>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5"/>
  <sheetViews>
    <sheetView topLeftCell="G1" workbookViewId="0">
      <selection activeCell="S3" sqref="S3"/>
    </sheetView>
  </sheetViews>
  <sheetFormatPr defaultRowHeight="14.25" x14ac:dyDescent="0.45"/>
  <cols>
    <col min="2" max="2" width="18.1328125" bestFit="1" customWidth="1"/>
    <col min="9" max="10" width="10.6640625" bestFit="1" customWidth="1"/>
    <col min="13" max="13" width="18.1328125" bestFit="1" customWidth="1"/>
  </cols>
  <sheetData>
    <row r="2" spans="2:20" x14ac:dyDescent="0.45">
      <c r="B2" t="s">
        <v>69</v>
      </c>
      <c r="F2" t="s">
        <v>43</v>
      </c>
      <c r="G2" t="s">
        <v>44</v>
      </c>
      <c r="H2" t="s">
        <v>45</v>
      </c>
      <c r="I2" t="s">
        <v>70</v>
      </c>
      <c r="J2" t="s">
        <v>62</v>
      </c>
      <c r="K2" t="s">
        <v>72</v>
      </c>
      <c r="L2" t="s">
        <v>71</v>
      </c>
      <c r="N2" t="s">
        <v>43</v>
      </c>
      <c r="O2" t="s">
        <v>44</v>
      </c>
      <c r="P2" t="s">
        <v>45</v>
      </c>
      <c r="Q2" t="s">
        <v>70</v>
      </c>
      <c r="R2" t="s">
        <v>62</v>
      </c>
      <c r="S2" t="s">
        <v>73</v>
      </c>
      <c r="T2" t="s">
        <v>74</v>
      </c>
    </row>
    <row r="3" spans="2:20" x14ac:dyDescent="0.45">
      <c r="B3" t="s">
        <v>13</v>
      </c>
      <c r="C3" t="s">
        <v>20</v>
      </c>
      <c r="F3">
        <v>1</v>
      </c>
      <c r="G3">
        <v>0.25</v>
      </c>
      <c r="H3">
        <v>0.87</v>
      </c>
      <c r="I3">
        <v>0.5</v>
      </c>
      <c r="J3">
        <v>0.33</v>
      </c>
      <c r="K3">
        <f>F3</f>
        <v>1</v>
      </c>
      <c r="M3" t="s">
        <v>13</v>
      </c>
      <c r="N3">
        <v>0</v>
      </c>
      <c r="O3">
        <f>1-G3</f>
        <v>0.75</v>
      </c>
      <c r="P3">
        <f t="shared" ref="P3:S3" si="0">1-H3</f>
        <v>0.13</v>
      </c>
      <c r="Q3">
        <f t="shared" si="0"/>
        <v>0.5</v>
      </c>
      <c r="R3">
        <f t="shared" si="0"/>
        <v>0.66999999999999993</v>
      </c>
      <c r="S3">
        <f>N3-P3</f>
        <v>-0.13</v>
      </c>
    </row>
    <row r="4" spans="2:20" x14ac:dyDescent="0.45">
      <c r="B4" t="s">
        <v>13</v>
      </c>
      <c r="C4" t="s">
        <v>21</v>
      </c>
      <c r="F4">
        <v>0</v>
      </c>
      <c r="G4">
        <v>0.8</v>
      </c>
      <c r="H4">
        <v>0.5</v>
      </c>
      <c r="I4">
        <v>0.5</v>
      </c>
      <c r="J4">
        <v>0.33</v>
      </c>
      <c r="M4" t="s">
        <v>14</v>
      </c>
      <c r="N4">
        <v>0</v>
      </c>
      <c r="O4">
        <v>1</v>
      </c>
      <c r="P4">
        <v>0.5</v>
      </c>
      <c r="Q4">
        <v>0.75</v>
      </c>
      <c r="R4">
        <v>0.8</v>
      </c>
      <c r="S4">
        <f>P4-N4</f>
        <v>0.5</v>
      </c>
    </row>
    <row r="5" spans="2:20" x14ac:dyDescent="0.45">
      <c r="B5" t="s">
        <v>14</v>
      </c>
      <c r="C5" t="s">
        <v>22</v>
      </c>
      <c r="F5">
        <v>0</v>
      </c>
      <c r="G5">
        <v>1</v>
      </c>
      <c r="H5">
        <v>0.5</v>
      </c>
      <c r="I5">
        <v>0.75</v>
      </c>
      <c r="J5">
        <v>0.8</v>
      </c>
      <c r="M5" t="s">
        <v>15</v>
      </c>
      <c r="N5">
        <v>1</v>
      </c>
      <c r="O5">
        <v>0</v>
      </c>
      <c r="P5">
        <v>0</v>
      </c>
      <c r="Q5">
        <v>0.5</v>
      </c>
      <c r="R5">
        <v>0.33</v>
      </c>
      <c r="S5">
        <f>P5-N5</f>
        <v>-1</v>
      </c>
    </row>
    <row r="6" spans="2:20" x14ac:dyDescent="0.45">
      <c r="B6" t="s">
        <v>14</v>
      </c>
      <c r="C6" t="s">
        <v>23</v>
      </c>
      <c r="F6">
        <v>0</v>
      </c>
      <c r="G6">
        <v>0</v>
      </c>
      <c r="H6">
        <v>1</v>
      </c>
      <c r="I6">
        <v>1</v>
      </c>
      <c r="J6">
        <v>1</v>
      </c>
      <c r="M6" t="s">
        <v>16</v>
      </c>
      <c r="N6">
        <v>0</v>
      </c>
      <c r="O6">
        <v>1</v>
      </c>
      <c r="P6">
        <v>0.25</v>
      </c>
      <c r="Q6">
        <v>0</v>
      </c>
      <c r="R6">
        <v>0</v>
      </c>
      <c r="S6">
        <f t="shared" ref="S4:S9" si="1">N6-P6</f>
        <v>-0.25</v>
      </c>
    </row>
    <row r="7" spans="2:20" x14ac:dyDescent="0.45">
      <c r="B7" t="s">
        <v>15</v>
      </c>
      <c r="C7" t="s">
        <v>35</v>
      </c>
      <c r="F7">
        <v>0</v>
      </c>
      <c r="G7">
        <v>1</v>
      </c>
      <c r="H7">
        <v>1</v>
      </c>
      <c r="I7">
        <v>0.5</v>
      </c>
      <c r="J7">
        <v>0.33</v>
      </c>
      <c r="M7" t="s">
        <v>17</v>
      </c>
      <c r="N7">
        <v>1</v>
      </c>
      <c r="O7">
        <v>0.25</v>
      </c>
      <c r="P7">
        <v>0.1</v>
      </c>
      <c r="Q7">
        <v>0.5</v>
      </c>
      <c r="R7">
        <v>0.33</v>
      </c>
      <c r="S7">
        <f t="shared" si="1"/>
        <v>0.9</v>
      </c>
    </row>
    <row r="8" spans="2:20" x14ac:dyDescent="0.45">
      <c r="B8" t="s">
        <v>15</v>
      </c>
      <c r="C8" t="s">
        <v>24</v>
      </c>
      <c r="F8">
        <v>1</v>
      </c>
      <c r="G8">
        <v>0</v>
      </c>
      <c r="H8">
        <v>0</v>
      </c>
      <c r="I8">
        <v>0.5</v>
      </c>
      <c r="J8">
        <v>0.33</v>
      </c>
      <c r="M8" t="s">
        <v>18</v>
      </c>
      <c r="N8">
        <v>0.5</v>
      </c>
      <c r="O8">
        <v>0</v>
      </c>
      <c r="P8">
        <v>0</v>
      </c>
      <c r="Q8">
        <v>0.25</v>
      </c>
      <c r="R8">
        <f>0.33/2</f>
        <v>0.16500000000000001</v>
      </c>
      <c r="S8">
        <f t="shared" si="1"/>
        <v>0.5</v>
      </c>
    </row>
    <row r="9" spans="2:20" x14ac:dyDescent="0.45">
      <c r="B9" t="s">
        <v>16</v>
      </c>
      <c r="C9" t="s">
        <v>25</v>
      </c>
      <c r="F9">
        <v>0</v>
      </c>
      <c r="G9">
        <v>1</v>
      </c>
      <c r="H9">
        <v>0.25</v>
      </c>
      <c r="I9">
        <v>0</v>
      </c>
      <c r="J9">
        <v>0</v>
      </c>
      <c r="M9" t="s">
        <v>19</v>
      </c>
      <c r="N9">
        <v>1</v>
      </c>
      <c r="O9">
        <v>0.5</v>
      </c>
      <c r="P9">
        <v>0.5</v>
      </c>
      <c r="Q9">
        <v>1</v>
      </c>
      <c r="R9">
        <v>1</v>
      </c>
      <c r="S9">
        <f t="shared" si="1"/>
        <v>0.5</v>
      </c>
    </row>
    <row r="10" spans="2:20" x14ac:dyDescent="0.45">
      <c r="B10" t="s">
        <v>16</v>
      </c>
      <c r="C10" t="s">
        <v>26</v>
      </c>
      <c r="F10">
        <v>0</v>
      </c>
      <c r="G10">
        <v>1</v>
      </c>
      <c r="H10">
        <v>0.25</v>
      </c>
      <c r="I10">
        <v>0</v>
      </c>
      <c r="J10">
        <v>0</v>
      </c>
    </row>
    <row r="11" spans="2:20" x14ac:dyDescent="0.45">
      <c r="B11" t="s">
        <v>17</v>
      </c>
      <c r="C11" t="s">
        <v>27</v>
      </c>
      <c r="F11">
        <v>1</v>
      </c>
      <c r="G11">
        <v>0</v>
      </c>
      <c r="H11">
        <v>0</v>
      </c>
      <c r="I11">
        <v>0.5</v>
      </c>
      <c r="J11">
        <v>0.33</v>
      </c>
    </row>
    <row r="12" spans="2:20" x14ac:dyDescent="0.45">
      <c r="B12" t="s">
        <v>17</v>
      </c>
      <c r="C12" t="s">
        <v>28</v>
      </c>
      <c r="F12">
        <v>1</v>
      </c>
      <c r="G12">
        <v>0.25</v>
      </c>
      <c r="H12">
        <v>0.1</v>
      </c>
      <c r="I12">
        <v>0.5</v>
      </c>
      <c r="J12">
        <v>0.33</v>
      </c>
    </row>
    <row r="13" spans="2:20" x14ac:dyDescent="0.45">
      <c r="B13" t="s">
        <v>18</v>
      </c>
      <c r="C13" t="s">
        <v>29</v>
      </c>
      <c r="F13">
        <v>0.5</v>
      </c>
      <c r="G13">
        <v>0</v>
      </c>
      <c r="H13">
        <v>0</v>
      </c>
      <c r="I13">
        <v>0.25</v>
      </c>
      <c r="J13">
        <f>0.33/2</f>
        <v>0.16500000000000001</v>
      </c>
    </row>
    <row r="14" spans="2:20" x14ac:dyDescent="0.45">
      <c r="B14" t="s">
        <v>18</v>
      </c>
      <c r="C14" t="s">
        <v>30</v>
      </c>
      <c r="F14">
        <v>0.31</v>
      </c>
      <c r="G14">
        <v>0.31</v>
      </c>
      <c r="H14">
        <v>0.31</v>
      </c>
      <c r="I14">
        <f>2*0.33</f>
        <v>0.66</v>
      </c>
      <c r="J14">
        <f>3*0.33</f>
        <v>0.99</v>
      </c>
    </row>
    <row r="15" spans="2:20" x14ac:dyDescent="0.45">
      <c r="B15" t="s">
        <v>19</v>
      </c>
      <c r="C15" t="s">
        <v>31</v>
      </c>
      <c r="F15">
        <v>1</v>
      </c>
      <c r="G15">
        <v>0.5</v>
      </c>
      <c r="H15">
        <v>0.5</v>
      </c>
      <c r="I15">
        <v>1</v>
      </c>
      <c r="J15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"/>
  <sheetViews>
    <sheetView workbookViewId="0">
      <selection activeCell="A2" sqref="A2:B14"/>
    </sheetView>
  </sheetViews>
  <sheetFormatPr defaultRowHeight="14.25" x14ac:dyDescent="0.45"/>
  <cols>
    <col min="2" max="2" width="57.9296875" bestFit="1" customWidth="1"/>
    <col min="3" max="3" width="11.73046875" bestFit="1" customWidth="1"/>
    <col min="16" max="16" width="11.33203125" bestFit="1" customWidth="1"/>
    <col min="17" max="18" width="12.33203125" bestFit="1" customWidth="1"/>
    <col min="19" max="19" width="11.33203125" bestFit="1" customWidth="1"/>
    <col min="20" max="20" width="12.33203125" bestFit="1" customWidth="1"/>
    <col min="22" max="23" width="12.33203125" bestFit="1" customWidth="1"/>
    <col min="25" max="26" width="12.33203125" bestFit="1" customWidth="1"/>
  </cols>
  <sheetData>
    <row r="1" spans="1:22" x14ac:dyDescent="0.45">
      <c r="B1">
        <v>2015</v>
      </c>
      <c r="C1" t="s">
        <v>32</v>
      </c>
      <c r="D1" t="s">
        <v>33</v>
      </c>
      <c r="E1" t="s">
        <v>34</v>
      </c>
      <c r="F1" t="s">
        <v>53</v>
      </c>
      <c r="G1" t="s">
        <v>53</v>
      </c>
      <c r="H1" t="s">
        <v>50</v>
      </c>
      <c r="I1" t="s">
        <v>51</v>
      </c>
      <c r="J1" t="s">
        <v>47</v>
      </c>
      <c r="K1" t="s">
        <v>49</v>
      </c>
      <c r="L1" t="s">
        <v>52</v>
      </c>
      <c r="N1" t="s">
        <v>42</v>
      </c>
      <c r="O1" t="s">
        <v>43</v>
      </c>
      <c r="P1" t="s">
        <v>44</v>
      </c>
      <c r="Q1" t="s">
        <v>45</v>
      </c>
      <c r="R1" t="s">
        <v>56</v>
      </c>
      <c r="S1" t="s">
        <v>58</v>
      </c>
    </row>
    <row r="2" spans="1:22" x14ac:dyDescent="0.45">
      <c r="A2" t="s">
        <v>13</v>
      </c>
      <c r="B2" t="s">
        <v>20</v>
      </c>
      <c r="C2">
        <v>16500000000</v>
      </c>
      <c r="D2">
        <v>6.5</v>
      </c>
      <c r="H2">
        <v>66</v>
      </c>
      <c r="I2">
        <f>D2/H2</f>
        <v>9.8484848484848481E-2</v>
      </c>
      <c r="J2" t="s">
        <v>48</v>
      </c>
      <c r="K2">
        <v>16</v>
      </c>
      <c r="L2">
        <f>D2/K2</f>
        <v>0.40625</v>
      </c>
      <c r="N2" s="3">
        <v>7.6899999999999996E-2</v>
      </c>
      <c r="O2">
        <f>I2*O15</f>
        <v>3.4469696969696968</v>
      </c>
      <c r="R2">
        <f>(I2*R$15)/(S$2+1)</f>
        <v>1.4772727272727273</v>
      </c>
      <c r="S2">
        <v>2</v>
      </c>
    </row>
    <row r="3" spans="1:22" x14ac:dyDescent="0.45">
      <c r="B3" t="s">
        <v>21</v>
      </c>
      <c r="D3">
        <v>5543</v>
      </c>
      <c r="E3">
        <v>8328</v>
      </c>
      <c r="F3">
        <f>D3/240</f>
        <v>23.095833333333335</v>
      </c>
      <c r="G3">
        <f>E3/240</f>
        <v>34.700000000000003</v>
      </c>
      <c r="H3">
        <f>F3</f>
        <v>23.095833333333335</v>
      </c>
      <c r="I3">
        <f>H3/H2</f>
        <v>0.34993686868686869</v>
      </c>
      <c r="J3" s="6" t="s">
        <v>54</v>
      </c>
      <c r="L3">
        <f>F3/16</f>
        <v>1.4434895833333334</v>
      </c>
      <c r="N3" s="3">
        <v>7.6899999999999996E-2</v>
      </c>
      <c r="O3">
        <f>I3*O15</f>
        <v>12.247790404040405</v>
      </c>
      <c r="P3">
        <f>-H3</f>
        <v>-23.095833333333335</v>
      </c>
      <c r="Q3">
        <f>-H3/2</f>
        <v>-11.547916666666667</v>
      </c>
      <c r="R3">
        <f>(I3*R$15)+(P3*S2)</f>
        <v>-30.44450757575758</v>
      </c>
    </row>
    <row r="4" spans="1:22" x14ac:dyDescent="0.45">
      <c r="A4" t="s">
        <v>14</v>
      </c>
      <c r="B4" t="s">
        <v>22</v>
      </c>
      <c r="C4" s="2">
        <v>0.12</v>
      </c>
      <c r="N4" s="3">
        <v>7.6899999999999996E-2</v>
      </c>
      <c r="O4">
        <v>76.900000000000006</v>
      </c>
    </row>
    <row r="5" spans="1:22" x14ac:dyDescent="0.45">
      <c r="B5" t="s">
        <v>23</v>
      </c>
      <c r="C5" s="2">
        <v>0.04</v>
      </c>
      <c r="N5" s="3">
        <v>7.6899999999999996E-2</v>
      </c>
      <c r="O5" s="2">
        <v>0.96</v>
      </c>
    </row>
    <row r="6" spans="1:22" x14ac:dyDescent="0.45">
      <c r="A6" t="s">
        <v>15</v>
      </c>
      <c r="B6" t="s">
        <v>35</v>
      </c>
      <c r="C6" s="2">
        <v>0.27</v>
      </c>
      <c r="N6" s="3">
        <v>7.6899999999999996E-2</v>
      </c>
      <c r="O6">
        <f>O15*(1+C6)</f>
        <v>44.45</v>
      </c>
    </row>
    <row r="7" spans="1:22" x14ac:dyDescent="0.45">
      <c r="B7" t="s">
        <v>24</v>
      </c>
      <c r="C7" s="2">
        <v>0.41</v>
      </c>
      <c r="N7" s="3">
        <v>7.6899999999999996E-2</v>
      </c>
      <c r="O7" s="2">
        <f>C7</f>
        <v>0.41</v>
      </c>
    </row>
    <row r="8" spans="1:22" x14ac:dyDescent="0.45">
      <c r="A8" t="s">
        <v>16</v>
      </c>
      <c r="B8" t="s">
        <v>25</v>
      </c>
      <c r="C8" s="3">
        <v>0.55500000000000005</v>
      </c>
      <c r="N8" s="3">
        <v>7.6899999999999996E-2</v>
      </c>
    </row>
    <row r="9" spans="1:22" x14ac:dyDescent="0.45">
      <c r="B9" t="s">
        <v>26</v>
      </c>
      <c r="C9" s="2">
        <v>0.8</v>
      </c>
      <c r="N9" s="3">
        <v>7.6899999999999996E-2</v>
      </c>
    </row>
    <row r="10" spans="1:22" x14ac:dyDescent="0.45">
      <c r="A10" t="s">
        <v>17</v>
      </c>
      <c r="B10" t="s">
        <v>27</v>
      </c>
      <c r="C10">
        <v>29700000000</v>
      </c>
      <c r="D10">
        <v>6597608</v>
      </c>
      <c r="E10">
        <f>C10/D10</f>
        <v>4501.631500386201</v>
      </c>
      <c r="N10" s="3">
        <v>7.6899999999999996E-2</v>
      </c>
    </row>
    <row r="11" spans="1:22" x14ac:dyDescent="0.45">
      <c r="B11" t="s">
        <v>28</v>
      </c>
      <c r="C11" s="5">
        <f>4.91/100000</f>
        <v>4.9100000000000001E-5</v>
      </c>
      <c r="D11">
        <f>4.9/0.02</f>
        <v>245</v>
      </c>
      <c r="N11" s="3">
        <v>7.6899999999999996E-2</v>
      </c>
    </row>
    <row r="12" spans="1:22" x14ac:dyDescent="0.45">
      <c r="A12" t="s">
        <v>18</v>
      </c>
      <c r="B12" t="s">
        <v>29</v>
      </c>
      <c r="C12" s="2">
        <v>0.5</v>
      </c>
      <c r="N12" s="3">
        <v>7.6899999999999996E-2</v>
      </c>
      <c r="V12" t="s">
        <v>59</v>
      </c>
    </row>
    <row r="13" spans="1:22" x14ac:dyDescent="0.45">
      <c r="B13" t="s">
        <v>30</v>
      </c>
      <c r="C13" s="2">
        <v>0.31</v>
      </c>
      <c r="N13" s="3">
        <v>7.6899999999999996E-2</v>
      </c>
    </row>
    <row r="14" spans="1:22" x14ac:dyDescent="0.45">
      <c r="A14" t="s">
        <v>19</v>
      </c>
      <c r="B14" t="s">
        <v>31</v>
      </c>
      <c r="C14" s="2">
        <v>0.88</v>
      </c>
      <c r="N14" s="3">
        <v>7.6899999999999996E-2</v>
      </c>
    </row>
    <row r="15" spans="1:22" x14ac:dyDescent="0.45">
      <c r="N15" t="s">
        <v>46</v>
      </c>
      <c r="O15">
        <v>35</v>
      </c>
      <c r="P15">
        <v>25</v>
      </c>
      <c r="Q15">
        <v>20</v>
      </c>
      <c r="R15">
        <f>O15+(S2*5)</f>
        <v>45</v>
      </c>
    </row>
    <row r="16" spans="1:22" x14ac:dyDescent="0.45">
      <c r="N16" t="s">
        <v>57</v>
      </c>
      <c r="O16">
        <f>SUM(O2:O3)</f>
        <v>15.694760101010102</v>
      </c>
      <c r="P16">
        <f t="shared" ref="P16:R16" si="0">SUM(P2:P3)</f>
        <v>-23.095833333333335</v>
      </c>
      <c r="Q16">
        <f t="shared" si="0"/>
        <v>-11.547916666666667</v>
      </c>
      <c r="R16">
        <f t="shared" si="0"/>
        <v>-28.967234848484853</v>
      </c>
      <c r="V16" t="s">
        <v>60</v>
      </c>
    </row>
    <row r="17" spans="2:26" x14ac:dyDescent="0.45">
      <c r="O17">
        <f>26.29-5-5</f>
        <v>16.29</v>
      </c>
      <c r="P17">
        <v>7.77</v>
      </c>
      <c r="Q17">
        <f>53.96</f>
        <v>53.96</v>
      </c>
      <c r="R17">
        <v>5</v>
      </c>
      <c r="S17">
        <f>SUM(O17:R17)</f>
        <v>83.02</v>
      </c>
      <c r="V17">
        <v>26.29</v>
      </c>
      <c r="W17">
        <v>7.77</v>
      </c>
      <c r="X17">
        <v>53.96</v>
      </c>
    </row>
    <row r="18" spans="2:26" x14ac:dyDescent="0.45">
      <c r="B18" t="s">
        <v>36</v>
      </c>
      <c r="C18" t="s">
        <v>40</v>
      </c>
      <c r="D18" t="s">
        <v>38</v>
      </c>
      <c r="E18" t="s">
        <v>39</v>
      </c>
      <c r="O18">
        <f>O17*O16</f>
        <v>255.66764204545456</v>
      </c>
      <c r="P18">
        <f t="shared" ref="P18:R18" si="1">P17*P16</f>
        <v>-179.45462499999999</v>
      </c>
      <c r="Q18">
        <f t="shared" si="1"/>
        <v>-623.12558333333334</v>
      </c>
      <c r="R18">
        <f t="shared" si="1"/>
        <v>-144.83617424242428</v>
      </c>
      <c r="S18">
        <f>SUM(O18:R18)</f>
        <v>-691.74874053030305</v>
      </c>
      <c r="V18" t="s">
        <v>43</v>
      </c>
    </row>
    <row r="19" spans="2:26" x14ac:dyDescent="0.45">
      <c r="B19" t="s">
        <v>37</v>
      </c>
      <c r="C19" t="s">
        <v>41</v>
      </c>
      <c r="S19">
        <f>+S18*122486</f>
        <v>-84729536.232594699</v>
      </c>
      <c r="V19">
        <f>26.29+5</f>
        <v>31.29</v>
      </c>
      <c r="W19">
        <v>2.77</v>
      </c>
      <c r="X19">
        <v>53.96</v>
      </c>
    </row>
    <row r="20" spans="2:26" x14ac:dyDescent="0.45">
      <c r="V20" t="s">
        <v>61</v>
      </c>
    </row>
    <row r="21" spans="2:26" x14ac:dyDescent="0.45">
      <c r="V21">
        <f>26.29-5</f>
        <v>21.29</v>
      </c>
      <c r="W21">
        <f>7.77+5</f>
        <v>12.77</v>
      </c>
      <c r="X21">
        <f>53.96</f>
        <v>53.96</v>
      </c>
    </row>
    <row r="22" spans="2:26" x14ac:dyDescent="0.45">
      <c r="V22" t="s">
        <v>45</v>
      </c>
    </row>
    <row r="23" spans="2:26" x14ac:dyDescent="0.45">
      <c r="V23">
        <f>26.29-5</f>
        <v>21.29</v>
      </c>
      <c r="W23">
        <v>7.77</v>
      </c>
      <c r="X23">
        <f>53.96+5</f>
        <v>58.96</v>
      </c>
    </row>
    <row r="24" spans="2:26" x14ac:dyDescent="0.45">
      <c r="V24" t="s">
        <v>56</v>
      </c>
    </row>
    <row r="25" spans="2:26" x14ac:dyDescent="0.45">
      <c r="V25">
        <f>26.29-5</f>
        <v>21.29</v>
      </c>
      <c r="W25">
        <v>7.77</v>
      </c>
      <c r="X25">
        <f>53.96</f>
        <v>53.96</v>
      </c>
      <c r="Y25">
        <v>5</v>
      </c>
    </row>
    <row r="26" spans="2:26" x14ac:dyDescent="0.45">
      <c r="V26">
        <f>26.29-5-5</f>
        <v>16.29</v>
      </c>
      <c r="W26">
        <v>7.77</v>
      </c>
      <c r="X26">
        <f>53.96</f>
        <v>53.96</v>
      </c>
      <c r="Y26">
        <v>5</v>
      </c>
    </row>
    <row r="27" spans="2:26" x14ac:dyDescent="0.45">
      <c r="P27" t="s">
        <v>60</v>
      </c>
      <c r="Q27" t="s">
        <v>43</v>
      </c>
      <c r="R27" t="s">
        <v>44</v>
      </c>
      <c r="S27" t="s">
        <v>45</v>
      </c>
      <c r="T27" t="s">
        <v>56</v>
      </c>
      <c r="U27" t="s">
        <v>62</v>
      </c>
    </row>
    <row r="28" spans="2:26" x14ac:dyDescent="0.45">
      <c r="H28" s="6" t="s">
        <v>55</v>
      </c>
      <c r="P28">
        <v>-43561037.378501892</v>
      </c>
      <c r="Q28">
        <v>-43561037.378501892</v>
      </c>
      <c r="R28">
        <v>-71521771.874008834</v>
      </c>
      <c r="S28">
        <v>-64449481.26984217</v>
      </c>
      <c r="T28">
        <v>-61742996.899261355</v>
      </c>
      <c r="U28">
        <v>-84729536.232594699</v>
      </c>
      <c r="V28">
        <f>P28*240</f>
        <v>-10454648970.840454</v>
      </c>
      <c r="W28">
        <f t="shared" ref="W28:Z28" si="2">Q28*240</f>
        <v>-10454648970.840454</v>
      </c>
      <c r="X28">
        <f t="shared" si="2"/>
        <v>-17165225249.762119</v>
      </c>
      <c r="Y28">
        <f t="shared" si="2"/>
        <v>-15467875504.762121</v>
      </c>
      <c r="Z28">
        <f t="shared" si="2"/>
        <v>-14818319255.822725</v>
      </c>
    </row>
    <row r="29" spans="2:26" x14ac:dyDescent="0.45">
      <c r="Q29">
        <f>+Q28-$P$28</f>
        <v>0</v>
      </c>
      <c r="R29">
        <f t="shared" ref="R29:U29" si="3">+R28-$P$28</f>
        <v>-27960734.495506942</v>
      </c>
      <c r="S29">
        <f t="shared" si="3"/>
        <v>-20888443.891340278</v>
      </c>
      <c r="T29">
        <f t="shared" si="3"/>
        <v>-18181959.520759463</v>
      </c>
      <c r="U29">
        <f t="shared" si="3"/>
        <v>-41168498.854092807</v>
      </c>
    </row>
    <row r="30" spans="2:26" x14ac:dyDescent="0.45">
      <c r="Q30" s="4">
        <f>Q29/ABS($P$28)</f>
        <v>0</v>
      </c>
      <c r="R30" s="4">
        <f t="shared" ref="R30:U30" si="4">R29/ABS($P$28)</f>
        <v>-0.64187485372664788</v>
      </c>
      <c r="S30" s="4">
        <f t="shared" si="4"/>
        <v>-0.47952126828019659</v>
      </c>
      <c r="T30" s="4">
        <f t="shared" si="4"/>
        <v>-0.41739041618261752</v>
      </c>
      <c r="U30" s="4">
        <f t="shared" si="4"/>
        <v>-0.94507618118410919</v>
      </c>
    </row>
  </sheetData>
  <hyperlinks>
    <hyperlink ref="J3" r:id="rId1"/>
    <hyperlink ref="H28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"/>
  <sheetViews>
    <sheetView workbookViewId="0">
      <selection activeCell="A2" sqref="A2:B14"/>
    </sheetView>
  </sheetViews>
  <sheetFormatPr defaultRowHeight="14.25" x14ac:dyDescent="0.45"/>
  <cols>
    <col min="2" max="2" width="57.9296875" bestFit="1" customWidth="1"/>
    <col min="3" max="3" width="11.73046875" bestFit="1" customWidth="1"/>
    <col min="16" max="16" width="11.33203125" bestFit="1" customWidth="1"/>
    <col min="17" max="18" width="12.33203125" bestFit="1" customWidth="1"/>
    <col min="19" max="19" width="11.33203125" bestFit="1" customWidth="1"/>
    <col min="20" max="20" width="12.33203125" bestFit="1" customWidth="1"/>
    <col min="22" max="23" width="12.33203125" bestFit="1" customWidth="1"/>
    <col min="25" max="26" width="12.33203125" bestFit="1" customWidth="1"/>
  </cols>
  <sheetData>
    <row r="1" spans="1:22" x14ac:dyDescent="0.45">
      <c r="B1">
        <v>2015</v>
      </c>
      <c r="C1" t="s">
        <v>32</v>
      </c>
      <c r="D1" t="s">
        <v>33</v>
      </c>
      <c r="E1" t="s">
        <v>34</v>
      </c>
      <c r="F1" t="s">
        <v>53</v>
      </c>
      <c r="G1" t="s">
        <v>53</v>
      </c>
      <c r="H1" t="s">
        <v>50</v>
      </c>
      <c r="I1" t="s">
        <v>51</v>
      </c>
      <c r="J1" t="s">
        <v>47</v>
      </c>
      <c r="K1" t="s">
        <v>49</v>
      </c>
      <c r="L1" t="s">
        <v>52</v>
      </c>
      <c r="N1" t="s">
        <v>42</v>
      </c>
      <c r="O1" t="s">
        <v>43</v>
      </c>
      <c r="P1" t="s">
        <v>44</v>
      </c>
      <c r="Q1" t="s">
        <v>45</v>
      </c>
      <c r="R1" t="s">
        <v>56</v>
      </c>
      <c r="S1" t="s">
        <v>58</v>
      </c>
    </row>
    <row r="2" spans="1:22" x14ac:dyDescent="0.45">
      <c r="A2" t="s">
        <v>13</v>
      </c>
      <c r="B2" t="s">
        <v>20</v>
      </c>
      <c r="C2">
        <v>16500000000</v>
      </c>
      <c r="D2">
        <v>6.5</v>
      </c>
      <c r="H2">
        <v>66</v>
      </c>
      <c r="I2">
        <f>D2/H2</f>
        <v>9.8484848484848481E-2</v>
      </c>
      <c r="J2" t="s">
        <v>48</v>
      </c>
      <c r="K2">
        <v>16</v>
      </c>
      <c r="L2">
        <f>D2/K2</f>
        <v>0.40625</v>
      </c>
      <c r="N2" s="3">
        <v>7.6899999999999996E-2</v>
      </c>
      <c r="O2">
        <f>I2*O15</f>
        <v>3.4469696969696968</v>
      </c>
      <c r="R2">
        <f>(I2*R$15)/(S$2+1)</f>
        <v>1.4772727272727273</v>
      </c>
      <c r="S2">
        <v>2</v>
      </c>
    </row>
    <row r="3" spans="1:22" x14ac:dyDescent="0.45">
      <c r="B3" t="s">
        <v>21</v>
      </c>
      <c r="D3">
        <v>5543</v>
      </c>
      <c r="E3">
        <v>8328</v>
      </c>
      <c r="F3">
        <f>D3/240</f>
        <v>23.095833333333335</v>
      </c>
      <c r="G3">
        <f>E3/240</f>
        <v>34.700000000000003</v>
      </c>
      <c r="H3">
        <f>F3</f>
        <v>23.095833333333335</v>
      </c>
      <c r="I3">
        <f>H3/H2</f>
        <v>0.34993686868686869</v>
      </c>
      <c r="J3" s="6" t="s">
        <v>54</v>
      </c>
      <c r="L3">
        <f>F3/16</f>
        <v>1.4434895833333334</v>
      </c>
      <c r="N3" s="3">
        <v>7.6899999999999996E-2</v>
      </c>
      <c r="O3">
        <f>I3*O15</f>
        <v>12.247790404040405</v>
      </c>
      <c r="P3">
        <f>-H3</f>
        <v>-23.095833333333335</v>
      </c>
      <c r="Q3">
        <f>-H3/2</f>
        <v>-11.547916666666667</v>
      </c>
      <c r="R3">
        <f>(I3*R$15)+(P3*S2)</f>
        <v>-30.44450757575758</v>
      </c>
    </row>
    <row r="4" spans="1:22" x14ac:dyDescent="0.45">
      <c r="A4" t="s">
        <v>14</v>
      </c>
      <c r="B4" t="s">
        <v>22</v>
      </c>
      <c r="C4" s="2">
        <v>0.12</v>
      </c>
      <c r="N4" s="3">
        <v>7.6899999999999996E-2</v>
      </c>
      <c r="O4">
        <v>76.900000000000006</v>
      </c>
    </row>
    <row r="5" spans="1:22" x14ac:dyDescent="0.45">
      <c r="B5" t="s">
        <v>23</v>
      </c>
      <c r="C5" s="2">
        <v>0.04</v>
      </c>
      <c r="N5" s="3">
        <v>7.6899999999999996E-2</v>
      </c>
      <c r="O5" s="2">
        <v>0.96</v>
      </c>
    </row>
    <row r="6" spans="1:22" x14ac:dyDescent="0.45">
      <c r="A6" t="s">
        <v>15</v>
      </c>
      <c r="B6" t="s">
        <v>35</v>
      </c>
      <c r="C6" s="2">
        <v>0.27</v>
      </c>
      <c r="N6" s="3">
        <v>7.6899999999999996E-2</v>
      </c>
      <c r="O6">
        <f>O15*(1+C6)</f>
        <v>44.45</v>
      </c>
    </row>
    <row r="7" spans="1:22" x14ac:dyDescent="0.45">
      <c r="B7" t="s">
        <v>24</v>
      </c>
      <c r="C7" s="2">
        <v>0.41</v>
      </c>
      <c r="N7" s="3">
        <v>7.6899999999999996E-2</v>
      </c>
      <c r="O7" s="2">
        <f>C7</f>
        <v>0.41</v>
      </c>
    </row>
    <row r="8" spans="1:22" x14ac:dyDescent="0.45">
      <c r="A8" t="s">
        <v>16</v>
      </c>
      <c r="B8" t="s">
        <v>25</v>
      </c>
      <c r="C8" s="3">
        <v>0.55500000000000005</v>
      </c>
      <c r="N8" s="3">
        <v>7.6899999999999996E-2</v>
      </c>
    </row>
    <row r="9" spans="1:22" x14ac:dyDescent="0.45">
      <c r="B9" t="s">
        <v>26</v>
      </c>
      <c r="C9" s="2">
        <v>0.8</v>
      </c>
      <c r="N9" s="3">
        <v>7.6899999999999996E-2</v>
      </c>
    </row>
    <row r="10" spans="1:22" x14ac:dyDescent="0.45">
      <c r="A10" t="s">
        <v>17</v>
      </c>
      <c r="B10" t="s">
        <v>27</v>
      </c>
      <c r="C10">
        <v>29700000000</v>
      </c>
      <c r="D10">
        <v>6597608</v>
      </c>
      <c r="E10">
        <f>C10/D10</f>
        <v>4501.631500386201</v>
      </c>
      <c r="N10" s="3">
        <v>7.6899999999999996E-2</v>
      </c>
    </row>
    <row r="11" spans="1:22" x14ac:dyDescent="0.45">
      <c r="B11" t="s">
        <v>28</v>
      </c>
      <c r="C11" s="5">
        <f>4.91/100000</f>
        <v>4.9100000000000001E-5</v>
      </c>
      <c r="D11">
        <f>4.9/0.02</f>
        <v>245</v>
      </c>
      <c r="N11" s="3">
        <v>7.6899999999999996E-2</v>
      </c>
    </row>
    <row r="12" spans="1:22" x14ac:dyDescent="0.45">
      <c r="A12" t="s">
        <v>18</v>
      </c>
      <c r="B12" t="s">
        <v>29</v>
      </c>
      <c r="C12" s="2">
        <v>0.5</v>
      </c>
      <c r="N12" s="3">
        <v>7.6899999999999996E-2</v>
      </c>
      <c r="V12" t="s">
        <v>59</v>
      </c>
    </row>
    <row r="13" spans="1:22" x14ac:dyDescent="0.45">
      <c r="B13" t="s">
        <v>30</v>
      </c>
      <c r="C13" s="2">
        <v>0.31</v>
      </c>
      <c r="N13" s="3">
        <v>7.6899999999999996E-2</v>
      </c>
    </row>
    <row r="14" spans="1:22" x14ac:dyDescent="0.45">
      <c r="A14" t="s">
        <v>19</v>
      </c>
      <c r="B14" t="s">
        <v>31</v>
      </c>
      <c r="C14" s="2">
        <v>0.88</v>
      </c>
      <c r="N14" s="3">
        <v>7.6899999999999996E-2</v>
      </c>
    </row>
    <row r="15" spans="1:22" x14ac:dyDescent="0.45">
      <c r="N15" t="s">
        <v>46</v>
      </c>
      <c r="O15">
        <v>35</v>
      </c>
      <c r="P15">
        <v>93</v>
      </c>
      <c r="Q15">
        <v>41</v>
      </c>
      <c r="R15">
        <f>O15+(S2*5)</f>
        <v>45</v>
      </c>
    </row>
    <row r="16" spans="1:22" x14ac:dyDescent="0.45">
      <c r="N16" t="s">
        <v>57</v>
      </c>
      <c r="O16">
        <f>SUM(O2:O3)</f>
        <v>15.694760101010102</v>
      </c>
      <c r="P16">
        <f t="shared" ref="P16:R16" si="0">SUM(P2:P3)</f>
        <v>-23.095833333333335</v>
      </c>
      <c r="Q16">
        <f t="shared" si="0"/>
        <v>-11.547916666666667</v>
      </c>
      <c r="R16">
        <f t="shared" si="0"/>
        <v>-28.967234848484853</v>
      </c>
      <c r="V16" t="s">
        <v>60</v>
      </c>
    </row>
    <row r="17" spans="2:26" x14ac:dyDescent="0.45">
      <c r="O17">
        <v>26.29</v>
      </c>
      <c r="P17">
        <v>7.77</v>
      </c>
      <c r="Q17">
        <v>53.96</v>
      </c>
      <c r="S17">
        <f>SUM(O17:R17)</f>
        <v>88.02000000000001</v>
      </c>
      <c r="V17">
        <v>26.29</v>
      </c>
      <c r="W17">
        <v>7.77</v>
      </c>
      <c r="X17">
        <v>53.96</v>
      </c>
    </row>
    <row r="18" spans="2:26" x14ac:dyDescent="0.45">
      <c r="B18" t="s">
        <v>36</v>
      </c>
      <c r="C18" t="s">
        <v>40</v>
      </c>
      <c r="D18" t="s">
        <v>38</v>
      </c>
      <c r="E18" t="s">
        <v>39</v>
      </c>
      <c r="O18">
        <f>O17*O16</f>
        <v>412.6152430555556</v>
      </c>
      <c r="P18">
        <f t="shared" ref="P18:R18" si="1">P17*P16</f>
        <v>-179.45462499999999</v>
      </c>
      <c r="Q18">
        <f t="shared" si="1"/>
        <v>-623.12558333333334</v>
      </c>
      <c r="R18">
        <f t="shared" si="1"/>
        <v>0</v>
      </c>
      <c r="S18">
        <f>SUM(O18:R18)</f>
        <v>-389.96496527777776</v>
      </c>
      <c r="V18" t="s">
        <v>43</v>
      </c>
    </row>
    <row r="19" spans="2:26" x14ac:dyDescent="0.45">
      <c r="B19" t="s">
        <v>37</v>
      </c>
      <c r="C19" t="s">
        <v>41</v>
      </c>
      <c r="S19">
        <f>+S18*122486</f>
        <v>-47765248.737013884</v>
      </c>
      <c r="T19">
        <f>S19/240</f>
        <v>-199021.86973755786</v>
      </c>
      <c r="V19">
        <f>26.29+5</f>
        <v>31.29</v>
      </c>
      <c r="W19">
        <v>2.77</v>
      </c>
      <c r="X19">
        <v>53.96</v>
      </c>
    </row>
    <row r="20" spans="2:26" x14ac:dyDescent="0.45">
      <c r="V20" t="s">
        <v>61</v>
      </c>
    </row>
    <row r="21" spans="2:26" x14ac:dyDescent="0.45">
      <c r="V21">
        <f>26.29-5</f>
        <v>21.29</v>
      </c>
      <c r="W21">
        <f>7.77+5</f>
        <v>12.77</v>
      </c>
      <c r="X21">
        <f>53.96</f>
        <v>53.96</v>
      </c>
    </row>
    <row r="22" spans="2:26" x14ac:dyDescent="0.45">
      <c r="V22" t="s">
        <v>45</v>
      </c>
    </row>
    <row r="23" spans="2:26" x14ac:dyDescent="0.45">
      <c r="V23">
        <f>26.29-5</f>
        <v>21.29</v>
      </c>
      <c r="W23">
        <v>7.77</v>
      </c>
      <c r="X23">
        <f>53.96+5</f>
        <v>58.96</v>
      </c>
    </row>
    <row r="24" spans="2:26" x14ac:dyDescent="0.45">
      <c r="V24" t="s">
        <v>56</v>
      </c>
    </row>
    <row r="25" spans="2:26" x14ac:dyDescent="0.45">
      <c r="R25">
        <f>R28/122486</f>
        <v>-345.24547348484805</v>
      </c>
      <c r="V25">
        <f>26.29-5</f>
        <v>21.29</v>
      </c>
      <c r="W25">
        <v>7.77</v>
      </c>
      <c r="X25">
        <f>53.96</f>
        <v>53.96</v>
      </c>
      <c r="Y25">
        <v>5</v>
      </c>
    </row>
    <row r="26" spans="2:26" x14ac:dyDescent="0.45">
      <c r="V26">
        <f>26.29-5-5</f>
        <v>16.29</v>
      </c>
      <c r="W26">
        <v>7.77</v>
      </c>
      <c r="X26">
        <f>53.96</f>
        <v>53.96</v>
      </c>
      <c r="Y26">
        <v>5</v>
      </c>
    </row>
    <row r="27" spans="2:26" x14ac:dyDescent="0.45">
      <c r="P27" t="s">
        <v>60</v>
      </c>
      <c r="Q27" t="s">
        <v>43</v>
      </c>
      <c r="R27" t="s">
        <v>44</v>
      </c>
      <c r="S27" t="s">
        <v>45</v>
      </c>
      <c r="T27" t="s">
        <v>56</v>
      </c>
      <c r="U27" t="s">
        <v>62</v>
      </c>
    </row>
    <row r="28" spans="2:26" x14ac:dyDescent="0.45">
      <c r="H28" s="6" t="s">
        <v>55</v>
      </c>
      <c r="P28">
        <v>18956654.82109848</v>
      </c>
      <c r="Q28">
        <v>18956654.82109848</v>
      </c>
      <c r="R28">
        <v>-42287737.065265097</v>
      </c>
      <c r="S28">
        <v>-35215446.461098485</v>
      </c>
      <c r="T28">
        <v>-26397227.731300499</v>
      </c>
      <c r="U28">
        <v>-56500752.686477281</v>
      </c>
      <c r="V28">
        <f>P28*240</f>
        <v>4549597157.0636349</v>
      </c>
      <c r="W28">
        <f t="shared" ref="W28:Z28" si="2">Q28*240</f>
        <v>4549597157.0636349</v>
      </c>
      <c r="X28">
        <f t="shared" si="2"/>
        <v>-10149056895.663624</v>
      </c>
      <c r="Y28">
        <f t="shared" si="2"/>
        <v>-8451707150.6636362</v>
      </c>
      <c r="Z28">
        <f t="shared" si="2"/>
        <v>-6335334655.5121202</v>
      </c>
    </row>
    <row r="29" spans="2:26" x14ac:dyDescent="0.45">
      <c r="Q29">
        <f>+Q28-$P$28</f>
        <v>0</v>
      </c>
      <c r="R29">
        <f>+R28-$P$28</f>
        <v>-61244391.886363581</v>
      </c>
      <c r="S29">
        <f t="shared" ref="R29:U29" si="3">+S28-$P$28</f>
        <v>-54172101.282196969</v>
      </c>
      <c r="T29">
        <f t="shared" si="3"/>
        <v>-45353882.55239898</v>
      </c>
      <c r="U29">
        <f t="shared" si="3"/>
        <v>-75457407.507575765</v>
      </c>
    </row>
    <row r="30" spans="2:26" x14ac:dyDescent="0.45">
      <c r="Q30" s="4">
        <f>Q29/ABS($P$28)</f>
        <v>0</v>
      </c>
      <c r="R30" s="4">
        <f t="shared" ref="R30:U30" si="4">R29/ABS($P$28)</f>
        <v>-3.2307594596383886</v>
      </c>
      <c r="S30" s="4">
        <f t="shared" si="4"/>
        <v>-2.8576825285600607</v>
      </c>
      <c r="T30" s="4">
        <f t="shared" si="4"/>
        <v>-2.3925045310167685</v>
      </c>
      <c r="U30" s="4">
        <f t="shared" si="4"/>
        <v>-3.9805233686901746</v>
      </c>
    </row>
  </sheetData>
  <hyperlinks>
    <hyperlink ref="J3" r:id="rId1"/>
    <hyperlink ref="H28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"/>
  <sheetViews>
    <sheetView tabSelected="1" workbookViewId="0">
      <selection activeCell="A15" sqref="A15"/>
    </sheetView>
  </sheetViews>
  <sheetFormatPr defaultRowHeight="14.25" x14ac:dyDescent="0.45"/>
  <cols>
    <col min="2" max="2" width="57.9296875" bestFit="1" customWidth="1"/>
    <col min="3" max="3" width="11.73046875" bestFit="1" customWidth="1"/>
    <col min="16" max="16" width="11.33203125" bestFit="1" customWidth="1"/>
    <col min="17" max="18" width="12.33203125" bestFit="1" customWidth="1"/>
    <col min="19" max="19" width="11.33203125" bestFit="1" customWidth="1"/>
    <col min="20" max="20" width="12.33203125" bestFit="1" customWidth="1"/>
    <col min="22" max="23" width="12.33203125" bestFit="1" customWidth="1"/>
    <col min="25" max="26" width="12.33203125" bestFit="1" customWidth="1"/>
  </cols>
  <sheetData>
    <row r="1" spans="1:22" x14ac:dyDescent="0.45">
      <c r="B1">
        <v>2015</v>
      </c>
      <c r="C1" t="s">
        <v>32</v>
      </c>
      <c r="D1" t="s">
        <v>33</v>
      </c>
      <c r="E1" t="s">
        <v>34</v>
      </c>
      <c r="F1" t="s">
        <v>53</v>
      </c>
      <c r="G1" t="s">
        <v>53</v>
      </c>
      <c r="H1" t="s">
        <v>50</v>
      </c>
      <c r="I1" t="s">
        <v>51</v>
      </c>
      <c r="J1" t="s">
        <v>47</v>
      </c>
      <c r="K1" t="s">
        <v>49</v>
      </c>
      <c r="L1" t="s">
        <v>52</v>
      </c>
      <c r="N1" t="s">
        <v>42</v>
      </c>
      <c r="O1" t="s">
        <v>43</v>
      </c>
      <c r="P1" t="s">
        <v>44</v>
      </c>
      <c r="Q1" t="s">
        <v>45</v>
      </c>
      <c r="R1" t="s">
        <v>56</v>
      </c>
      <c r="S1" t="s">
        <v>58</v>
      </c>
    </row>
    <row r="2" spans="1:22" x14ac:dyDescent="0.45">
      <c r="A2" t="s">
        <v>13</v>
      </c>
      <c r="B2" t="s">
        <v>20</v>
      </c>
      <c r="C2">
        <v>16500000000</v>
      </c>
      <c r="D2">
        <v>6.5</v>
      </c>
      <c r="H2">
        <v>66</v>
      </c>
      <c r="I2">
        <f>D2/H2</f>
        <v>9.8484848484848481E-2</v>
      </c>
      <c r="J2" t="s">
        <v>48</v>
      </c>
      <c r="K2">
        <v>16</v>
      </c>
      <c r="L2">
        <f>D2/K2</f>
        <v>0.40625</v>
      </c>
      <c r="N2" s="3">
        <v>7.6899999999999996E-2</v>
      </c>
      <c r="O2">
        <f>I2*O15</f>
        <v>8.3712121212121211</v>
      </c>
      <c r="R2">
        <f>(I2*R$15)/(S$2+1)</f>
        <v>3.1186868686868685</v>
      </c>
      <c r="S2">
        <v>2</v>
      </c>
    </row>
    <row r="3" spans="1:22" x14ac:dyDescent="0.45">
      <c r="B3" t="s">
        <v>21</v>
      </c>
      <c r="D3">
        <v>5543</v>
      </c>
      <c r="E3">
        <v>8328</v>
      </c>
      <c r="F3">
        <f>D3/240</f>
        <v>23.095833333333335</v>
      </c>
      <c r="G3">
        <f>E3/240</f>
        <v>34.700000000000003</v>
      </c>
      <c r="H3">
        <f>F3</f>
        <v>23.095833333333335</v>
      </c>
      <c r="I3">
        <f>H3/H2</f>
        <v>0.34993686868686869</v>
      </c>
      <c r="J3" s="6" t="s">
        <v>54</v>
      </c>
      <c r="L3">
        <f>F3/16</f>
        <v>1.4434895833333334</v>
      </c>
      <c r="N3" s="3">
        <v>7.6899999999999996E-2</v>
      </c>
      <c r="O3">
        <f>I3*O15</f>
        <v>29.744633838383837</v>
      </c>
      <c r="P3">
        <f>-H3</f>
        <v>-23.095833333333335</v>
      </c>
      <c r="Q3">
        <f>-H3/2</f>
        <v>-11.547916666666667</v>
      </c>
      <c r="R3">
        <f>(I3*R$15)+(P3*S2)</f>
        <v>-12.947664141414144</v>
      </c>
    </row>
    <row r="4" spans="1:22" x14ac:dyDescent="0.45">
      <c r="A4" t="s">
        <v>14</v>
      </c>
      <c r="B4" t="s">
        <v>22</v>
      </c>
      <c r="C4" s="2">
        <v>0.12</v>
      </c>
      <c r="N4" s="3">
        <v>7.6899999999999996E-2</v>
      </c>
      <c r="O4">
        <v>76.900000000000006</v>
      </c>
    </row>
    <row r="5" spans="1:22" x14ac:dyDescent="0.45">
      <c r="B5" t="s">
        <v>23</v>
      </c>
      <c r="C5" s="2">
        <v>0.04</v>
      </c>
      <c r="N5" s="3">
        <v>7.6899999999999996E-2</v>
      </c>
      <c r="O5" s="2">
        <v>0.96</v>
      </c>
    </row>
    <row r="6" spans="1:22" x14ac:dyDescent="0.45">
      <c r="A6" t="s">
        <v>15</v>
      </c>
      <c r="B6" t="s">
        <v>35</v>
      </c>
      <c r="C6" s="2">
        <v>0.27</v>
      </c>
      <c r="N6" s="3">
        <v>7.6899999999999996E-2</v>
      </c>
      <c r="O6">
        <f>O15*(1+C6)</f>
        <v>107.95</v>
      </c>
    </row>
    <row r="7" spans="1:22" x14ac:dyDescent="0.45">
      <c r="B7" t="s">
        <v>24</v>
      </c>
      <c r="C7" s="2">
        <v>0.41</v>
      </c>
      <c r="N7" s="3">
        <v>7.6899999999999996E-2</v>
      </c>
      <c r="O7" s="2">
        <f>C7</f>
        <v>0.41</v>
      </c>
    </row>
    <row r="8" spans="1:22" x14ac:dyDescent="0.45">
      <c r="A8" t="s">
        <v>16</v>
      </c>
      <c r="B8" t="s">
        <v>25</v>
      </c>
      <c r="C8" s="3">
        <v>0.55500000000000005</v>
      </c>
      <c r="N8" s="3">
        <v>7.6899999999999996E-2</v>
      </c>
    </row>
    <row r="9" spans="1:22" x14ac:dyDescent="0.45">
      <c r="B9" t="s">
        <v>26</v>
      </c>
      <c r="C9" s="2">
        <v>0.8</v>
      </c>
      <c r="N9" s="3">
        <v>7.6899999999999996E-2</v>
      </c>
    </row>
    <row r="10" spans="1:22" x14ac:dyDescent="0.45">
      <c r="A10" t="s">
        <v>17</v>
      </c>
      <c r="B10" t="s">
        <v>27</v>
      </c>
      <c r="C10">
        <v>29700000000</v>
      </c>
      <c r="D10">
        <v>6597608</v>
      </c>
      <c r="E10">
        <f>C10/D10</f>
        <v>4501.631500386201</v>
      </c>
      <c r="N10" s="3">
        <v>7.6899999999999996E-2</v>
      </c>
    </row>
    <row r="11" spans="1:22" x14ac:dyDescent="0.45">
      <c r="B11" t="s">
        <v>28</v>
      </c>
      <c r="C11" s="5">
        <f>4.91/100000</f>
        <v>4.9100000000000001E-5</v>
      </c>
      <c r="D11">
        <f>4.9/0.02</f>
        <v>245</v>
      </c>
      <c r="N11" s="3">
        <v>7.6899999999999996E-2</v>
      </c>
    </row>
    <row r="12" spans="1:22" x14ac:dyDescent="0.45">
      <c r="A12" t="s">
        <v>18</v>
      </c>
      <c r="B12" t="s">
        <v>29</v>
      </c>
      <c r="C12" s="2">
        <v>0.5</v>
      </c>
      <c r="N12" s="3">
        <v>7.6899999999999996E-2</v>
      </c>
      <c r="V12" t="s">
        <v>59</v>
      </c>
    </row>
    <row r="13" spans="1:22" x14ac:dyDescent="0.45">
      <c r="B13" t="s">
        <v>30</v>
      </c>
      <c r="C13" s="2">
        <v>0.31</v>
      </c>
      <c r="N13" s="3">
        <v>7.6899999999999996E-2</v>
      </c>
    </row>
    <row r="14" spans="1:22" x14ac:dyDescent="0.45">
      <c r="A14" t="s">
        <v>19</v>
      </c>
      <c r="B14" t="s">
        <v>31</v>
      </c>
      <c r="C14" s="2">
        <v>0.88</v>
      </c>
      <c r="N14" s="3">
        <v>7.6899999999999996E-2</v>
      </c>
    </row>
    <row r="15" spans="1:22" x14ac:dyDescent="0.45">
      <c r="N15" t="s">
        <v>46</v>
      </c>
      <c r="O15">
        <v>85</v>
      </c>
      <c r="P15">
        <v>93</v>
      </c>
      <c r="Q15">
        <v>41</v>
      </c>
      <c r="R15">
        <f>O15+(S2*5)</f>
        <v>95</v>
      </c>
    </row>
    <row r="16" spans="1:22" x14ac:dyDescent="0.45">
      <c r="N16" t="s">
        <v>57</v>
      </c>
      <c r="O16">
        <f>SUM(O2:O3)</f>
        <v>38.115845959595958</v>
      </c>
      <c r="P16">
        <f t="shared" ref="P16:R16" si="0">SUM(P2:P3)</f>
        <v>-23.095833333333335</v>
      </c>
      <c r="Q16">
        <f t="shared" si="0"/>
        <v>-11.547916666666667</v>
      </c>
      <c r="R16">
        <f t="shared" si="0"/>
        <v>-9.8289772727272755</v>
      </c>
      <c r="V16" t="s">
        <v>60</v>
      </c>
    </row>
    <row r="17" spans="2:26" x14ac:dyDescent="0.45">
      <c r="O17">
        <v>26.29</v>
      </c>
      <c r="P17">
        <v>7.77</v>
      </c>
      <c r="Q17">
        <v>53.96</v>
      </c>
      <c r="S17">
        <f>SUM(O17:R17)</f>
        <v>88.02000000000001</v>
      </c>
      <c r="V17">
        <v>26.29</v>
      </c>
      <c r="W17">
        <v>7.77</v>
      </c>
      <c r="X17">
        <v>53.96</v>
      </c>
    </row>
    <row r="18" spans="2:26" x14ac:dyDescent="0.45">
      <c r="B18" t="s">
        <v>36</v>
      </c>
      <c r="C18" t="s">
        <v>40</v>
      </c>
      <c r="D18" t="s">
        <v>38</v>
      </c>
      <c r="E18" t="s">
        <v>39</v>
      </c>
      <c r="O18">
        <f>O17*O16</f>
        <v>1002.0655902777777</v>
      </c>
      <c r="P18">
        <f t="shared" ref="P18:R18" si="1">P17*P16</f>
        <v>-179.45462499999999</v>
      </c>
      <c r="Q18">
        <f t="shared" si="1"/>
        <v>-623.12558333333334</v>
      </c>
      <c r="R18">
        <f t="shared" si="1"/>
        <v>0</v>
      </c>
      <c r="S18">
        <f>SUM(O18:R18)</f>
        <v>199.48538194444438</v>
      </c>
      <c r="V18" t="s">
        <v>43</v>
      </c>
    </row>
    <row r="19" spans="2:26" x14ac:dyDescent="0.45">
      <c r="B19" t="s">
        <v>37</v>
      </c>
      <c r="C19" t="s">
        <v>41</v>
      </c>
      <c r="S19">
        <f>+S18*122486</f>
        <v>24434166.492847215</v>
      </c>
      <c r="T19">
        <f>S19/240</f>
        <v>101809.02705353007</v>
      </c>
      <c r="V19">
        <f>26.29+5</f>
        <v>31.29</v>
      </c>
      <c r="W19">
        <v>2.77</v>
      </c>
      <c r="X19">
        <v>53.96</v>
      </c>
    </row>
    <row r="20" spans="2:26" x14ac:dyDescent="0.45">
      <c r="V20" t="s">
        <v>61</v>
      </c>
    </row>
    <row r="21" spans="2:26" x14ac:dyDescent="0.45">
      <c r="V21">
        <f>26.29-5</f>
        <v>21.29</v>
      </c>
      <c r="W21">
        <f>7.77+5</f>
        <v>12.77</v>
      </c>
      <c r="X21">
        <f>53.96</f>
        <v>53.96</v>
      </c>
    </row>
    <row r="22" spans="2:26" x14ac:dyDescent="0.45">
      <c r="V22" t="s">
        <v>45</v>
      </c>
    </row>
    <row r="23" spans="2:26" x14ac:dyDescent="0.45">
      <c r="V23">
        <f>26.29-5</f>
        <v>21.29</v>
      </c>
      <c r="W23">
        <v>7.77</v>
      </c>
      <c r="X23">
        <f>53.96+5</f>
        <v>58.96</v>
      </c>
    </row>
    <row r="24" spans="2:26" x14ac:dyDescent="0.45">
      <c r="V24" t="s">
        <v>56</v>
      </c>
    </row>
    <row r="25" spans="2:26" x14ac:dyDescent="0.45">
      <c r="R25">
        <f>R28/122486</f>
        <v>-345.24547348484805</v>
      </c>
      <c r="V25">
        <f>26.29-5</f>
        <v>21.29</v>
      </c>
      <c r="W25">
        <v>7.77</v>
      </c>
      <c r="X25">
        <f>53.96</f>
        <v>53.96</v>
      </c>
      <c r="Y25">
        <v>5</v>
      </c>
    </row>
    <row r="26" spans="2:26" x14ac:dyDescent="0.45">
      <c r="V26">
        <f>26.29-5-5</f>
        <v>16.29</v>
      </c>
      <c r="W26">
        <v>7.77</v>
      </c>
      <c r="X26">
        <f>53.96</f>
        <v>53.96</v>
      </c>
      <c r="Y26">
        <v>5</v>
      </c>
    </row>
    <row r="27" spans="2:26" x14ac:dyDescent="0.45">
      <c r="P27" t="s">
        <v>60</v>
      </c>
      <c r="Q27" t="s">
        <v>43</v>
      </c>
      <c r="R27" t="s">
        <v>44</v>
      </c>
      <c r="S27" t="s">
        <v>45</v>
      </c>
      <c r="T27" t="s">
        <v>56</v>
      </c>
      <c r="U27" t="s">
        <v>62</v>
      </c>
    </row>
    <row r="28" spans="2:26" x14ac:dyDescent="0.45">
      <c r="H28" s="6" t="s">
        <v>55</v>
      </c>
      <c r="P28">
        <v>18956654.82109848</v>
      </c>
      <c r="Q28">
        <v>18956654.82109848</v>
      </c>
      <c r="R28">
        <v>-42287737.065265097</v>
      </c>
      <c r="S28">
        <v>-35215446.461098485</v>
      </c>
      <c r="T28">
        <v>-26397227.731300499</v>
      </c>
      <c r="U28">
        <v>-56500752.686477281</v>
      </c>
      <c r="V28">
        <f>P28*240</f>
        <v>4549597157.0636349</v>
      </c>
      <c r="W28">
        <f t="shared" ref="W28:Z28" si="2">Q28*240</f>
        <v>4549597157.0636349</v>
      </c>
      <c r="X28">
        <f t="shared" si="2"/>
        <v>-10149056895.663624</v>
      </c>
      <c r="Y28">
        <f t="shared" si="2"/>
        <v>-8451707150.6636362</v>
      </c>
      <c r="Z28">
        <f t="shared" si="2"/>
        <v>-6335334655.5121202</v>
      </c>
    </row>
    <row r="29" spans="2:26" x14ac:dyDescent="0.45">
      <c r="Q29">
        <f>+Q28-$P$28</f>
        <v>0</v>
      </c>
      <c r="R29">
        <f>+R28-$P$28</f>
        <v>-61244391.886363581</v>
      </c>
      <c r="S29">
        <f t="shared" ref="S29:U29" si="3">+S28-$P$28</f>
        <v>-54172101.282196969</v>
      </c>
      <c r="T29">
        <f t="shared" si="3"/>
        <v>-45353882.55239898</v>
      </c>
      <c r="U29">
        <f t="shared" si="3"/>
        <v>-75457407.507575765</v>
      </c>
    </row>
    <row r="30" spans="2:26" x14ac:dyDescent="0.45">
      <c r="Q30" s="4">
        <f>Q29/ABS($P$28)</f>
        <v>0</v>
      </c>
      <c r="R30" s="4">
        <f t="shared" ref="R30:U30" si="4">R29/ABS($P$28)</f>
        <v>-3.2307594596383886</v>
      </c>
      <c r="S30" s="4">
        <f t="shared" si="4"/>
        <v>-2.8576825285600607</v>
      </c>
      <c r="T30" s="4">
        <f t="shared" si="4"/>
        <v>-2.3925045310167685</v>
      </c>
      <c r="U30" s="4">
        <f t="shared" si="4"/>
        <v>-3.9805233686901746</v>
      </c>
    </row>
  </sheetData>
  <hyperlinks>
    <hyperlink ref="J3" r:id="rId1"/>
    <hyperlink ref="H28" r:id="rId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"/>
  <sheetViews>
    <sheetView topLeftCell="C1" workbookViewId="0">
      <selection activeCell="P28" sqref="P28"/>
    </sheetView>
  </sheetViews>
  <sheetFormatPr defaultRowHeight="14.25" x14ac:dyDescent="0.45"/>
  <cols>
    <col min="2" max="2" width="57.9296875" bestFit="1" customWidth="1"/>
    <col min="3" max="3" width="11.73046875" bestFit="1" customWidth="1"/>
    <col min="16" max="16" width="11.33203125" bestFit="1" customWidth="1"/>
    <col min="17" max="18" width="12.33203125" bestFit="1" customWidth="1"/>
    <col min="19" max="19" width="11.33203125" bestFit="1" customWidth="1"/>
    <col min="20" max="20" width="12.33203125" bestFit="1" customWidth="1"/>
    <col min="22" max="23" width="12.33203125" bestFit="1" customWidth="1"/>
    <col min="25" max="26" width="12.33203125" bestFit="1" customWidth="1"/>
  </cols>
  <sheetData>
    <row r="1" spans="1:22" x14ac:dyDescent="0.45">
      <c r="B1">
        <v>2015</v>
      </c>
      <c r="C1" t="s">
        <v>32</v>
      </c>
      <c r="D1" t="s">
        <v>33</v>
      </c>
      <c r="E1" t="s">
        <v>34</v>
      </c>
      <c r="F1" t="s">
        <v>53</v>
      </c>
      <c r="G1" t="s">
        <v>53</v>
      </c>
      <c r="H1" t="s">
        <v>50</v>
      </c>
      <c r="I1" t="s">
        <v>51</v>
      </c>
      <c r="J1" t="s">
        <v>47</v>
      </c>
      <c r="K1" t="s">
        <v>49</v>
      </c>
      <c r="L1" t="s">
        <v>52</v>
      </c>
      <c r="N1" t="s">
        <v>42</v>
      </c>
      <c r="O1" t="s">
        <v>43</v>
      </c>
      <c r="P1" t="s">
        <v>44</v>
      </c>
      <c r="Q1" t="s">
        <v>45</v>
      </c>
      <c r="R1" t="s">
        <v>56</v>
      </c>
      <c r="S1" t="s">
        <v>58</v>
      </c>
    </row>
    <row r="2" spans="1:22" x14ac:dyDescent="0.45">
      <c r="A2" t="s">
        <v>13</v>
      </c>
      <c r="B2" t="s">
        <v>20</v>
      </c>
      <c r="C2">
        <v>16500000000</v>
      </c>
      <c r="D2">
        <v>6.5</v>
      </c>
      <c r="H2">
        <v>66</v>
      </c>
      <c r="I2">
        <f>D2/H2</f>
        <v>9.8484848484848481E-2</v>
      </c>
      <c r="J2" t="s">
        <v>48</v>
      </c>
      <c r="K2">
        <v>16</v>
      </c>
      <c r="L2">
        <f>D2/K2</f>
        <v>0.40625</v>
      </c>
      <c r="N2" s="3">
        <v>7.6899999999999996E-2</v>
      </c>
      <c r="O2">
        <f>I2*O15</f>
        <v>2.7575757575757573</v>
      </c>
      <c r="R2">
        <f>(I2*R$15)/(S$2+1)</f>
        <v>1.2474747474747474</v>
      </c>
      <c r="S2">
        <v>2</v>
      </c>
    </row>
    <row r="3" spans="1:22" x14ac:dyDescent="0.45">
      <c r="B3" t="s">
        <v>21</v>
      </c>
      <c r="D3">
        <v>5543</v>
      </c>
      <c r="E3">
        <v>8328</v>
      </c>
      <c r="F3">
        <f>D3/240</f>
        <v>23.095833333333335</v>
      </c>
      <c r="G3">
        <f>E3/240</f>
        <v>34.700000000000003</v>
      </c>
      <c r="H3">
        <f>F3</f>
        <v>23.095833333333335</v>
      </c>
      <c r="I3">
        <f>H3/H2</f>
        <v>0.34993686868686869</v>
      </c>
      <c r="J3" s="6" t="s">
        <v>54</v>
      </c>
      <c r="L3">
        <f>F3/16</f>
        <v>1.4434895833333334</v>
      </c>
      <c r="N3" s="3">
        <v>7.6899999999999996E-2</v>
      </c>
      <c r="O3">
        <f>I3*O15</f>
        <v>9.7982323232323232</v>
      </c>
      <c r="P3">
        <f>-H3</f>
        <v>-23.095833333333335</v>
      </c>
      <c r="Q3">
        <f>-H3/2</f>
        <v>-11.547916666666667</v>
      </c>
      <c r="R3">
        <f>(I3*R$15)+(P3*S2)</f>
        <v>-32.894065656565658</v>
      </c>
    </row>
    <row r="4" spans="1:22" x14ac:dyDescent="0.45">
      <c r="A4" t="s">
        <v>14</v>
      </c>
      <c r="B4" t="s">
        <v>22</v>
      </c>
      <c r="C4" s="2">
        <v>0.12</v>
      </c>
      <c r="N4" s="3">
        <v>7.6899999999999996E-2</v>
      </c>
      <c r="O4">
        <v>76.900000000000006</v>
      </c>
    </row>
    <row r="5" spans="1:22" x14ac:dyDescent="0.45">
      <c r="B5" t="s">
        <v>23</v>
      </c>
      <c r="C5" s="2">
        <v>0.04</v>
      </c>
      <c r="N5" s="3">
        <v>7.6899999999999996E-2</v>
      </c>
      <c r="O5" s="2">
        <v>0.96</v>
      </c>
    </row>
    <row r="6" spans="1:22" x14ac:dyDescent="0.45">
      <c r="A6" t="s">
        <v>15</v>
      </c>
      <c r="B6" t="s">
        <v>35</v>
      </c>
      <c r="C6" s="2">
        <v>0.27</v>
      </c>
      <c r="N6" s="3">
        <v>7.6899999999999996E-2</v>
      </c>
      <c r="O6">
        <f>O15*(1+C6)</f>
        <v>35.56</v>
      </c>
    </row>
    <row r="7" spans="1:22" x14ac:dyDescent="0.45">
      <c r="B7" t="s">
        <v>24</v>
      </c>
      <c r="C7" s="2">
        <v>0.41</v>
      </c>
      <c r="N7" s="3">
        <v>7.6899999999999996E-2</v>
      </c>
      <c r="O7" s="2">
        <f>C7</f>
        <v>0.41</v>
      </c>
    </row>
    <row r="8" spans="1:22" x14ac:dyDescent="0.45">
      <c r="A8" t="s">
        <v>16</v>
      </c>
      <c r="B8" t="s">
        <v>25</v>
      </c>
      <c r="C8" s="3">
        <v>0.55500000000000005</v>
      </c>
      <c r="N8" s="3">
        <v>7.6899999999999996E-2</v>
      </c>
    </row>
    <row r="9" spans="1:22" x14ac:dyDescent="0.45">
      <c r="B9" t="s">
        <v>26</v>
      </c>
      <c r="C9" s="2">
        <v>0.8</v>
      </c>
      <c r="N9" s="3">
        <v>7.6899999999999996E-2</v>
      </c>
    </row>
    <row r="10" spans="1:22" x14ac:dyDescent="0.45">
      <c r="A10" t="s">
        <v>17</v>
      </c>
      <c r="B10" t="s">
        <v>27</v>
      </c>
      <c r="C10">
        <v>29700000000</v>
      </c>
      <c r="D10">
        <v>6597608</v>
      </c>
      <c r="E10">
        <f>C10/D10</f>
        <v>4501.631500386201</v>
      </c>
      <c r="N10" s="3">
        <v>7.6899999999999996E-2</v>
      </c>
    </row>
    <row r="11" spans="1:22" x14ac:dyDescent="0.45">
      <c r="B11" t="s">
        <v>28</v>
      </c>
      <c r="C11" s="5">
        <f>4.91/100000</f>
        <v>4.9100000000000001E-5</v>
      </c>
      <c r="D11">
        <f>4.9/0.02</f>
        <v>245</v>
      </c>
      <c r="N11" s="3">
        <v>7.6899999999999996E-2</v>
      </c>
    </row>
    <row r="12" spans="1:22" x14ac:dyDescent="0.45">
      <c r="A12" t="s">
        <v>18</v>
      </c>
      <c r="B12" t="s">
        <v>29</v>
      </c>
      <c r="C12" s="2">
        <v>0.5</v>
      </c>
      <c r="N12" s="3">
        <v>7.6899999999999996E-2</v>
      </c>
      <c r="V12" t="s">
        <v>59</v>
      </c>
    </row>
    <row r="13" spans="1:22" x14ac:dyDescent="0.45">
      <c r="B13" t="s">
        <v>30</v>
      </c>
      <c r="C13" s="2">
        <v>0.31</v>
      </c>
      <c r="N13" s="3">
        <v>7.6899999999999996E-2</v>
      </c>
    </row>
    <row r="14" spans="1:22" x14ac:dyDescent="0.45">
      <c r="A14" t="s">
        <v>19</v>
      </c>
      <c r="B14" t="s">
        <v>31</v>
      </c>
      <c r="C14" s="2">
        <v>0.88</v>
      </c>
      <c r="N14" s="3">
        <v>7.6899999999999996E-2</v>
      </c>
    </row>
    <row r="15" spans="1:22" x14ac:dyDescent="0.45">
      <c r="N15" t="s">
        <v>46</v>
      </c>
      <c r="O15">
        <f>56/2</f>
        <v>28</v>
      </c>
      <c r="P15">
        <v>58</v>
      </c>
      <c r="Q15">
        <v>34</v>
      </c>
      <c r="R15">
        <f>O15+(S2*5)</f>
        <v>38</v>
      </c>
    </row>
    <row r="16" spans="1:22" x14ac:dyDescent="0.45">
      <c r="N16" t="s">
        <v>57</v>
      </c>
      <c r="O16">
        <f>SUM(O2:O3)</f>
        <v>12.555808080808081</v>
      </c>
      <c r="P16">
        <f t="shared" ref="P16:R16" si="0">SUM(P2:P3)</f>
        <v>-23.095833333333335</v>
      </c>
      <c r="Q16">
        <f t="shared" si="0"/>
        <v>-11.547916666666667</v>
      </c>
      <c r="R16">
        <f t="shared" si="0"/>
        <v>-31.646590909090911</v>
      </c>
      <c r="V16" t="s">
        <v>60</v>
      </c>
    </row>
    <row r="17" spans="2:26" x14ac:dyDescent="0.45">
      <c r="O17">
        <f>26.29-5-5</f>
        <v>16.29</v>
      </c>
      <c r="P17">
        <v>7.77</v>
      </c>
      <c r="Q17">
        <f>53.96</f>
        <v>53.96</v>
      </c>
      <c r="R17">
        <v>5</v>
      </c>
      <c r="S17">
        <f>SUM(O17:R17)</f>
        <v>83.02</v>
      </c>
      <c r="V17">
        <v>26.29</v>
      </c>
      <c r="W17">
        <v>7.77</v>
      </c>
      <c r="X17">
        <v>53.96</v>
      </c>
    </row>
    <row r="18" spans="2:26" x14ac:dyDescent="0.45">
      <c r="B18" t="s">
        <v>36</v>
      </c>
      <c r="C18" t="s">
        <v>40</v>
      </c>
      <c r="D18" t="s">
        <v>38</v>
      </c>
      <c r="E18" t="s">
        <v>39</v>
      </c>
      <c r="O18">
        <f>O17*O16</f>
        <v>204.53411363636363</v>
      </c>
      <c r="P18">
        <f t="shared" ref="P18:R18" si="1">P17*P16</f>
        <v>-179.45462499999999</v>
      </c>
      <c r="Q18">
        <f t="shared" si="1"/>
        <v>-623.12558333333334</v>
      </c>
      <c r="R18">
        <f t="shared" si="1"/>
        <v>-158.23295454545456</v>
      </c>
      <c r="S18">
        <f>SUM(O18:R18)</f>
        <v>-756.27904924242421</v>
      </c>
      <c r="V18" t="s">
        <v>43</v>
      </c>
    </row>
    <row r="19" spans="2:26" x14ac:dyDescent="0.45">
      <c r="B19" t="s">
        <v>37</v>
      </c>
      <c r="C19" t="s">
        <v>41</v>
      </c>
      <c r="S19">
        <f>+S18*122486</f>
        <v>-92633595.625507578</v>
      </c>
      <c r="V19">
        <f>26.29+5</f>
        <v>31.29</v>
      </c>
      <c r="W19">
        <v>2.77</v>
      </c>
      <c r="X19">
        <v>53.96</v>
      </c>
    </row>
    <row r="20" spans="2:26" x14ac:dyDescent="0.45">
      <c r="V20" t="s">
        <v>61</v>
      </c>
    </row>
    <row r="21" spans="2:26" x14ac:dyDescent="0.45">
      <c r="V21">
        <f>26.29-5</f>
        <v>21.29</v>
      </c>
      <c r="W21">
        <f>7.77+5</f>
        <v>12.77</v>
      </c>
      <c r="X21">
        <f>53.96</f>
        <v>53.96</v>
      </c>
    </row>
    <row r="22" spans="2:26" x14ac:dyDescent="0.45">
      <c r="V22" t="s">
        <v>45</v>
      </c>
    </row>
    <row r="23" spans="2:26" x14ac:dyDescent="0.45">
      <c r="V23">
        <f>26.29-5</f>
        <v>21.29</v>
      </c>
      <c r="W23">
        <v>7.77</v>
      </c>
      <c r="X23">
        <f>53.96+5</f>
        <v>58.96</v>
      </c>
    </row>
    <row r="24" spans="2:26" x14ac:dyDescent="0.45">
      <c r="V24" t="s">
        <v>56</v>
      </c>
    </row>
    <row r="25" spans="2:26" x14ac:dyDescent="0.45">
      <c r="V25">
        <f>26.29-5</f>
        <v>21.29</v>
      </c>
      <c r="W25">
        <v>7.77</v>
      </c>
      <c r="X25">
        <f>53.96</f>
        <v>53.96</v>
      </c>
      <c r="Y25">
        <v>5</v>
      </c>
    </row>
    <row r="26" spans="2:26" x14ac:dyDescent="0.45">
      <c r="V26">
        <f>26.29-5-5</f>
        <v>16.29</v>
      </c>
      <c r="W26">
        <v>7.77</v>
      </c>
      <c r="X26">
        <f>53.96</f>
        <v>53.96</v>
      </c>
      <c r="Y26">
        <v>5</v>
      </c>
    </row>
    <row r="27" spans="2:26" x14ac:dyDescent="0.45">
      <c r="P27" t="s">
        <v>60</v>
      </c>
      <c r="Q27" t="s">
        <v>43</v>
      </c>
      <c r="R27" t="s">
        <v>44</v>
      </c>
      <c r="S27" t="s">
        <v>45</v>
      </c>
      <c r="T27" t="s">
        <v>56</v>
      </c>
      <c r="U27" t="s">
        <v>62</v>
      </c>
    </row>
    <row r="28" spans="2:26" x14ac:dyDescent="0.45">
      <c r="H28" s="6" t="s">
        <v>55</v>
      </c>
      <c r="P28">
        <v>-36039032.11793182</v>
      </c>
      <c r="Q28">
        <v>-36039032.11793182</v>
      </c>
      <c r="R28">
        <v>-79707301.620457083</v>
      </c>
      <c r="S28">
        <v>-72635011.016290411</v>
      </c>
      <c r="T28">
        <v>-71639812.266290411</v>
      </c>
      <c r="U28">
        <v>-92633595.625507578</v>
      </c>
      <c r="V28">
        <f>P28*240</f>
        <v>-8649367708.3036366</v>
      </c>
      <c r="W28">
        <f t="shared" ref="W28:Z28" si="2">Q28*240</f>
        <v>-8649367708.3036366</v>
      </c>
      <c r="X28">
        <f t="shared" si="2"/>
        <v>-19129752388.909698</v>
      </c>
      <c r="Y28">
        <f t="shared" si="2"/>
        <v>-17432402643.909698</v>
      </c>
      <c r="Z28">
        <f t="shared" si="2"/>
        <v>-17193554943.909698</v>
      </c>
    </row>
    <row r="29" spans="2:26" x14ac:dyDescent="0.45">
      <c r="Q29">
        <f>+Q28-$P$28</f>
        <v>0</v>
      </c>
      <c r="R29">
        <f t="shared" ref="R29:U29" si="3">+R28-$P$28</f>
        <v>-43668269.502525263</v>
      </c>
      <c r="S29">
        <f t="shared" si="3"/>
        <v>-36595978.898358591</v>
      </c>
      <c r="T29">
        <f t="shared" si="3"/>
        <v>-35600780.148358591</v>
      </c>
      <c r="U29">
        <f t="shared" si="3"/>
        <v>-56594563.507575758</v>
      </c>
    </row>
    <row r="30" spans="2:26" x14ac:dyDescent="0.45">
      <c r="Q30" s="4">
        <f>Q29/ABS($P$28)</f>
        <v>0</v>
      </c>
      <c r="R30" s="4">
        <f t="shared" ref="R30:U30" si="4">R29/ABS($P$28)</f>
        <v>-1.2116937369357761</v>
      </c>
      <c r="S30" s="4">
        <f t="shared" si="4"/>
        <v>-1.0154539882925893</v>
      </c>
      <c r="T30" s="4">
        <f t="shared" si="4"/>
        <v>-0.98783951888221855</v>
      </c>
      <c r="U30" s="4">
        <f t="shared" si="4"/>
        <v>-1.5703685748934471</v>
      </c>
    </row>
  </sheetData>
  <hyperlinks>
    <hyperlink ref="J3" r:id="rId1"/>
    <hyperlink ref="H28" r:id="rId2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7"/>
  <sheetViews>
    <sheetView workbookViewId="0">
      <selection activeCell="F5" sqref="F5"/>
    </sheetView>
  </sheetViews>
  <sheetFormatPr defaultRowHeight="14.25" x14ac:dyDescent="0.45"/>
  <sheetData>
    <row r="3" spans="3:9" x14ac:dyDescent="0.45">
      <c r="D3" t="s">
        <v>66</v>
      </c>
      <c r="E3" t="s">
        <v>43</v>
      </c>
      <c r="F3" t="s">
        <v>44</v>
      </c>
      <c r="G3" t="s">
        <v>45</v>
      </c>
      <c r="H3" t="s">
        <v>67</v>
      </c>
      <c r="I3" t="s">
        <v>68</v>
      </c>
    </row>
    <row r="4" spans="3:9" x14ac:dyDescent="0.45">
      <c r="E4" s="2"/>
      <c r="F4" s="2"/>
      <c r="G4" s="2"/>
      <c r="H4" s="2"/>
      <c r="I4" s="2"/>
    </row>
    <row r="5" spans="3:9" x14ac:dyDescent="0.45">
      <c r="C5" t="s">
        <v>64</v>
      </c>
      <c r="D5">
        <v>1</v>
      </c>
      <c r="E5" s="2">
        <f>1+'Petrie low'!Q30</f>
        <v>1</v>
      </c>
      <c r="F5" s="2">
        <f>1+'Petrie low'!R30</f>
        <v>-2.2307594596383886</v>
      </c>
      <c r="G5" s="2">
        <f>1+'Petrie low'!S30</f>
        <v>-1.8576825285600607</v>
      </c>
      <c r="H5" s="2">
        <f>1+'Petrie low'!T30</f>
        <v>-1.3925045310167685</v>
      </c>
      <c r="I5" s="2">
        <f>1+'Petrie low'!U30</f>
        <v>-2.9805233686901746</v>
      </c>
    </row>
    <row r="6" spans="3:9" x14ac:dyDescent="0.45">
      <c r="C6" t="s">
        <v>65</v>
      </c>
      <c r="D6">
        <v>1</v>
      </c>
      <c r="E6" s="2">
        <f>1+'Eight mile plains'!Q30</f>
        <v>1</v>
      </c>
      <c r="F6" s="2">
        <f>1+'Eight mile plains'!R30</f>
        <v>-0.21169373693577609</v>
      </c>
      <c r="G6" s="2">
        <f>1+'Eight mile plains'!S30</f>
        <v>-1.545398829258926E-2</v>
      </c>
      <c r="H6" s="2">
        <f>1+'Eight mile plains'!T30</f>
        <v>1.2160481117781452E-2</v>
      </c>
      <c r="I6" s="2">
        <f>1+'Eight mile plains'!U30</f>
        <v>-0.57036857489344706</v>
      </c>
    </row>
    <row r="7" spans="3:9" x14ac:dyDescent="0.45">
      <c r="C7" t="s">
        <v>63</v>
      </c>
      <c r="D7">
        <v>1</v>
      </c>
      <c r="E7" s="2">
        <f>1+Coorparoo!Q33</f>
        <v>1</v>
      </c>
      <c r="F7" s="2">
        <f>1+Coorparoo!R30</f>
        <v>0.35812514627335212</v>
      </c>
      <c r="G7" s="2">
        <f>1+Coorparoo!S30</f>
        <v>0.52047873171980341</v>
      </c>
      <c r="H7" s="2">
        <f>1+Coorparoo!T30</f>
        <v>0.58260958381738248</v>
      </c>
      <c r="I7" s="2">
        <f>1+Coorparoo!U30</f>
        <v>5.4923818815890812E-2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1" sqref="B31"/>
    </sheetView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data-yT0wB</vt:lpstr>
      <vt:lpstr>Sheet7</vt:lpstr>
      <vt:lpstr>Coorparoo</vt:lpstr>
      <vt:lpstr>Petrie low</vt:lpstr>
      <vt:lpstr>Petrie high</vt:lpstr>
      <vt:lpstr>Eight mile plains</vt:lpstr>
      <vt:lpstr>Sheet3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England</dc:creator>
  <cp:lastModifiedBy>Robert England</cp:lastModifiedBy>
  <dcterms:created xsi:type="dcterms:W3CDTF">2019-09-07T02:45:18Z</dcterms:created>
  <dcterms:modified xsi:type="dcterms:W3CDTF">2019-09-08T05:00:41Z</dcterms:modified>
</cp:coreProperties>
</file>