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<sst xmlns="http://schemas.openxmlformats.org/spreadsheetml/2006/main" count="24524" uniqueCount="3248">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</sst>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518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502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502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502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480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480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480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480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480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480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480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480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480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480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480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480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480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480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480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480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480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480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480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480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447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447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447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447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447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447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447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447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447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447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417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417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413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413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413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413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413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413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413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403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403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403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403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403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385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385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385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385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385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385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376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376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376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376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376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376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376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376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376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376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376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376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376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376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376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367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367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363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361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347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347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347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347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334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325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325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325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325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325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325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325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325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325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322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322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318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318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318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318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306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299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299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299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299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299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299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299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279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279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279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277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277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277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277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270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251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251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249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248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248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245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237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230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230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230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230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230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230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230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230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216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216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209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209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209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206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206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206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206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188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188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188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188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188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188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188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188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188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188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188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188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188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180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180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168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168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166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166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153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153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153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153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153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153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153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153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153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153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153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153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153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153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153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153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153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153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153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153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153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139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139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131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131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126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109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109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109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104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91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91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91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91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91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91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91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91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91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91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91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91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91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91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91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91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91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91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91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91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91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91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91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91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91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91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91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91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91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91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91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91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91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91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91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91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91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91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89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89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74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74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74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74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74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74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74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74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74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74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74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74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74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74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74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74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74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74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74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74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74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74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74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74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74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68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68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68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68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68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68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68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67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67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62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62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62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62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62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62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62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62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52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52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45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45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45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45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45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45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45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45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45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45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45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45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45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45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45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45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33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33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33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33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33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28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28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28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28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28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28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28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28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28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28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28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28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28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28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28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28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28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28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28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28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28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28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28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28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28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28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28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28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20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20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13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13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11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11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11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5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5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270"/>
        <filter val="230"/>
        <filter val="153"/>
        <filter val="277"/>
        <filter val="279"/>
        <filter val="237"/>
        <filter val="318"/>
        <filter val="518"/>
        <filter val="11"/>
        <filter val="13"/>
        <filter val="480"/>
        <filter val="361"/>
        <filter val="363"/>
        <filter val="166"/>
        <filter val="322"/>
        <filter val="245"/>
        <filter val="168"/>
        <filter val="367"/>
        <filter val="126"/>
        <filter val="5"/>
        <filter val="325"/>
        <filter val="248"/>
        <filter val="447"/>
        <filter val="403"/>
        <filter val="249"/>
        <filter val="206"/>
        <filter val="209"/>
        <filter val="20"/>
        <filter val="28"/>
        <filter val="251"/>
        <filter val="131"/>
        <filter val="376"/>
        <filter val="299"/>
        <filter val="334"/>
        <filter val="413"/>
        <filter val="216"/>
        <filter val="139"/>
        <filter val="417"/>
        <filter val="33"/>
        <filter val="180"/>
        <filter val="385"/>
        <filter val="188"/>
        <filter val="347"/>
        <filter val="502"/>
        <filter val="30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RBS13/07/26.")</f>
        <v>Acerto virtual de item atendido pela empresa Vee One através do contrato 005/CELOG-PAMALS/2025; RBS13/07/26.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NGS13/07/26.")</f>
        <v>Acerto virtual de item atendido pela empresa Vee One através do contrato 005/CELOG-PAMALS/2025; NGS13/07/26.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IFERROR(__xludf.DUMMYFUNCTION("""COMPUTED_VALUE"""),"BANT")</f>
        <v>BANT</v>
      </c>
      <c r="C86" s="352" t="str">
        <f>IFERROR(__xludf.DUMMYFUNCTION("""COMPUTED_VALUE"""),"066-03064-0005")</f>
        <v>066-03064-0005</v>
      </c>
      <c r="D86" s="352" t="str">
        <f>IFERROR(__xludf.DUMMYFUNCTION("""COMPUTED_VALUE"""),"ENCODING ALTIMETER")</f>
        <v>ENCODING ALTIMETER</v>
      </c>
      <c r="E86" s="352" t="str">
        <f>IFERROR(__xludf.DUMMYFUNCTION("""COMPUTED_VALUE"""),"35595")</f>
        <v>35595</v>
      </c>
      <c r="F86" s="352" t="str">
        <f>IFERROR(__xludf.DUMMYFUNCTION("""COMPUTED_VALUE"""),"015/2025")</f>
        <v>015/2025</v>
      </c>
      <c r="G86" s="352" t="str">
        <f>IFERROR(__xludf.DUMMYFUNCTION("""COMPUTED_VALUE"""),"28/07")</f>
        <v>28/07</v>
      </c>
      <c r="H86" s="352" t="str">
        <f>IFERROR(__xludf.DUMMYFUNCTION("""COMPUTED_VALUE"""),"30/01")</f>
        <v>30/01</v>
      </c>
      <c r="I86" s="352" t="str">
        <f>IFERROR(__xludf.DUMMYFUNCTION("""COMPUTED_VALUE"""),"CERTIFICADO ok")</f>
        <v>CERTIFICADO ok</v>
      </c>
      <c r="J86" s="352" t="str">
        <f>IFERROR(__xludf.DUMMYFUNCTION("""COMPUTED_VALUE"""),"21/05")</f>
        <v>21/05</v>
      </c>
      <c r="K86" s="352" t="str">
        <f>IFERROR(__xludf.DUMMYFUNCTION("""COMPUTED_VALUE"""),"*")</f>
        <v>*</v>
      </c>
      <c r="L86" s="353"/>
      <c r="M86" s="353"/>
      <c r="N86" s="353"/>
      <c r="O86" s="353"/>
      <c r="P86" s="353"/>
      <c r="Q86" s="353"/>
      <c r="R86" s="353"/>
      <c r="S86" s="353"/>
      <c r="T86" s="353"/>
      <c r="U86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IFERROR(__xludf.DUMMYFUNCTION("""COMPUTED_VALUE"""),"BABE")</f>
        <v>BABE</v>
      </c>
      <c r="C87" s="352" t="str">
        <f>IFERROR(__xludf.DUMMYFUNCTION("""COMPUTED_VALUE"""),"066-01141-5101")</f>
        <v>066-01141-5101</v>
      </c>
      <c r="D87" s="352" t="str">
        <f>IFERROR(__xludf.DUMMYFUNCTION("""COMPUTED_VALUE"""),"RECEIVER-TRANSMITTER,RADIO (KT71)")</f>
        <v>RECEIVER-TRANSMITTER,RADIO (KT71)</v>
      </c>
      <c r="E87" s="352" t="str">
        <f>IFERROR(__xludf.DUMMYFUNCTION("""COMPUTED_VALUE"""),"4623")</f>
        <v>4623</v>
      </c>
      <c r="F87" s="352" t="str">
        <f>IFERROR(__xludf.DUMMYFUNCTION("""COMPUTED_VALUE"""),"001/2025")</f>
        <v>001/2025</v>
      </c>
      <c r="G87" s="352" t="str">
        <f>IFERROR(__xludf.DUMMYFUNCTION("""COMPUTED_VALUE"""),"26/02")</f>
        <v>26/02</v>
      </c>
      <c r="H87" s="352" t="str">
        <f>IFERROR(__xludf.DUMMYFUNCTION("""COMPUTED_VALUE"""),"06/03")</f>
        <v>06/03</v>
      </c>
      <c r="I87" s="352" t="str">
        <f>IFERROR(__xludf.DUMMYFUNCTION("""COMPUTED_VALUE"""),"orçamento 10")</f>
        <v>orçamento 10</v>
      </c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IFERROR(__xludf.DUMMYFUNCTION("""COMPUTED_VALUE"""),"066-04035-1101")</f>
        <v>066-04035-1101</v>
      </c>
      <c r="D88" s="352" t="str">
        <f>IFERROR(__xludf.DUMMYFUNCTION("""COMPUTED_VALUE"""),"DISPLAY UNIT,RADAR")</f>
        <v>DISPLAY UNIT,RADAR</v>
      </c>
      <c r="E88" s="352" t="str">
        <f>IFERROR(__xludf.DUMMYFUNCTION("""COMPUTED_VALUE"""),"8706")</f>
        <v>8706</v>
      </c>
      <c r="F88" s="352" t="str">
        <f>IFERROR(__xludf.DUMMYFUNCTION("""COMPUTED_VALUE"""),"001/2025")</f>
        <v>001/2025</v>
      </c>
      <c r="G88" s="352" t="str">
        <f>IFERROR(__xludf.DUMMYFUNCTION("""COMPUTED_VALUE"""),"26/02")</f>
        <v>26/02</v>
      </c>
      <c r="H88" s="352" t="str">
        <f>IFERROR(__xludf.DUMMYFUNCTION("""COMPUTED_VALUE"""),"06/03")</f>
        <v>06/03</v>
      </c>
      <c r="I88" s="352" t="str">
        <f>IFERROR(__xludf.DUMMYFUNCTION("""COMPUTED_VALUE"""),"orçamento 10")</f>
        <v>orçamento 10</v>
      </c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IFERROR(__xludf.DUMMYFUNCTION("""COMPUTED_VALUE"""),"1H101-4")</f>
        <v>1H101-4</v>
      </c>
      <c r="D89" s="352" t="str">
        <f>IFERROR(__xludf.DUMMYFUNCTION("""COMPUTED_VALUE"""),"FLOW CONTROL VALVE")</f>
        <v>FLOW CONTROL VALVE</v>
      </c>
      <c r="E89" s="352" t="str">
        <f>IFERROR(__xludf.DUMMYFUNCTION("""COMPUTED_VALUE"""),"9BT12")</f>
        <v>9BT12</v>
      </c>
      <c r="F89" s="352" t="str">
        <f>IFERROR(__xludf.DUMMYFUNCTION("""COMPUTED_VALUE"""),"001/2025")</f>
        <v>001/2025</v>
      </c>
      <c r="G89" s="352" t="str">
        <f>IFERROR(__xludf.DUMMYFUNCTION("""COMPUTED_VALUE"""),"26/02")</f>
        <v>26/02</v>
      </c>
      <c r="H89" s="352" t="str">
        <f>IFERROR(__xludf.DUMMYFUNCTION("""COMPUTED_VALUE"""),"06/03")</f>
        <v>06/03</v>
      </c>
      <c r="I89" s="352" t="str">
        <f>IFERROR(__xludf.DUMMYFUNCTION("""COMPUTED_VALUE"""),"orçamento 10")</f>
        <v>orçamento 10</v>
      </c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IFERROR(__xludf.DUMMYFUNCTION("""COMPUTED_VALUE"""),"BABE")</f>
        <v>BABE</v>
      </c>
      <c r="C90" s="352" t="str">
        <f>IFERROR(__xludf.DUMMYFUNCTION("""COMPUTED_VALUE"""),"C661064-0237")</f>
        <v>C661064-0237</v>
      </c>
      <c r="D90" s="352" t="str">
        <f>IFERROR(__xludf.DUMMYFUNCTION("""COMPUTED_VALUE"""),"AIRSPEED INDICATOR")</f>
        <v>AIRSPEED INDICATOR</v>
      </c>
      <c r="E90" s="352" t="str">
        <f>IFERROR(__xludf.DUMMYFUNCTION("""COMPUTED_VALUE"""),"T25090")</f>
        <v>T25090</v>
      </c>
      <c r="F90" s="352" t="str">
        <f>IFERROR(__xludf.DUMMYFUNCTION("""COMPUTED_VALUE"""),"001/2025")</f>
        <v>001/2025</v>
      </c>
      <c r="G90" s="352" t="str">
        <f>IFERROR(__xludf.DUMMYFUNCTION("""COMPUTED_VALUE"""),"26/02")</f>
        <v>26/02</v>
      </c>
      <c r="H90" s="352" t="str">
        <f>IFERROR(__xludf.DUMMYFUNCTION("""COMPUTED_VALUE"""),"06/03")</f>
        <v>06/03</v>
      </c>
      <c r="I90" s="352" t="str">
        <f>IFERROR(__xludf.DUMMYFUNCTION("""COMPUTED_VALUE"""),"orçamento 10")</f>
        <v>orçamento 10</v>
      </c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IFERROR(__xludf.DUMMYFUNCTION("""COMPUTED_VALUE"""),"BAPV")</f>
        <v>BAPV</v>
      </c>
      <c r="C91" s="352" t="str">
        <f>IFERROR(__xludf.DUMMYFUNCTION("""COMPUTED_VALUE"""),"161-12800")</f>
        <v>161-12800</v>
      </c>
      <c r="D91" s="352" t="str">
        <f>IFERROR(__xludf.DUMMYFUNCTION("""COMPUTED_VALUE"""),"WHEEL HALF ASSY")</f>
        <v>WHEEL HALF ASSY</v>
      </c>
      <c r="E91" s="352" t="str">
        <f>IFERROR(__xludf.DUMMYFUNCTION("""COMPUTED_VALUE"""),"13")</f>
        <v>13</v>
      </c>
      <c r="F91" s="352" t="str">
        <f>IFERROR(__xludf.DUMMYFUNCTION("""COMPUTED_VALUE"""),"007/2025")</f>
        <v>007/2025</v>
      </c>
      <c r="G91" s="352" t="str">
        <f>IFERROR(__xludf.DUMMYFUNCTION("""COMPUTED_VALUE"""),"08/09")</f>
        <v>08/09</v>
      </c>
      <c r="H91" s="352" t="str">
        <f>IFERROR(__xludf.DUMMYFUNCTION("""COMPUTED_VALUE"""),"09/09")</f>
        <v>09/09</v>
      </c>
      <c r="I91" s="352" t="str">
        <f>IFERROR(__xludf.DUMMYFUNCTION("""COMPUTED_VALUE"""),"15/10")</f>
        <v>15/10</v>
      </c>
      <c r="J91" s="352" t="str">
        <f>IFERROR(__xludf.DUMMYFUNCTION("""COMPUTED_VALUE"""),"12/12")</f>
        <v>12/12</v>
      </c>
      <c r="K91" s="352" t="str">
        <f>IFERROR(__xludf.DUMMYFUNCTION("""COMPUTED_VALUE"""),"16/12")</f>
        <v>16/12</v>
      </c>
      <c r="L91" s="352" t="str">
        <f>IFERROR(__xludf.DUMMYFUNCTION("""COMPUTED_VALUE"""),"16/12")</f>
        <v>16/12</v>
      </c>
      <c r="M91" s="352" t="str">
        <f>IFERROR(__xludf.DUMMYFUNCTION("""COMPUTED_VALUE"""),"16/12")</f>
        <v>16/12</v>
      </c>
      <c r="N91" s="352" t="str">
        <f>IFERROR(__xludf.DUMMYFUNCTION("""COMPUTED_VALUE"""),"16/12")</f>
        <v>16/12</v>
      </c>
      <c r="O91" s="352" t="str">
        <f>IFERROR(__xludf.DUMMYFUNCTION("""COMPUTED_VALUE"""),"16/12")</f>
        <v>16/12</v>
      </c>
      <c r="P91" s="353"/>
      <c r="Q91" s="353"/>
      <c r="R91" s="353"/>
      <c r="S91" s="353"/>
      <c r="T91" s="353"/>
      <c r="U91" s="352" t="str">
        <f>IFERROR(__xludf.DUMMYFUNCTION("""COMPUTED_VALUE"""),"OS estava atrelada")</f>
        <v>OS estava atrelada</v>
      </c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IFERROR(__xludf.DUMMYFUNCTION("""COMPUTED_VALUE"""),"BAPV")</f>
        <v>BAPV</v>
      </c>
      <c r="C92" s="352" t="str">
        <f>IFERROR(__xludf.DUMMYFUNCTION("""COMPUTED_VALUE"""),"162-11800")</f>
        <v>162-11800</v>
      </c>
      <c r="D92" s="352" t="str">
        <f>IFERROR(__xludf.DUMMYFUNCTION("""COMPUTED_VALUE"""),"WHEEL HALF ASSY")</f>
        <v>WHEEL HALF ASSY</v>
      </c>
      <c r="E92" s="352" t="str">
        <f>IFERROR(__xludf.DUMMYFUNCTION("""COMPUTED_VALUE"""),"A4H-024-03")</f>
        <v>A4H-024-03</v>
      </c>
      <c r="F92" s="352" t="str">
        <f>IFERROR(__xludf.DUMMYFUNCTION("""COMPUTED_VALUE"""),"007/2025")</f>
        <v>007/2025</v>
      </c>
      <c r="G92" s="352" t="str">
        <f>IFERROR(__xludf.DUMMYFUNCTION("""COMPUTED_VALUE"""),"08/09")</f>
        <v>08/09</v>
      </c>
      <c r="H92" s="352" t="str">
        <f>IFERROR(__xludf.DUMMYFUNCTION("""COMPUTED_VALUE"""),"09/09")</f>
        <v>09/09</v>
      </c>
      <c r="I92" s="352" t="str">
        <f>IFERROR(__xludf.DUMMYFUNCTION("""COMPUTED_VALUE"""),"15/10")</f>
        <v>15/10</v>
      </c>
      <c r="J92" s="352" t="str">
        <f>IFERROR(__xludf.DUMMYFUNCTION("""COMPUTED_VALUE"""),"12/12")</f>
        <v>12/12</v>
      </c>
      <c r="K92" s="352" t="str">
        <f>IFERROR(__xludf.DUMMYFUNCTION("""COMPUTED_VALUE"""),"16/12")</f>
        <v>16/12</v>
      </c>
      <c r="L92" s="352" t="str">
        <f>IFERROR(__xludf.DUMMYFUNCTION("""COMPUTED_VALUE"""),"16/12")</f>
        <v>16/12</v>
      </c>
      <c r="M92" s="352" t="str">
        <f>IFERROR(__xludf.DUMMYFUNCTION("""COMPUTED_VALUE"""),"16/12")</f>
        <v>16/12</v>
      </c>
      <c r="N92" s="352" t="str">
        <f>IFERROR(__xludf.DUMMYFUNCTION("""COMPUTED_VALUE"""),"16/12")</f>
        <v>16/12</v>
      </c>
      <c r="O92" s="352" t="str">
        <f>IFERROR(__xludf.DUMMYFUNCTION("""COMPUTED_VALUE"""),"16/12")</f>
        <v>16/12</v>
      </c>
      <c r="P92" s="353"/>
      <c r="Q92" s="353"/>
      <c r="R92" s="353"/>
      <c r="S92" s="353"/>
      <c r="T92" s="353"/>
      <c r="U92" s="352" t="str">
        <f>IFERROR(__xludf.DUMMYFUNCTION("""COMPUTED_VALUE"""),"Agd certificado corrigido da Vee One")</f>
        <v>Agd certificado corrigido da Vee One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IFERROR(__xludf.DUMMYFUNCTION("""COMPUTED_VALUE"""),"BAMN")</f>
        <v>BAMN</v>
      </c>
      <c r="C93" s="352" t="str">
        <f>IFERROR(__xludf.DUMMYFUNCTION("""COMPUTED_VALUE"""),"76-207-12")</f>
        <v>76-207-12</v>
      </c>
      <c r="D93" s="352" t="str">
        <f>IFERROR(__xludf.DUMMYFUNCTION("""COMPUTED_VALUE"""),"SENSOR, FUEL LEVEL SHORT")</f>
        <v>SENSOR, FUEL LEVEL SHORT</v>
      </c>
      <c r="E93" s="352" t="str">
        <f>IFERROR(__xludf.DUMMYFUNCTION("""COMPUTED_VALUE"""),"VCF01030")</f>
        <v>VCF01030</v>
      </c>
      <c r="F93" s="352" t="str">
        <f>IFERROR(__xludf.DUMMYFUNCTION("""COMPUTED_VALUE"""),"026/2025")</f>
        <v>026/2025</v>
      </c>
      <c r="G93" s="352" t="str">
        <f>IFERROR(__xludf.DUMMYFUNCTION("""COMPUTED_VALUE"""),"25/09")</f>
        <v>25/09</v>
      </c>
      <c r="H93" s="352" t="str">
        <f>IFERROR(__xludf.DUMMYFUNCTION("""COMPUTED_VALUE"""),"13/10")</f>
        <v>13/10</v>
      </c>
      <c r="I93" s="352" t="str">
        <f>IFERROR(__xludf.DUMMYFUNCTION("""COMPUTED_VALUE"""),"Requisição")</f>
        <v>Requisição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IFERROR(__xludf.DUMMYFUNCTION("""COMPUTED_VALUE"""),"011-00878-10")</f>
        <v>011-00878-10</v>
      </c>
      <c r="D94" s="352" t="str">
        <f>IFERROR(__xludf.DUMMYFUNCTION("""COMPUTED_VALUE"""),"TORQUE SERVO GSA-81")</f>
        <v>TORQUE SERVO GSA-81</v>
      </c>
      <c r="E94" s="352" t="str">
        <f>IFERROR(__xludf.DUMMYFUNCTION("""COMPUTED_VALUE"""),"71306971")</f>
        <v>71306971</v>
      </c>
      <c r="F94" s="352" t="str">
        <f>IFERROR(__xludf.DUMMYFUNCTION("""COMPUTED_VALUE"""),"014/2025")</f>
        <v>014/2025</v>
      </c>
      <c r="G94" s="352" t="str">
        <f>IFERROR(__xludf.DUMMYFUNCTION("""COMPUTED_VALUE"""),"19/09")</f>
        <v>19/09</v>
      </c>
      <c r="H94" s="352" t="str">
        <f>IFERROR(__xludf.DUMMYFUNCTION("""COMPUTED_VALUE"""),"09/10")</f>
        <v>09/10</v>
      </c>
      <c r="I94" s="352" t="str">
        <f>IFERROR(__xludf.DUMMYFUNCTION("""COMPUTED_VALUE"""),"15/10, 09/12 e 26/03")</f>
        <v>15/10, 09/12 e 26/03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2" t="str">
        <f>IFERROR(__xludf.DUMMYFUNCTION("""COMPUTED_VALUE"""),"Item não cadastrado no SILOMS")</f>
        <v>Item não cadastrado no SILOMS</v>
      </c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IFERROR(__xludf.DUMMYFUNCTION("""COMPUTED_VALUE"""),"BAMN")</f>
        <v>BAMN</v>
      </c>
      <c r="C95" s="352" t="str">
        <f>IFERROR(__xludf.DUMMYFUNCTION("""COMPUTED_VALUE"""),"011-00883-20")</f>
        <v>011-00883-20</v>
      </c>
      <c r="D95" s="352" t="str">
        <f>IFERROR(__xludf.DUMMYFUNCTION("""COMPUTED_VALUE"""),"RADAR GWX 68 WEATHER")</f>
        <v>RADAR GWX 68 WEATHER</v>
      </c>
      <c r="E95" s="352" t="str">
        <f>IFERROR(__xludf.DUMMYFUNCTION("""COMPUTED_VALUE"""),"47203648")</f>
        <v>47203648</v>
      </c>
      <c r="F95" s="352" t="str">
        <f>IFERROR(__xludf.DUMMYFUNCTION("""COMPUTED_VALUE"""),"018/2025")</f>
        <v>018/2025</v>
      </c>
      <c r="G95" s="352" t="str">
        <f>IFERROR(__xludf.DUMMYFUNCTION("""COMPUTED_VALUE"""),"01/10")</f>
        <v>01/10</v>
      </c>
      <c r="H95" s="352" t="str">
        <f>IFERROR(__xludf.DUMMYFUNCTION("""COMPUTED_VALUE"""),"09/10")</f>
        <v>09/10</v>
      </c>
      <c r="I95" s="352" t="str">
        <f>IFERROR(__xludf.DUMMYFUNCTION("""COMPUTED_VALUE"""),"15/10, 09/12 e 26/03")</f>
        <v>15/10, 09/12 e 26/03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2" t="str">
        <f>IFERROR(__xludf.DUMMYFUNCTION("""COMPUTED_VALUE"""),"Agd termo corrigido da BAMN")</f>
        <v>Agd termo corrigido da BAMN</v>
      </c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IFERROR(__xludf.DUMMYFUNCTION("""COMPUTED_VALUE"""),"BAMN")</f>
        <v>BAMN</v>
      </c>
      <c r="C96" s="352" t="str">
        <f>IFERROR(__xludf.DUMMYFUNCTION("""COMPUTED_VALUE"""),"011-00883-20")</f>
        <v>011-00883-20</v>
      </c>
      <c r="D96" s="352" t="str">
        <f>IFERROR(__xludf.DUMMYFUNCTION("""COMPUTED_VALUE"""),"RADAR GWX 68 WEATHER")</f>
        <v>RADAR GWX 68 WEATHER</v>
      </c>
      <c r="E96" s="352" t="str">
        <f>IFERROR(__xludf.DUMMYFUNCTION("""COMPUTED_VALUE"""),"47202466")</f>
        <v>47202466</v>
      </c>
      <c r="F96" s="352" t="str">
        <f>IFERROR(__xludf.DUMMYFUNCTION("""COMPUTED_VALUE"""),"018/2025")</f>
        <v>018/2025</v>
      </c>
      <c r="G96" s="352" t="str">
        <f>IFERROR(__xludf.DUMMYFUNCTION("""COMPUTED_VALUE"""),"01/10")</f>
        <v>01/10</v>
      </c>
      <c r="H96" s="352" t="str">
        <f>IFERROR(__xludf.DUMMYFUNCTION("""COMPUTED_VALUE"""),"09/10")</f>
        <v>09/10</v>
      </c>
      <c r="I96" s="352" t="str">
        <f>IFERROR(__xludf.DUMMYFUNCTION("""COMPUTED_VALUE"""),"15/10, 09/12 e 26/03")</f>
        <v>15/10, 09/12 e 26/03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2" t="str">
        <f>IFERROR(__xludf.DUMMYFUNCTION("""COMPUTED_VALUE"""),"Agd termo corrigido da BAMN")</f>
        <v>Agd termo corrigido da BAMN</v>
      </c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IFERROR(__xludf.DUMMYFUNCTION("""COMPUTED_VALUE"""),"BAMN")</f>
        <v>BAMN</v>
      </c>
      <c r="C97" s="352" t="str">
        <f>IFERROR(__xludf.DUMMYFUNCTION("""COMPUTED_VALUE"""),"011-01105-01")</f>
        <v>011-01105-01</v>
      </c>
      <c r="D97" s="352" t="str">
        <f>IFERROR(__xludf.DUMMYFUNCTION("""COMPUTED_VALUE"""),"INTEGRATED AVIONICS  UNIT")</f>
        <v>INTEGRATED AVIONICS  UNIT</v>
      </c>
      <c r="E97" s="352" t="str">
        <f>IFERROR(__xludf.DUMMYFUNCTION("""COMPUTED_VALUE"""),"15W005529")</f>
        <v>15W005529</v>
      </c>
      <c r="F97" s="352" t="str">
        <f>IFERROR(__xludf.DUMMYFUNCTION("""COMPUTED_VALUE"""),"033/2025")</f>
        <v>033/2025</v>
      </c>
      <c r="G97" s="352" t="str">
        <f>IFERROR(__xludf.DUMMYFUNCTION("""COMPUTED_VALUE"""),"30/10")</f>
        <v>30/10</v>
      </c>
      <c r="H97" s="352" t="str">
        <f>IFERROR(__xludf.DUMMYFUNCTION("""COMPUTED_VALUE"""),"16/11")</f>
        <v>16/11</v>
      </c>
      <c r="I97" s="352" t="str">
        <f>IFERROR(__xludf.DUMMYFUNCTION("""COMPUTED_VALUE"""),"12/12 e 26/03")</f>
        <v>12/12 e 26/03</v>
      </c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2" t="str">
        <f>IFERROR(__xludf.DUMMYFUNCTION("""COMPUTED_VALUE"""),"Exchange??? Foi proposto requisição pelo SO Rezende.")</f>
        <v>Exchange??? Foi proposto requisição pelo SO Rezende.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IFERROR(__xludf.DUMMYFUNCTION("""COMPUTED_VALUE"""),"BABR")</f>
        <v>BABR</v>
      </c>
      <c r="C98" s="352" t="str">
        <f>IFERROR(__xludf.DUMMYFUNCTION("""COMPUTED_VALUE"""),"069-01033-0101")</f>
        <v>069-01033-0101</v>
      </c>
      <c r="D98" s="352" t="str">
        <f>IFERROR(__xludf.DUMMYFUNCTION("""COMPUTED_VALUE"""),"TRANSCEIVER")</f>
        <v>TRANSCEIVER</v>
      </c>
      <c r="E98" s="352" t="str">
        <f>IFERROR(__xludf.DUMMYFUNCTION("""COMPUTED_VALUE"""),"4288")</f>
        <v>4288</v>
      </c>
      <c r="F98" s="352" t="str">
        <f>IFERROR(__xludf.DUMMYFUNCTION("""COMPUTED_VALUE"""),"005/2025")</f>
        <v>005/2025</v>
      </c>
      <c r="G98" s="352" t="str">
        <f>IFERROR(__xludf.DUMMYFUNCTION("""COMPUTED_VALUE"""),"24/11")</f>
        <v>24/11</v>
      </c>
      <c r="H98" s="352" t="str">
        <f>IFERROR(__xludf.DUMMYFUNCTION("""COMPUTED_VALUE"""),"15/01")</f>
        <v>15/01</v>
      </c>
      <c r="I98" s="352" t="str">
        <f>IFERROR(__xludf.DUMMYFUNCTION("""COMPUTED_VALUE"""),"20/02 e 26/03")</f>
        <v>20/02 e 26/03</v>
      </c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IFERROR(__xludf.DUMMYFUNCTION("""COMPUTED_VALUE"""),"BABR")</f>
        <v>BABR</v>
      </c>
      <c r="C99" s="352" t="str">
        <f>IFERROR(__xludf.DUMMYFUNCTION("""COMPUTED_VALUE"""),"C611008-0101")</f>
        <v>C611008-0101</v>
      </c>
      <c r="D99" s="352" t="str">
        <f>IFERROR(__xludf.DUMMYFUNCTION("""COMPUTED_VALUE"""),"ALTERNADOR CONTROL UNIT")</f>
        <v>ALTERNADOR CONTROL UNIT</v>
      </c>
      <c r="E99" s="352" t="str">
        <f>IFERROR(__xludf.DUMMYFUNCTION("""COMPUTED_VALUE"""),"LS0414")</f>
        <v>LS0414</v>
      </c>
      <c r="F99" s="352" t="str">
        <f>IFERROR(__xludf.DUMMYFUNCTION("""COMPUTED_VALUE"""),"006/2025")</f>
        <v>006/2025</v>
      </c>
      <c r="G99" s="352" t="str">
        <f>IFERROR(__xludf.DUMMYFUNCTION("""COMPUTED_VALUE"""),"28/11")</f>
        <v>28/11</v>
      </c>
      <c r="H99" s="352" t="str">
        <f>IFERROR(__xludf.DUMMYFUNCTION("""COMPUTED_VALUE"""),"15/01")</f>
        <v>15/01</v>
      </c>
      <c r="I99" s="352" t="str">
        <f>IFERROR(__xludf.DUMMYFUNCTION("""COMPUTED_VALUE"""),"20/02 e 26/03")</f>
        <v>20/02 e 26/03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IFERROR(__xludf.DUMMYFUNCTION("""COMPUTED_VALUE"""),"BABR")</f>
        <v>BABR</v>
      </c>
      <c r="C100" s="352" t="str">
        <f>IFERROR(__xludf.DUMMYFUNCTION("""COMPUTED_VALUE"""),"066-01141-5101")</f>
        <v>066-01141-5101</v>
      </c>
      <c r="D100" s="352" t="str">
        <f>IFERROR(__xludf.DUMMYFUNCTION("""COMPUTED_VALUE"""),"RECEIVER-TRANSMITTER,RADIO (KT71)")</f>
        <v>RECEIVER-TRANSMITTER,RADIO (KT71)</v>
      </c>
      <c r="E100" s="352" t="str">
        <f>IFERROR(__xludf.DUMMYFUNCTION("""COMPUTED_VALUE"""),"3861")</f>
        <v>3861</v>
      </c>
      <c r="F100" s="352" t="str">
        <f>IFERROR(__xludf.DUMMYFUNCTION("""COMPUTED_VALUE"""),"007/2025")</f>
        <v>007/2025</v>
      </c>
      <c r="G100" s="352" t="str">
        <f>IFERROR(__xludf.DUMMYFUNCTION("""COMPUTED_VALUE"""),"19/11")</f>
        <v>19/11</v>
      </c>
      <c r="H100" s="352" t="str">
        <f>IFERROR(__xludf.DUMMYFUNCTION("""COMPUTED_VALUE"""),"02/02")</f>
        <v>02/02</v>
      </c>
      <c r="I100" s="352" t="str">
        <f>IFERROR(__xludf.DUMMYFUNCTION("""COMPUTED_VALUE"""),"20/02 e 26/03")</f>
        <v>20/02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IFERROR(__xludf.DUMMYFUNCTION("""COMPUTED_VALUE"""),"BABE")</f>
        <v>BABE</v>
      </c>
      <c r="C101" s="352" t="str">
        <f>IFERROR(__xludf.DUMMYFUNCTION("""COMPUTED_VALUE"""),"011-00916-10")</f>
        <v>011-00916-10</v>
      </c>
      <c r="D101" s="352" t="str">
        <f>IFERROR(__xludf.DUMMYFUNCTION("""COMPUTED_VALUE"""),"UNIDADE DE EXIBIÇÃO DE INFORMAÇÕES DE VOO")</f>
        <v>UNIDADE DE EXIBIÇÃO DE INFORMAÇÕES DE VOO</v>
      </c>
      <c r="E101" s="352" t="str">
        <f>IFERROR(__xludf.DUMMYFUNCTION("""COMPUTED_VALUE"""),"86815635")</f>
        <v>86815635</v>
      </c>
      <c r="F101" s="352" t="str">
        <f>IFERROR(__xludf.DUMMYFUNCTION("""COMPUTED_VALUE"""),"004/2026")</f>
        <v>004/2026</v>
      </c>
      <c r="G101" s="352" t="str">
        <f>IFERROR(__xludf.DUMMYFUNCTION("""COMPUTED_VALUE"""),"24/02")</f>
        <v>24/02</v>
      </c>
      <c r="H101" s="352" t="str">
        <f>IFERROR(__xludf.DUMMYFUNCTION("""COMPUTED_VALUE"""),"24/02")</f>
        <v>24/02</v>
      </c>
      <c r="I101" s="352" t="str">
        <f>IFERROR(__xludf.DUMMYFUNCTION("""COMPUTED_VALUE"""),"26/02, 26/03 e 30/04")</f>
        <v>26/02, 26/03 e 30/04</v>
      </c>
      <c r="J101" s="352" t="str">
        <f>IFERROR(__xludf.DUMMYFUNCTION("""COMPUTED_VALUE"""),"19/05")</f>
        <v>19/05</v>
      </c>
      <c r="K101" s="352" t="str">
        <f>IFERROR(__xludf.DUMMYFUNCTION("""COMPUTED_VALUE"""),"19/05")</f>
        <v>19/05</v>
      </c>
      <c r="L101" s="352" t="str">
        <f>IFERROR(__xludf.DUMMYFUNCTION("""COMPUTED_VALUE"""),"19/05")</f>
        <v>19/05</v>
      </c>
      <c r="M101" s="352" t="str">
        <f>IFERROR(__xludf.DUMMYFUNCTION("""COMPUTED_VALUE"""),"19/05")</f>
        <v>19/05</v>
      </c>
      <c r="N101" s="352" t="str">
        <f>IFERROR(__xludf.DUMMYFUNCTION("""COMPUTED_VALUE"""),"19/05")</f>
        <v>19/05</v>
      </c>
      <c r="O101" s="352" t="str">
        <f>IFERROR(__xludf.DUMMYFUNCTION("""COMPUTED_VALUE"""),"19/05")</f>
        <v>19/05</v>
      </c>
      <c r="P101" s="352" t="str">
        <f>IFERROR(__xludf.DUMMYFUNCTION("""COMPUTED_VALUE"""),"21/05")</f>
        <v>21/05</v>
      </c>
      <c r="Q101" s="352" t="str">
        <f>IFERROR(__xludf.DUMMYFUNCTION("""COMPUTED_VALUE"""),"21/05")</f>
        <v>21/05</v>
      </c>
      <c r="R101" s="353"/>
      <c r="S101" s="353"/>
      <c r="T101" s="353"/>
      <c r="U101" s="352" t="str">
        <f>IFERROR(__xludf.DUMMYFUNCTION("""COMPUTED_VALUE"""),"Exchnage com SN 86819178")</f>
        <v>Exchnage com SN 86819178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IFERROR(__xludf.DUMMYFUNCTION("""COMPUTED_VALUE"""),"BABE")</f>
        <v>BABE</v>
      </c>
      <c r="C102" s="352" t="str">
        <f>IFERROR(__xludf.DUMMYFUNCTION("""COMPUTED_VALUE"""),"453-5060")</f>
        <v>453-5060</v>
      </c>
      <c r="D102" s="352" t="str">
        <f>IFERROR(__xludf.DUMMYFUNCTION("""COMPUTED_VALUE"""),"TRANSMISSOR LOCALIZADOR DE EMERGÊNCIA")</f>
        <v>TRANSMISSOR LOCALIZADOR DE EMERGÊNCIA</v>
      </c>
      <c r="E102" s="352" t="str">
        <f>IFERROR(__xludf.DUMMYFUNCTION("""COMPUTED_VALUE"""),"06457")</f>
        <v>06457</v>
      </c>
      <c r="F102" s="352" t="str">
        <f>IFERROR(__xludf.DUMMYFUNCTION("""COMPUTED_VALUE"""),"006/2026")</f>
        <v>006/2026</v>
      </c>
      <c r="G102" s="352" t="str">
        <f>IFERROR(__xludf.DUMMYFUNCTION("""COMPUTED_VALUE"""),"04/03")</f>
        <v>04/03</v>
      </c>
      <c r="H102" s="352" t="str">
        <f>IFERROR(__xludf.DUMMYFUNCTION("""COMPUTED_VALUE"""),"04/03")</f>
        <v>04/03</v>
      </c>
      <c r="I102" s="352" t="str">
        <f>IFERROR(__xludf.DUMMYFUNCTION("""COMPUTED_VALUE"""),"05/03 e 26/03")</f>
        <v>05/03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IFERROR(__xludf.DUMMYFUNCTION("""COMPUTED_VALUE"""),"BABE")</f>
        <v>BABE</v>
      </c>
      <c r="C103" s="352" t="str">
        <f>IFERROR(__xludf.DUMMYFUNCTION("""COMPUTED_VALUE"""),"5934PAD-3")</f>
        <v>5934PAD-3</v>
      </c>
      <c r="D103" s="352" t="str">
        <f>IFERROR(__xludf.DUMMYFUNCTION("""COMPUTED_VALUE"""),"ALTIMETER")</f>
        <v>ALTIMETER</v>
      </c>
      <c r="E103" s="352" t="str">
        <f>IFERROR(__xludf.DUMMYFUNCTION("""COMPUTED_VALUE"""),"471591")</f>
        <v>471591</v>
      </c>
      <c r="F103" s="352" t="str">
        <f>IFERROR(__xludf.DUMMYFUNCTION("""COMPUTED_VALUE"""),"006/2026")</f>
        <v>006/2026</v>
      </c>
      <c r="G103" s="352" t="str">
        <f>IFERROR(__xludf.DUMMYFUNCTION("""COMPUTED_VALUE"""),"04/03")</f>
        <v>04/03</v>
      </c>
      <c r="H103" s="352" t="str">
        <f>IFERROR(__xludf.DUMMYFUNCTION("""COMPUTED_VALUE"""),"04/03")</f>
        <v>04/03</v>
      </c>
      <c r="I103" s="352" t="str">
        <f>IFERROR(__xludf.DUMMYFUNCTION("""COMPUTED_VALUE"""),"05/03 e 26/03")</f>
        <v>05/03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IFERROR(__xludf.DUMMYFUNCTION("""COMPUTED_VALUE"""),"Segundo a empresa o PN correto é S3828-1.")</f>
        <v>Segundo a empresa o PN correto é S3828-1.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IFERROR(__xludf.DUMMYFUNCTION("""COMPUTED_VALUE"""),"BAMN")</f>
        <v>BAMN</v>
      </c>
      <c r="C104" s="352" t="str">
        <f>IFERROR(__xludf.DUMMYFUNCTION("""COMPUTED_VALUE"""),"C163030-1001")</f>
        <v>C163030-1001</v>
      </c>
      <c r="D104" s="352" t="str">
        <f>IFERROR(__xludf.DUMMYFUNCTION("""COMPUTED_VALUE"""),"MAIN WHEEL BRAKE")</f>
        <v>MAIN WHEEL BRAKE</v>
      </c>
      <c r="E104" s="352" t="str">
        <f>IFERROR(__xludf.DUMMYFUNCTION("""COMPUTED_VALUE"""),"1882C")</f>
        <v>1882C</v>
      </c>
      <c r="F104" s="352" t="str">
        <f>IFERROR(__xludf.DUMMYFUNCTION("""COMPUTED_VALUE"""),"045/2026")</f>
        <v>045/2026</v>
      </c>
      <c r="G104" s="352" t="str">
        <f>IFERROR(__xludf.DUMMYFUNCTION("""COMPUTED_VALUE"""),"17/03")</f>
        <v>17/03</v>
      </c>
      <c r="H104" s="352" t="str">
        <f>IFERROR(__xludf.DUMMYFUNCTION("""COMPUTED_VALUE"""),"18/03")</f>
        <v>18/03</v>
      </c>
      <c r="I104" s="352" t="str">
        <f>IFERROR(__xludf.DUMMYFUNCTION("""COMPUTED_VALUE"""),"23/03")</f>
        <v>23/03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IFERROR(__xludf.DUMMYFUNCTION("""COMPUTED_VALUE"""),"BAMN")</f>
        <v>BAMN</v>
      </c>
      <c r="C105" s="352" t="str">
        <f>IFERROR(__xludf.DUMMYFUNCTION("""COMPUTED_VALUE"""),"030-18200")</f>
        <v>030-18200</v>
      </c>
      <c r="D105" s="352" t="str">
        <f>IFERROR(__xludf.DUMMYFUNCTION("""COMPUTED_VALUE"""),"CONJUNTO DE FREIO")</f>
        <v>CONJUNTO DE FREIO</v>
      </c>
      <c r="E105" s="352" t="str">
        <f>IFERROR(__xludf.DUMMYFUNCTION("""COMPUTED_VALUE"""),"016B")</f>
        <v>016B</v>
      </c>
      <c r="F105" s="352" t="str">
        <f>IFERROR(__xludf.DUMMYFUNCTION("""COMPUTED_VALUE"""),"045/2026")</f>
        <v>045/2026</v>
      </c>
      <c r="G105" s="352" t="str">
        <f>IFERROR(__xludf.DUMMYFUNCTION("""COMPUTED_VALUE"""),"17/03")</f>
        <v>17/03</v>
      </c>
      <c r="H105" s="352" t="str">
        <f>IFERROR(__xludf.DUMMYFUNCTION("""COMPUTED_VALUE"""),"18/03")</f>
        <v>18/03</v>
      </c>
      <c r="I105" s="352" t="str">
        <f>IFERROR(__xludf.DUMMYFUNCTION("""COMPUTED_VALUE"""),"23/03")</f>
        <v>23/03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IFERROR(__xludf.DUMMYFUNCTION("""COMPUTED_VALUE"""),"BABE")</f>
        <v>BABE</v>
      </c>
      <c r="C106" s="352" t="str">
        <f>IFERROR(__xludf.DUMMYFUNCTION("""COMPUTED_VALUE"""),"324843-W020")</f>
        <v>324843-W020</v>
      </c>
      <c r="D106" s="352" t="str">
        <f>IFERROR(__xludf.DUMMYFUNCTION("""COMPUTED_VALUE"""),"HEADSET-MICROPHONE")</f>
        <v>HEADSET-MICROPHONE</v>
      </c>
      <c r="E106" s="352" t="str">
        <f>IFERROR(__xludf.DUMMYFUNCTION("""COMPUTED_VALUE"""),"073200G90080045AE")</f>
        <v>073200G90080045AE</v>
      </c>
      <c r="F106" s="352" t="str">
        <f>IFERROR(__xludf.DUMMYFUNCTION("""COMPUTED_VALUE"""),"007/2026")</f>
        <v>007/2026</v>
      </c>
      <c r="G106" s="352" t="str">
        <f>IFERROR(__xludf.DUMMYFUNCTION("""COMPUTED_VALUE"""),"19/03")</f>
        <v>19/03</v>
      </c>
      <c r="H106" s="352" t="str">
        <f>IFERROR(__xludf.DUMMYFUNCTION("""COMPUTED_VALUE"""),"23/03")</f>
        <v>23/03</v>
      </c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IFERROR(__xludf.DUMMYFUNCTION("""COMPUTED_VALUE"""),"324843-W020")</f>
        <v>324843-W020</v>
      </c>
      <c r="D107" s="352" t="str">
        <f>IFERROR(__xludf.DUMMYFUNCTION("""COMPUTED_VALUE"""),"HEADSET-MICROPHONE")</f>
        <v>HEADSET-MICROPHONE</v>
      </c>
      <c r="E107" s="352" t="str">
        <f>IFERROR(__xludf.DUMMYFUNCTION("""COMPUTED_VALUE"""),"073200G2170087AE")</f>
        <v>073200G2170087AE</v>
      </c>
      <c r="F107" s="352" t="str">
        <f>IFERROR(__xludf.DUMMYFUNCTION("""COMPUTED_VALUE"""),"007/2026")</f>
        <v>007/2026</v>
      </c>
      <c r="G107" s="352" t="str">
        <f>IFERROR(__xludf.DUMMYFUNCTION("""COMPUTED_VALUE"""),"19/03")</f>
        <v>19/03</v>
      </c>
      <c r="H107" s="352" t="str">
        <f>IFERROR(__xludf.DUMMYFUNCTION("""COMPUTED_VALUE"""),"23/03")</f>
        <v>23/03</v>
      </c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2" t="str">
        <f>IFERROR(__xludf.DUMMYFUNCTION("""COMPUTED_VALUE"""),"SN correto 073200G02170087AE")</f>
        <v>SN correto 073200G02170087AE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IFERROR(__xludf.DUMMYFUNCTION("""COMPUTED_VALUE"""),"324843-W020")</f>
        <v>324843-W020</v>
      </c>
      <c r="D108" s="352" t="str">
        <f>IFERROR(__xludf.DUMMYFUNCTION("""COMPUTED_VALUE"""),"HEADSET-MICROPHONE")</f>
        <v>HEADSET-MICROPHONE</v>
      </c>
      <c r="E108" s="352" t="str">
        <f>IFERROR(__xludf.DUMMYFUNCTION("""COMPUTED_VALUE"""),"073200G02170034AE")</f>
        <v>073200G02170034AE</v>
      </c>
      <c r="F108" s="352" t="str">
        <f>IFERROR(__xludf.DUMMYFUNCTION("""COMPUTED_VALUE"""),"007/2026")</f>
        <v>007/2026</v>
      </c>
      <c r="G108" s="352" t="str">
        <f>IFERROR(__xludf.DUMMYFUNCTION("""COMPUTED_VALUE"""),"19/03")</f>
        <v>19/03</v>
      </c>
      <c r="H108" s="352" t="str">
        <f>IFERROR(__xludf.DUMMYFUNCTION("""COMPUTED_VALUE"""),"23/03")</f>
        <v>23/03</v>
      </c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IFERROR(__xludf.DUMMYFUNCTION("""COMPUTED_VALUE"""),"BAMN")</f>
        <v>BAMN</v>
      </c>
      <c r="C109" s="352" t="str">
        <f>IFERROR(__xludf.DUMMYFUNCTION("""COMPUTED_VALUE"""),"011-00916-10")</f>
        <v>011-00916-10</v>
      </c>
      <c r="D109" s="352" t="str">
        <f>IFERROR(__xludf.DUMMYFUNCTION("""COMPUTED_VALUE"""),"UNIDADE DE EXIBIÇÃO DE INFORMAÇÕES DE VOO")</f>
        <v>UNIDADE DE EXIBIÇÃO DE INFORMAÇÕES DE VOO</v>
      </c>
      <c r="E109" s="352" t="str">
        <f>IFERROR(__xludf.DUMMYFUNCTION("""COMPUTED_VALUE"""),"86818658")</f>
        <v>86818658</v>
      </c>
      <c r="F109" s="352" t="str">
        <f>IFERROR(__xludf.DUMMYFUNCTION("""COMPUTED_VALUE"""),"047/2026")</f>
        <v>047/2026</v>
      </c>
      <c r="G109" s="352" t="str">
        <f>IFERROR(__xludf.DUMMYFUNCTION("""COMPUTED_VALUE"""),"26/03")</f>
        <v>26/03</v>
      </c>
      <c r="H109" s="352" t="str">
        <f>IFERROR(__xludf.DUMMYFUNCTION("""COMPUTED_VALUE"""),"26/03")</f>
        <v>26/03</v>
      </c>
      <c r="I109" s="352" t="str">
        <f>IFERROR(__xludf.DUMMYFUNCTION("""COMPUTED_VALUE"""),"26/03")</f>
        <v>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IFERROR(__xludf.DUMMYFUNCTION("""COMPUTED_VALUE"""),"011-00916-10")</f>
        <v>011-00916-10</v>
      </c>
      <c r="D110" s="352" t="str">
        <f>IFERROR(__xludf.DUMMYFUNCTION("""COMPUTED_VALUE"""),"UNIDADE DE EXIBIÇÃO DE INFORMAÇÕES DE VOO")</f>
        <v>UNIDADE DE EXIBIÇÃO DE INFORMAÇÕES DE VOO</v>
      </c>
      <c r="E110" s="352" t="str">
        <f>IFERROR(__xludf.DUMMYFUNCTION("""COMPUTED_VALUE"""),"86816488")</f>
        <v>86816488</v>
      </c>
      <c r="F110" s="352" t="str">
        <f>IFERROR(__xludf.DUMMYFUNCTION("""COMPUTED_VALUE"""),"047/2026")</f>
        <v>047/2026</v>
      </c>
      <c r="G110" s="352" t="str">
        <f>IFERROR(__xludf.DUMMYFUNCTION("""COMPUTED_VALUE"""),"26/03")</f>
        <v>26/03</v>
      </c>
      <c r="H110" s="352" t="str">
        <f>IFERROR(__xludf.DUMMYFUNCTION("""COMPUTED_VALUE"""),"26/03")</f>
        <v>26/03</v>
      </c>
      <c r="I110" s="352" t="str">
        <f>IFERROR(__xludf.DUMMYFUNCTION("""COMPUTED_VALUE"""),"26/03")</f>
        <v>26/03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IFERROR(__xludf.DUMMYFUNCTION("""COMPUTED_VALUE"""),"BABE")</f>
        <v>BABE</v>
      </c>
      <c r="C111" s="352" t="str">
        <f>IFERROR(__xludf.DUMMYFUNCTION("""COMPUTED_VALUE"""),"AD-4078-19")</f>
        <v>AD-4078-19</v>
      </c>
      <c r="D111" s="352" t="str">
        <f>IFERROR(__xludf.DUMMYFUNCTION("""COMPUTED_VALUE"""),"NICKEL CADMIUM BATTERY")</f>
        <v>NICKEL CADMIUM BATTERY</v>
      </c>
      <c r="E111" s="352" t="str">
        <f>IFERROR(__xludf.DUMMYFUNCTION("""COMPUTED_VALUE"""),"510087")</f>
        <v>510087</v>
      </c>
      <c r="F111" s="352" t="str">
        <f>IFERROR(__xludf.DUMMYFUNCTION("""COMPUTED_VALUE"""),"009/2026")</f>
        <v>009/2026</v>
      </c>
      <c r="G111" s="352" t="str">
        <f>IFERROR(__xludf.DUMMYFUNCTION("""COMPUTED_VALUE"""),"31/03")</f>
        <v>31/03</v>
      </c>
      <c r="H111" s="352" t="str">
        <f>IFERROR(__xludf.DUMMYFUNCTION("""COMPUTED_VALUE"""),"31/03")</f>
        <v>31/03</v>
      </c>
      <c r="I111" s="352" t="str">
        <f>IFERROR(__xludf.DUMMYFUNCTION("""COMPUTED_VALUE"""),"Requisição??")</f>
        <v>Requisição??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IFERROR(__xludf.DUMMYFUNCTION("""COMPUTED_VALUE"""),"011-01020-10")</f>
        <v>011-01020-10</v>
      </c>
      <c r="D112" s="352" t="str">
        <f>IFERROR(__xludf.DUMMYFUNCTION("""COMPUTED_VALUE"""),"AFCS MODE CONTROLLER GMC 710")</f>
        <v>AFCS MODE CONTROLLER GMC 710</v>
      </c>
      <c r="E112" s="352" t="str">
        <f>IFERROR(__xludf.DUMMYFUNCTION("""COMPUTED_VALUE"""),"22007425")</f>
        <v>22007425</v>
      </c>
      <c r="F112" s="352" t="str">
        <f>IFERROR(__xludf.DUMMYFUNCTION("""COMPUTED_VALUE"""),"010/2026")</f>
        <v>010/2026</v>
      </c>
      <c r="G112" s="352" t="str">
        <f>IFERROR(__xludf.DUMMYFUNCTION("""COMPUTED_VALUE"""),"06/04")</f>
        <v>06/04</v>
      </c>
      <c r="H112" s="352" t="str">
        <f>IFERROR(__xludf.DUMMYFUNCTION("""COMPUTED_VALUE"""),"06/04")</f>
        <v>06/04</v>
      </c>
      <c r="I112" s="352" t="str">
        <f>IFERROR(__xludf.DUMMYFUNCTION("""COMPUTED_VALUE"""),"06/04")</f>
        <v>06/04</v>
      </c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IFERROR(__xludf.DUMMYFUNCTION("""COMPUTED_VALUE"""),"065-0042-03")</f>
        <v>065-0042-03</v>
      </c>
      <c r="D113" s="352" t="str">
        <f>IFERROR(__xludf.DUMMYFUNCTION("""COMPUTED_VALUE"""),"AUTOPILOT COMPUTER/FLIGHT DIRECTOT")</f>
        <v>AUTOPILOT COMPUTER/FLIGHT DIRECTOT</v>
      </c>
      <c r="E113" s="352" t="str">
        <f>IFERROR(__xludf.DUMMYFUNCTION("""COMPUTED_VALUE"""),"53450")</f>
        <v>53450</v>
      </c>
      <c r="F113" s="352" t="str">
        <f>IFERROR(__xludf.DUMMYFUNCTION("""COMPUTED_VALUE"""),"010/2026")</f>
        <v>010/2026</v>
      </c>
      <c r="G113" s="352" t="str">
        <f>IFERROR(__xludf.DUMMYFUNCTION("""COMPUTED_VALUE"""),"06/04")</f>
        <v>06/04</v>
      </c>
      <c r="H113" s="352" t="str">
        <f>IFERROR(__xludf.DUMMYFUNCTION("""COMPUTED_VALUE"""),"06/04")</f>
        <v>06/04</v>
      </c>
      <c r="I113" s="352" t="str">
        <f>IFERROR(__xludf.DUMMYFUNCTION("""COMPUTED_VALUE"""),"06/04")</f>
        <v>06/04</v>
      </c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IFERROR(__xludf.DUMMYFUNCTION("""COMPUTED_VALUE"""),"CLA")</f>
        <v>CLA</v>
      </c>
      <c r="C114" s="352" t="str">
        <f>IFERROR(__xludf.DUMMYFUNCTION("""COMPUTED_VALUE"""),"066-3046-07")</f>
        <v>066-3046-07</v>
      </c>
      <c r="D114" s="352" t="str">
        <f>IFERROR(__xludf.DUMMYFUNCTION("""COMPUTED_VALUE"""),"CONTROL INDICATOR")</f>
        <v>CONTROL INDICATOR</v>
      </c>
      <c r="E114" s="352" t="str">
        <f>IFERROR(__xludf.DUMMYFUNCTION("""COMPUTED_VALUE"""),"96782")</f>
        <v>96782</v>
      </c>
      <c r="F114" s="352" t="str">
        <f>IFERROR(__xludf.DUMMYFUNCTION("""COMPUTED_VALUE"""),"006/2026")</f>
        <v>006/2026</v>
      </c>
      <c r="G114" s="352" t="str">
        <f>IFERROR(__xludf.DUMMYFUNCTION("""COMPUTED_VALUE"""),"15/02")</f>
        <v>15/02</v>
      </c>
      <c r="H114" s="352" t="str">
        <f>IFERROR(__xludf.DUMMYFUNCTION("""COMPUTED_VALUE"""),"16/04")</f>
        <v>16/04</v>
      </c>
      <c r="I114" s="352" t="str">
        <f>IFERROR(__xludf.DUMMYFUNCTION("""COMPUTED_VALUE"""),"*")</f>
        <v>*</v>
      </c>
      <c r="J114" s="352" t="str">
        <f>IFERROR(__xludf.DUMMYFUNCTION("""COMPUTED_VALUE"""),"06/05")</f>
        <v>06/05</v>
      </c>
      <c r="K114" s="352" t="str">
        <f>IFERROR(__xludf.DUMMYFUNCTION("""COMPUTED_VALUE"""),"07/05")</f>
        <v>07/05</v>
      </c>
      <c r="L114" s="352" t="str">
        <f>IFERROR(__xludf.DUMMYFUNCTION("""COMPUTED_VALUE"""),"07/05")</f>
        <v>07/05</v>
      </c>
      <c r="M114" s="352" t="str">
        <f>IFERROR(__xludf.DUMMYFUNCTION("""COMPUTED_VALUE"""),"08/05")</f>
        <v>08/05</v>
      </c>
      <c r="N114" s="352" t="str">
        <f>IFERROR(__xludf.DUMMYFUNCTION("""COMPUTED_VALUE"""),"08/05")</f>
        <v>08/05</v>
      </c>
      <c r="O114" s="352" t="str">
        <f>IFERROR(__xludf.DUMMYFUNCTION("""COMPUTED_VALUE"""),"08/05")</f>
        <v>08/05</v>
      </c>
      <c r="P114" s="352" t="str">
        <f>IFERROR(__xludf.DUMMYFUNCTION("""COMPUTED_VALUE"""),"13/05")</f>
        <v>13/05</v>
      </c>
      <c r="Q114" s="352" t="str">
        <f>IFERROR(__xludf.DUMMYFUNCTION("""COMPUTED_VALUE"""),"13/05")</f>
        <v>13/05</v>
      </c>
      <c r="R114" s="352" t="str">
        <f>IFERROR(__xludf.DUMMYFUNCTION("""COMPUTED_VALUE"""),"13/05")</f>
        <v>13/05</v>
      </c>
      <c r="S114" s="352" t="str">
        <f>IFERROR(__xludf.DUMMYFUNCTION("""COMPUTED_VALUE"""),"13/05 e 02/06")</f>
        <v>13/05 e 02/06</v>
      </c>
      <c r="T114" s="352" t="str">
        <f>IFERROR(__xludf.DUMMYFUNCTION("""COMPUTED_VALUE"""),"27/06")</f>
        <v>27/06</v>
      </c>
      <c r="U114" s="352" t="str">
        <f>IFERROR(__xludf.DUMMYFUNCTION("""COMPUTED_VALUE"""),"Sem certificado")</f>
        <v>Sem certificado</v>
      </c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IFERROR(__xludf.DUMMYFUNCTION("""COMPUTED_VALUE"""),"CLA")</f>
        <v>CLA</v>
      </c>
      <c r="C115" s="352" t="str">
        <f>IFERROR(__xludf.DUMMYFUNCTION("""COMPUTED_VALUE"""),"324843-W020")</f>
        <v>324843-W020</v>
      </c>
      <c r="D115" s="352" t="str">
        <f>IFERROR(__xludf.DUMMYFUNCTION("""COMPUTED_VALUE"""),"HEADSET-MICROPHONE")</f>
        <v>HEADSET-MICROPHONE</v>
      </c>
      <c r="E115" s="352" t="str">
        <f>IFERROR(__xludf.DUMMYFUNCTION("""COMPUTED_VALUE"""),"073200G63200008AE")</f>
        <v>073200G63200008AE</v>
      </c>
      <c r="F115" s="352" t="str">
        <f>IFERROR(__xludf.DUMMYFUNCTION("""COMPUTED_VALUE"""),"008/2026")</f>
        <v>008/2026</v>
      </c>
      <c r="G115" s="352" t="str">
        <f>IFERROR(__xludf.DUMMYFUNCTION("""COMPUTED_VALUE"""),"20/02")</f>
        <v>20/02</v>
      </c>
      <c r="H115" s="352" t="str">
        <f>IFERROR(__xludf.DUMMYFUNCTION("""COMPUTED_VALUE"""),"16/04")</f>
        <v>16/04</v>
      </c>
      <c r="I115" s="352" t="str">
        <f>IFERROR(__xludf.DUMMYFUNCTION("""COMPUTED_VALUE"""),"*")</f>
        <v>*</v>
      </c>
      <c r="J115" s="352" t="str">
        <f>IFERROR(__xludf.DUMMYFUNCTION("""COMPUTED_VALUE"""),"30/04")</f>
        <v>30/04</v>
      </c>
      <c r="K115" s="352" t="str">
        <f>IFERROR(__xludf.DUMMYFUNCTION("""COMPUTED_VALUE"""),"04/05")</f>
        <v>04/05</v>
      </c>
      <c r="L115" s="352" t="str">
        <f>IFERROR(__xludf.DUMMYFUNCTION("""COMPUTED_VALUE"""),"04/05")</f>
        <v>04/05</v>
      </c>
      <c r="M115" s="352" t="str">
        <f>IFERROR(__xludf.DUMMYFUNCTION("""COMPUTED_VALUE"""),"04/05")</f>
        <v>04/05</v>
      </c>
      <c r="N115" s="352" t="str">
        <f>IFERROR(__xludf.DUMMYFUNCTION("""COMPUTED_VALUE"""),"04/05")</f>
        <v>04/05</v>
      </c>
      <c r="O115" s="352" t="str">
        <f>IFERROR(__xludf.DUMMYFUNCTION("""COMPUTED_VALUE"""),"04/05")</f>
        <v>04/05</v>
      </c>
      <c r="P115" s="352" t="str">
        <f>IFERROR(__xludf.DUMMYFUNCTION("""COMPUTED_VALUE"""),"04/05")</f>
        <v>04/05</v>
      </c>
      <c r="Q115" s="352" t="str">
        <f>IFERROR(__xludf.DUMMYFUNCTION("""COMPUTED_VALUE"""),"04/05")</f>
        <v>04/05</v>
      </c>
      <c r="R115" s="352" t="str">
        <f>IFERROR(__xludf.DUMMYFUNCTION("""COMPUTED_VALUE"""),"14/05")</f>
        <v>14/05</v>
      </c>
      <c r="S115" s="352" t="str">
        <f>IFERROR(__xludf.DUMMYFUNCTION("""COMPUTED_VALUE"""),"14/05 e 02/06")</f>
        <v>14/05 e 02/06</v>
      </c>
      <c r="T115" s="353"/>
      <c r="U115" s="352" t="str">
        <f>IFERROR(__xludf.DUMMYFUNCTION("""COMPUTED_VALUE"""),"Sem SN e certificado")</f>
        <v>Sem SN e certificado</v>
      </c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IFERROR(__xludf.DUMMYFUNCTION("""COMPUTED_VALUE"""),"CLA")</f>
        <v>CLA</v>
      </c>
      <c r="C116" s="352" t="str">
        <f>IFERROR(__xludf.DUMMYFUNCTION("""COMPUTED_VALUE"""),"324843-W020")</f>
        <v>324843-W020</v>
      </c>
      <c r="D116" s="352" t="str">
        <f>IFERROR(__xludf.DUMMYFUNCTION("""COMPUTED_VALUE"""),"HEADSET-MICROPHONE")</f>
        <v>HEADSET-MICROPHONE</v>
      </c>
      <c r="E116" s="352" t="str">
        <f>IFERROR(__xludf.DUMMYFUNCTION("""COMPUTED_VALUE"""),"073200G02170089AE")</f>
        <v>073200G02170089AE</v>
      </c>
      <c r="F116" s="352" t="str">
        <f>IFERROR(__xludf.DUMMYFUNCTION("""COMPUTED_VALUE"""),"008/2026")</f>
        <v>008/2026</v>
      </c>
      <c r="G116" s="352" t="str">
        <f>IFERROR(__xludf.DUMMYFUNCTION("""COMPUTED_VALUE"""),"20/02")</f>
        <v>20/02</v>
      </c>
      <c r="H116" s="352" t="str">
        <f>IFERROR(__xludf.DUMMYFUNCTION("""COMPUTED_VALUE"""),"16/04")</f>
        <v>16/04</v>
      </c>
      <c r="I116" s="352" t="str">
        <f>IFERROR(__xludf.DUMMYFUNCTION("""COMPUTED_VALUE"""),"*")</f>
        <v>*</v>
      </c>
      <c r="J116" s="352" t="str">
        <f>IFERROR(__xludf.DUMMYFUNCTION("""COMPUTED_VALUE"""),"30/04")</f>
        <v>30/04</v>
      </c>
      <c r="K116" s="352" t="str">
        <f>IFERROR(__xludf.DUMMYFUNCTION("""COMPUTED_VALUE"""),"04/05")</f>
        <v>04/05</v>
      </c>
      <c r="L116" s="352" t="str">
        <f>IFERROR(__xludf.DUMMYFUNCTION("""COMPUTED_VALUE"""),"04/05")</f>
        <v>04/05</v>
      </c>
      <c r="M116" s="352" t="str">
        <f>IFERROR(__xludf.DUMMYFUNCTION("""COMPUTED_VALUE"""),"04/05")</f>
        <v>04/05</v>
      </c>
      <c r="N116" s="352" t="str">
        <f>IFERROR(__xludf.DUMMYFUNCTION("""COMPUTED_VALUE"""),"04/05")</f>
        <v>04/05</v>
      </c>
      <c r="O116" s="352" t="str">
        <f>IFERROR(__xludf.DUMMYFUNCTION("""COMPUTED_VALUE"""),"04/05")</f>
        <v>04/05</v>
      </c>
      <c r="P116" s="352" t="str">
        <f>IFERROR(__xludf.DUMMYFUNCTION("""COMPUTED_VALUE"""),"04/05")</f>
        <v>04/05</v>
      </c>
      <c r="Q116" s="352" t="str">
        <f>IFERROR(__xludf.DUMMYFUNCTION("""COMPUTED_VALUE"""),"04/05")</f>
        <v>04/05</v>
      </c>
      <c r="R116" s="352" t="str">
        <f>IFERROR(__xludf.DUMMYFUNCTION("""COMPUTED_VALUE"""),"14/05")</f>
        <v>14/05</v>
      </c>
      <c r="S116" s="352" t="str">
        <f>IFERROR(__xludf.DUMMYFUNCTION("""COMPUTED_VALUE"""),"14/05 e 02/06")</f>
        <v>14/05 e 02/06</v>
      </c>
      <c r="T116" s="353"/>
      <c r="U116" s="352" t="str">
        <f>IFERROR(__xludf.DUMMYFUNCTION("""COMPUTED_VALUE"""),"Sem SN e certificado")</f>
        <v>Sem SN e certificado</v>
      </c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IFERROR(__xludf.DUMMYFUNCTION("""COMPUTED_VALUE"""),"BABR")</f>
        <v>BABR</v>
      </c>
      <c r="C117" s="352" t="str">
        <f>IFERROR(__xludf.DUMMYFUNCTION("""COMPUTED_VALUE"""),"066-3046-07")</f>
        <v>066-3046-07</v>
      </c>
      <c r="D117" s="352" t="str">
        <f>IFERROR(__xludf.DUMMYFUNCTION("""COMPUTED_VALUE"""),"CONTROL INDICATOR")</f>
        <v>CONTROL INDICATOR</v>
      </c>
      <c r="E117" s="352" t="str">
        <f>IFERROR(__xludf.DUMMYFUNCTION("""COMPUTED_VALUE"""),"KI525A-B100660")</f>
        <v>KI525A-B100660</v>
      </c>
      <c r="F117" s="352" t="str">
        <f>IFERROR(__xludf.DUMMYFUNCTION("""COMPUTED_VALUE"""),"015/2026")</f>
        <v>015/2026</v>
      </c>
      <c r="G117" s="352" t="str">
        <f>IFERROR(__xludf.DUMMYFUNCTION("""COMPUTED_VALUE"""),"22/04")</f>
        <v>22/04</v>
      </c>
      <c r="H117" s="352" t="str">
        <f>IFERROR(__xludf.DUMMYFUNCTION("""COMPUTED_VALUE"""),"04/05")</f>
        <v>04/05</v>
      </c>
      <c r="I117" s="352" t="str">
        <f>IFERROR(__xludf.DUMMYFUNCTION("""COMPUTED_VALUE"""),"gmm assinada entregue em 21/05")</f>
        <v>gmm assinada entregue em 21/05</v>
      </c>
      <c r="J117" s="352" t="str">
        <f>IFERROR(__xludf.DUMMYFUNCTION("""COMPUTED_VALUE"""),"21/05")</f>
        <v>21/05</v>
      </c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IFERROR(__xludf.DUMMYFUNCTION("""COMPUTED_VALUE"""),"BABR")</f>
        <v>BABR</v>
      </c>
      <c r="C118" s="352" t="str">
        <f>IFERROR(__xludf.DUMMYFUNCTION("""COMPUTED_VALUE"""),"065-0061-36")</f>
        <v>065-0061-36</v>
      </c>
      <c r="D118" s="352" t="str">
        <f>IFERROR(__xludf.DUMMYFUNCTION("""COMPUTED_VALUE"""),"ACTUATOR TRIM")</f>
        <v>ACTUATOR TRIM</v>
      </c>
      <c r="E118" s="352" t="str">
        <f>IFERROR(__xludf.DUMMYFUNCTION("""COMPUTED_VALUE"""),"42966")</f>
        <v>42966</v>
      </c>
      <c r="F118" s="352" t="str">
        <f>IFERROR(__xludf.DUMMYFUNCTION("""COMPUTED_VALUE"""),"015/2026")</f>
        <v>015/2026</v>
      </c>
      <c r="G118" s="352" t="str">
        <f>IFERROR(__xludf.DUMMYFUNCTION("""COMPUTED_VALUE"""),"22/04")</f>
        <v>22/04</v>
      </c>
      <c r="H118" s="352" t="str">
        <f>IFERROR(__xludf.DUMMYFUNCTION("""COMPUTED_VALUE"""),"04/05")</f>
        <v>04/05</v>
      </c>
      <c r="I118" s="353"/>
      <c r="J118" s="352" t="str">
        <f>IFERROR(__xludf.DUMMYFUNCTION("""COMPUTED_VALUE"""),"21/05")</f>
        <v>21/05</v>
      </c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IFERROR(__xludf.DUMMYFUNCTION("""COMPUTED_VALUE"""),"CLA")</f>
        <v>CLA</v>
      </c>
      <c r="C119" s="352" t="str">
        <f>IFERROR(__xludf.DUMMYFUNCTION("""COMPUTED_VALUE"""),"066-1055-00")</f>
        <v>066-1055-00</v>
      </c>
      <c r="D119" s="352" t="str">
        <f>IFERROR(__xludf.DUMMYFUNCTION("""COMPUTED_VALUE"""),"AUDIO CONTROL PANEL")</f>
        <v>AUDIO CONTROL PANEL</v>
      </c>
      <c r="E119" s="352" t="str">
        <f>IFERROR(__xludf.DUMMYFUNCTION("""COMPUTED_VALUE"""),"35971")</f>
        <v>35971</v>
      </c>
      <c r="F119" s="352" t="str">
        <f>IFERROR(__xludf.DUMMYFUNCTION("""COMPUTED_VALUE"""),"012/2026")</f>
        <v>012/2026</v>
      </c>
      <c r="G119" s="352" t="str">
        <f>IFERROR(__xludf.DUMMYFUNCTION("""COMPUTED_VALUE"""),"23/04")</f>
        <v>23/04</v>
      </c>
      <c r="H119" s="352" t="str">
        <f>IFERROR(__xludf.DUMMYFUNCTION("""COMPUTED_VALUE"""),"04/05")</f>
        <v>04/05</v>
      </c>
      <c r="I119" s="352" t="str">
        <f>IFERROR(__xludf.DUMMYFUNCTION("""COMPUTED_VALUE"""),"*")</f>
        <v>*</v>
      </c>
      <c r="J119" s="352" t="str">
        <f>IFERROR(__xludf.DUMMYFUNCTION("""COMPUTED_VALUE"""),"04/05")</f>
        <v>04/05</v>
      </c>
      <c r="K119" s="352" t="str">
        <f>IFERROR(__xludf.DUMMYFUNCTION("""COMPUTED_VALUE"""),"05/05")</f>
        <v>05/05</v>
      </c>
      <c r="L119" s="352" t="str">
        <f>IFERROR(__xludf.DUMMYFUNCTION("""COMPUTED_VALUE"""),"05/05")</f>
        <v>05/05</v>
      </c>
      <c r="M119" s="352" t="str">
        <f>IFERROR(__xludf.DUMMYFUNCTION("""COMPUTED_VALUE"""),"05/05")</f>
        <v>05/05</v>
      </c>
      <c r="N119" s="352" t="str">
        <f>IFERROR(__xludf.DUMMYFUNCTION("""COMPUTED_VALUE"""),"05/05")</f>
        <v>05/05</v>
      </c>
      <c r="O119" s="352" t="str">
        <f>IFERROR(__xludf.DUMMYFUNCTION("""COMPUTED_VALUE"""),"05/05")</f>
        <v>05/05</v>
      </c>
      <c r="P119" s="352" t="str">
        <f>IFERROR(__xludf.DUMMYFUNCTION("""COMPUTED_VALUE"""),"06/05")</f>
        <v>06/05</v>
      </c>
      <c r="Q119" s="352" t="str">
        <f>IFERROR(__xludf.DUMMYFUNCTION("""COMPUTED_VALUE"""),"06/05")</f>
        <v>06/05</v>
      </c>
      <c r="R119" s="352" t="str">
        <f>IFERROR(__xludf.DUMMYFUNCTION("""COMPUTED_VALUE"""),"06/05")</f>
        <v>06/05</v>
      </c>
      <c r="S119" s="352" t="str">
        <f>IFERROR(__xludf.DUMMYFUNCTION("""COMPUTED_VALUE"""),"06/05 e 02/06")</f>
        <v>06/05 e 02/06</v>
      </c>
      <c r="T119" s="352" t="str">
        <f>IFERROR(__xludf.DUMMYFUNCTION("""COMPUTED_VALUE"""),"30/06")</f>
        <v>30/06</v>
      </c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IFERROR(__xludf.DUMMYFUNCTION("""COMPUTED_VALUE"""),"BABR")</f>
        <v>BABR</v>
      </c>
      <c r="C120" s="352" t="str">
        <f>IFERROR(__xludf.DUMMYFUNCTION("""COMPUTED_VALUE"""),"51539-012N")</f>
        <v>51539-012N</v>
      </c>
      <c r="D120" s="352" t="str">
        <f>IFERROR(__xludf.DUMMYFUNCTION("""COMPUTED_VALUE"""),"CONTROL UNIT ASSY-GENERATOR")</f>
        <v>CONTROL UNIT ASSY-GENERATOR</v>
      </c>
      <c r="E120" s="352" t="str">
        <f>IFERROR(__xludf.DUMMYFUNCTION("""COMPUTED_VALUE"""),"P2033")</f>
        <v>P2033</v>
      </c>
      <c r="F120" s="352" t="str">
        <f>IFERROR(__xludf.DUMMYFUNCTION("""COMPUTED_VALUE"""),"016/2026")</f>
        <v>016/2026</v>
      </c>
      <c r="G120" s="352" t="str">
        <f>IFERROR(__xludf.DUMMYFUNCTION("""COMPUTED_VALUE"""),"04/05")</f>
        <v>04/05</v>
      </c>
      <c r="H120" s="352" t="str">
        <f>IFERROR(__xludf.DUMMYFUNCTION("""COMPUTED_VALUE"""),"04/05")</f>
        <v>04/05</v>
      </c>
      <c r="I120" s="352" t="str">
        <f>IFERROR(__xludf.DUMMYFUNCTION("""COMPUTED_VALUE"""),"*")</f>
        <v>*</v>
      </c>
      <c r="J120" s="352" t="str">
        <f>IFERROR(__xludf.DUMMYFUNCTION("""COMPUTED_VALUE"""),"05/05")</f>
        <v>05/05</v>
      </c>
      <c r="K120" s="352" t="str">
        <f>IFERROR(__xludf.DUMMYFUNCTION("""COMPUTED_VALUE"""),"22/05")</f>
        <v>22/05</v>
      </c>
      <c r="L120" s="352" t="str">
        <f>IFERROR(__xludf.DUMMYFUNCTION("""COMPUTED_VALUE"""),"22/05")</f>
        <v>22/05</v>
      </c>
      <c r="M120" s="352" t="str">
        <f>IFERROR(__xludf.DUMMYFUNCTION("""COMPUTED_VALUE"""),"25/05")</f>
        <v>25/05</v>
      </c>
      <c r="N120" s="352" t="str">
        <f>IFERROR(__xludf.DUMMYFUNCTION("""COMPUTED_VALUE"""),"25/05")</f>
        <v>25/05</v>
      </c>
      <c r="O120" s="352" t="str">
        <f>IFERROR(__xludf.DUMMYFUNCTION("""COMPUTED_VALUE"""),"25/05")</f>
        <v>25/05</v>
      </c>
      <c r="P120" s="352" t="str">
        <f>IFERROR(__xludf.DUMMYFUNCTION("""COMPUTED_VALUE"""),"25/05")</f>
        <v>25/05</v>
      </c>
      <c r="Q120" s="352" t="str">
        <f>IFERROR(__xludf.DUMMYFUNCTION("""COMPUTED_VALUE"""),"25/05")</f>
        <v>25/05</v>
      </c>
      <c r="R120" s="352" t="str">
        <f>IFERROR(__xludf.DUMMYFUNCTION("""COMPUTED_VALUE"""),"25/05")</f>
        <v>25/05</v>
      </c>
      <c r="S120" s="353"/>
      <c r="T120" s="353"/>
      <c r="U120" s="352" t="str">
        <f>IFERROR(__xludf.DUMMYFUNCTION("""COMPUTED_VALUE"""),"exchange com SN 96967")</f>
        <v>exchange com SN 96967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IFERROR(__xludf.DUMMYFUNCTION("""COMPUTED_VALUE"""),"BABR")</f>
        <v>BABR</v>
      </c>
      <c r="C121" s="352" t="str">
        <f>IFERROR(__xludf.DUMMYFUNCTION("""COMPUTED_VALUE"""),"060-0017-00")</f>
        <v>060-0017-00</v>
      </c>
      <c r="D121" s="352" t="str">
        <f>IFERROR(__xludf.DUMMYFUNCTION("""COMPUTED_VALUE"""),"IND DE COMANDO DE VOO")</f>
        <v>IND DE COMANDO DE VOO</v>
      </c>
      <c r="E121" s="352" t="str">
        <f>IFERROR(__xludf.DUMMYFUNCTION("""COMPUTED_VALUE"""),"KI256-25707")</f>
        <v>KI256-25707</v>
      </c>
      <c r="F121" s="352" t="str">
        <f>IFERROR(__xludf.DUMMYFUNCTION("""COMPUTED_VALUE"""),"018/2026")</f>
        <v>018/2026</v>
      </c>
      <c r="G121" s="352" t="str">
        <f>IFERROR(__xludf.DUMMYFUNCTION("""COMPUTED_VALUE"""),"04/05")</f>
        <v>04/05</v>
      </c>
      <c r="H121" s="352" t="str">
        <f>IFERROR(__xludf.DUMMYFUNCTION("""COMPUTED_VALUE"""),"04/05")</f>
        <v>04/05</v>
      </c>
      <c r="I121" s="352" t="str">
        <f>IFERROR(__xludf.DUMMYFUNCTION("""COMPUTED_VALUE"""),"*")</f>
        <v>*</v>
      </c>
      <c r="J121" s="352" t="str">
        <f>IFERROR(__xludf.DUMMYFUNCTION("""COMPUTED_VALUE"""),"05/05")</f>
        <v>05/05</v>
      </c>
      <c r="K121" s="352" t="str">
        <f>IFERROR(__xludf.DUMMYFUNCTION("""COMPUTED_VALUE"""),"22/05")</f>
        <v>22/05</v>
      </c>
      <c r="L121" s="352" t="str">
        <f>IFERROR(__xludf.DUMMYFUNCTION("""COMPUTED_VALUE"""),"22/05")</f>
        <v>22/05</v>
      </c>
      <c r="M121" s="352" t="str">
        <f>IFERROR(__xludf.DUMMYFUNCTION("""COMPUTED_VALUE"""),"25/05")</f>
        <v>25/05</v>
      </c>
      <c r="N121" s="352" t="str">
        <f>IFERROR(__xludf.DUMMYFUNCTION("""COMPUTED_VALUE"""),"25/05")</f>
        <v>25/05</v>
      </c>
      <c r="O121" s="352" t="str">
        <f>IFERROR(__xludf.DUMMYFUNCTION("""COMPUTED_VALUE"""),"25/05")</f>
        <v>25/05</v>
      </c>
      <c r="P121" s="352" t="str">
        <f>IFERROR(__xludf.DUMMYFUNCTION("""COMPUTED_VALUE"""),"25/05")</f>
        <v>25/05</v>
      </c>
      <c r="Q121" s="352" t="str">
        <f>IFERROR(__xludf.DUMMYFUNCTION("""COMPUTED_VALUE"""),"25/05")</f>
        <v>25/05</v>
      </c>
      <c r="R121" s="352" t="str">
        <f>IFERROR(__xludf.DUMMYFUNCTION("""COMPUTED_VALUE"""),"25/05")</f>
        <v>25/05</v>
      </c>
      <c r="S121" s="353"/>
      <c r="T121" s="353"/>
      <c r="U121" s="353"/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IFERROR(__xludf.DUMMYFUNCTION("""COMPUTED_VALUE"""),"BAMN")</f>
        <v>BAMN</v>
      </c>
      <c r="C122" s="352" t="str">
        <f>IFERROR(__xludf.DUMMYFUNCTION("""COMPUTED_VALUE"""),"161-12800")</f>
        <v>161-12800</v>
      </c>
      <c r="D122" s="352" t="str">
        <f>IFERROR(__xludf.DUMMYFUNCTION("""COMPUTED_VALUE"""),"WHEEL HALF ASSY")</f>
        <v>WHEEL HALF ASSY</v>
      </c>
      <c r="E122" s="352" t="str">
        <f>IFERROR(__xludf.DUMMYFUNCTION("""COMPUTED_VALUE"""),"4793")</f>
        <v>4793</v>
      </c>
      <c r="F122" s="352" t="str">
        <f>IFERROR(__xludf.DUMMYFUNCTION("""COMPUTED_VALUE"""),"061/2026")</f>
        <v>061/2026</v>
      </c>
      <c r="G122" s="352" t="str">
        <f>IFERROR(__xludf.DUMMYFUNCTION("""COMPUTED_VALUE"""),"07/05")</f>
        <v>07/05</v>
      </c>
      <c r="H122" s="352" t="str">
        <f>IFERROR(__xludf.DUMMYFUNCTION("""COMPUTED_VALUE"""),"08/05")</f>
        <v>08/05</v>
      </c>
      <c r="I122" s="352" t="str">
        <f>IFERROR(__xludf.DUMMYFUNCTION("""COMPUTED_VALUE"""),"SN diferente")</f>
        <v>SN diferente</v>
      </c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IFERROR(__xludf.DUMMYFUNCTION("""COMPUTED_VALUE"""),"BAMN")</f>
        <v>BAMN</v>
      </c>
      <c r="C123" s="352" t="str">
        <f>IFERROR(__xludf.DUMMYFUNCTION("""COMPUTED_VALUE"""),"030-18200")</f>
        <v>030-18200</v>
      </c>
      <c r="D123" s="352" t="str">
        <f>IFERROR(__xludf.DUMMYFUNCTION("""COMPUTED_VALUE"""),"CONJUNTO DE FREIO")</f>
        <v>CONJUNTO DE FREIO</v>
      </c>
      <c r="E123" s="352" t="str">
        <f>IFERROR(__xludf.DUMMYFUNCTION("""COMPUTED_VALUE"""),"015A")</f>
        <v>015A</v>
      </c>
      <c r="F123" s="352" t="str">
        <f>IFERROR(__xludf.DUMMYFUNCTION("""COMPUTED_VALUE"""),"062/2026")</f>
        <v>062/2026</v>
      </c>
      <c r="G123" s="352" t="str">
        <f>IFERROR(__xludf.DUMMYFUNCTION("""COMPUTED_VALUE"""),"07/05")</f>
        <v>07/05</v>
      </c>
      <c r="H123" s="352" t="str">
        <f>IFERROR(__xludf.DUMMYFUNCTION("""COMPUTED_VALUE"""),"08/05")</f>
        <v>08/05</v>
      </c>
      <c r="I123" s="352" t="str">
        <f>IFERROR(__xludf.DUMMYFUNCTION("""COMPUTED_VALUE"""),"corrigir PN do certificado")</f>
        <v>corrigir PN do certificado</v>
      </c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IFERROR(__xludf.DUMMYFUNCTION("""COMPUTED_VALUE"""),"BAMN")</f>
        <v>BAMN</v>
      </c>
      <c r="C124" s="352" t="str">
        <f>IFERROR(__xludf.DUMMYFUNCTION("""COMPUTED_VALUE"""),"030-18200")</f>
        <v>030-18200</v>
      </c>
      <c r="D124" s="352" t="str">
        <f>IFERROR(__xludf.DUMMYFUNCTION("""COMPUTED_VALUE"""),"CONJUNTO DE FREIO")</f>
        <v>CONJUNTO DE FREIO</v>
      </c>
      <c r="E124" s="352" t="str">
        <f>IFERROR(__xludf.DUMMYFUNCTION("""COMPUTED_VALUE"""),"327")</f>
        <v>327</v>
      </c>
      <c r="F124" s="352" t="str">
        <f>IFERROR(__xludf.DUMMYFUNCTION("""COMPUTED_VALUE"""),"062/2026")</f>
        <v>062/2026</v>
      </c>
      <c r="G124" s="352" t="str">
        <f>IFERROR(__xludf.DUMMYFUNCTION("""COMPUTED_VALUE"""),"07/05")</f>
        <v>07/05</v>
      </c>
      <c r="H124" s="352" t="str">
        <f>IFERROR(__xludf.DUMMYFUNCTION("""COMPUTED_VALUE"""),"08/05")</f>
        <v>08/05</v>
      </c>
      <c r="I124" s="352" t="str">
        <f>IFERROR(__xludf.DUMMYFUNCTION("""COMPUTED_VALUE"""),"corrigir PN do certificado")</f>
        <v>corrigir PN do certificado</v>
      </c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IFERROR(__xludf.DUMMYFUNCTION("""COMPUTED_VALUE"""),"BAMN")</f>
        <v>BAMN</v>
      </c>
      <c r="C125" s="352" t="str">
        <f>IFERROR(__xludf.DUMMYFUNCTION("""COMPUTED_VALUE"""),"2682001-1")</f>
        <v>2682001-1</v>
      </c>
      <c r="D125" s="352" t="str">
        <f>IFERROR(__xludf.DUMMYFUNCTION("""COMPUTED_VALUE"""),"CILINDRO DE FREIO")</f>
        <v>CILINDRO DE FREIO</v>
      </c>
      <c r="E125" s="352" t="str">
        <f>IFERROR(__xludf.DUMMYFUNCTION("""COMPUTED_VALUE"""),"ATE3715")</f>
        <v>ATE3715</v>
      </c>
      <c r="F125" s="352" t="str">
        <f>IFERROR(__xludf.DUMMYFUNCTION("""COMPUTED_VALUE"""),"062/2026")</f>
        <v>062/2026</v>
      </c>
      <c r="G125" s="352" t="str">
        <f>IFERROR(__xludf.DUMMYFUNCTION("""COMPUTED_VALUE"""),"07/05")</f>
        <v>07/05</v>
      </c>
      <c r="H125" s="352" t="str">
        <f>IFERROR(__xludf.DUMMYFUNCTION("""COMPUTED_VALUE"""),"08/05")</f>
        <v>08/05</v>
      </c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IFERROR(__xludf.DUMMYFUNCTION("""COMPUTED_VALUE"""),"BABR")</f>
        <v>BABR</v>
      </c>
      <c r="C126" s="352" t="str">
        <f>IFERROR(__xludf.DUMMYFUNCTION("""COMPUTED_VALUE"""),"066-3046-07")</f>
        <v>066-3046-07</v>
      </c>
      <c r="D126" s="352" t="str">
        <f>IFERROR(__xludf.DUMMYFUNCTION("""COMPUTED_VALUE"""),"CONTROL INDICATOR")</f>
        <v>CONTROL INDICATOR</v>
      </c>
      <c r="E126" s="352" t="str">
        <f>IFERROR(__xludf.DUMMYFUNCTION("""COMPUTED_VALUE"""),"89292")</f>
        <v>89292</v>
      </c>
      <c r="F126" s="352" t="str">
        <f>IFERROR(__xludf.DUMMYFUNCTION("""COMPUTED_VALUE"""),"019/2026")</f>
        <v>019/2026</v>
      </c>
      <c r="G126" s="352" t="str">
        <f>IFERROR(__xludf.DUMMYFUNCTION("""COMPUTED_VALUE"""),"11/05")</f>
        <v>11/05</v>
      </c>
      <c r="H126" s="352" t="str">
        <f>IFERROR(__xludf.DUMMYFUNCTION("""COMPUTED_VALUE"""),"13/05")</f>
        <v>13/05</v>
      </c>
      <c r="I126" s="353"/>
      <c r="J126" s="352" t="str">
        <f>IFERROR(__xludf.DUMMYFUNCTION("""COMPUTED_VALUE"""),"13/05")</f>
        <v>13/05</v>
      </c>
      <c r="K126" s="352" t="str">
        <f>IFERROR(__xludf.DUMMYFUNCTION("""COMPUTED_VALUE"""),"13/05")</f>
        <v>13/05</v>
      </c>
      <c r="L126" s="352" t="str">
        <f>IFERROR(__xludf.DUMMYFUNCTION("""COMPUTED_VALUE"""),"13/05")</f>
        <v>13/05</v>
      </c>
      <c r="M126" s="352" t="str">
        <f>IFERROR(__xludf.DUMMYFUNCTION("""COMPUTED_VALUE"""),"13/05")</f>
        <v>13/05</v>
      </c>
      <c r="N126" s="352" t="str">
        <f>IFERROR(__xludf.DUMMYFUNCTION("""COMPUTED_VALUE"""),"13/05")</f>
        <v>13/05</v>
      </c>
      <c r="O126" s="352" t="str">
        <f>IFERROR(__xludf.DUMMYFUNCTION("""COMPUTED_VALUE"""),"13/05")</f>
        <v>13/05</v>
      </c>
      <c r="P126" s="352" t="str">
        <f>IFERROR(__xludf.DUMMYFUNCTION("""COMPUTED_VALUE"""),"14/05")</f>
        <v>14/05</v>
      </c>
      <c r="Q126" s="352" t="str">
        <f>IFERROR(__xludf.DUMMYFUNCTION("""COMPUTED_VALUE"""),"14/05")</f>
        <v>14/05</v>
      </c>
      <c r="R126" s="352" t="str">
        <f>IFERROR(__xludf.DUMMYFUNCTION("""COMPUTED_VALUE"""),"14/05")</f>
        <v>14/05</v>
      </c>
      <c r="S126" s="352" t="str">
        <f>IFERROR(__xludf.DUMMYFUNCTION("""COMPUTED_VALUE"""),"14/05 e 02/06")</f>
        <v>14/05 e 02/06</v>
      </c>
      <c r="T126" s="353"/>
      <c r="U126" s="352" t="str">
        <f>IFERROR(__xludf.DUMMYFUNCTION("""COMPUTED_VALUE"""),"RECEBIMENTO PENDENTE - ENTRADA EM ABERTO - GODOY 13/07/26")</f>
        <v>RECEBIMENTO PENDENTE - ENTRADA EM ABERTO - GODOY 13/07/26</v>
      </c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IFERROR(__xludf.DUMMYFUNCTION("""COMPUTED_VALUE"""),"BABR")</f>
        <v>BABR</v>
      </c>
      <c r="C127" s="352" t="str">
        <f>IFERROR(__xludf.DUMMYFUNCTION("""COMPUTED_VALUE"""),"2641011-5")</f>
        <v>2641011-5</v>
      </c>
      <c r="D127" s="352" t="str">
        <f>IFERROR(__xludf.DUMMYFUNCTION("""COMPUTED_VALUE"""),"AXLE-MAIN GEAR")</f>
        <v>AXLE-MAIN GEAR</v>
      </c>
      <c r="E127" s="352" t="str">
        <f>IFERROR(__xludf.DUMMYFUNCTION("""COMPUTED_VALUE"""),"3275-5")</f>
        <v>3275-5</v>
      </c>
      <c r="F127" s="352" t="str">
        <f>IFERROR(__xludf.DUMMYFUNCTION("""COMPUTED_VALUE"""),"020/2026")</f>
        <v>020/2026</v>
      </c>
      <c r="G127" s="352" t="str">
        <f>IFERROR(__xludf.DUMMYFUNCTION("""COMPUTED_VALUE"""),"11/05")</f>
        <v>11/05</v>
      </c>
      <c r="H127" s="352" t="str">
        <f>IFERROR(__xludf.DUMMYFUNCTION("""COMPUTED_VALUE"""),"18/05")</f>
        <v>18/05</v>
      </c>
      <c r="I127" s="352" t="str">
        <f>IFERROR(__xludf.DUMMYFUNCTION("""COMPUTED_VALUE"""),"*")</f>
        <v>*</v>
      </c>
      <c r="J127" s="352" t="str">
        <f>IFERROR(__xludf.DUMMYFUNCTION("""COMPUTED_VALUE"""),"18/05")</f>
        <v>18/05</v>
      </c>
      <c r="K127" s="352" t="str">
        <f>IFERROR(__xludf.DUMMYFUNCTION("""COMPUTED_VALUE"""),"19/05")</f>
        <v>19/05</v>
      </c>
      <c r="L127" s="352" t="str">
        <f>IFERROR(__xludf.DUMMYFUNCTION("""COMPUTED_VALUE"""),"19/05")</f>
        <v>19/05</v>
      </c>
      <c r="M127" s="352" t="str">
        <f>IFERROR(__xludf.DUMMYFUNCTION("""COMPUTED_VALUE"""),"19/05")</f>
        <v>19/05</v>
      </c>
      <c r="N127" s="352" t="str">
        <f>IFERROR(__xludf.DUMMYFUNCTION("""COMPUTED_VALUE"""),"19/05")</f>
        <v>19/05</v>
      </c>
      <c r="O127" s="352" t="str">
        <f>IFERROR(__xludf.DUMMYFUNCTION("""COMPUTED_VALUE"""),"19/05")</f>
        <v>19/05</v>
      </c>
      <c r="P127" s="352" t="str">
        <f>IFERROR(__xludf.DUMMYFUNCTION("""COMPUTED_VALUE"""),"21/05")</f>
        <v>21/05</v>
      </c>
      <c r="Q127" s="352" t="str">
        <f>IFERROR(__xludf.DUMMYFUNCTION("""COMPUTED_VALUE"""),"21/05")</f>
        <v>21/05</v>
      </c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IFERROR(__xludf.DUMMYFUNCTION("""COMPUTED_VALUE"""),"BABR")</f>
        <v>BABR</v>
      </c>
      <c r="C128" s="352" t="str">
        <f>IFERROR(__xludf.DUMMYFUNCTION("""COMPUTED_VALUE"""),"2641011-5")</f>
        <v>2641011-5</v>
      </c>
      <c r="D128" s="352" t="str">
        <f>IFERROR(__xludf.DUMMYFUNCTION("""COMPUTED_VALUE"""),"AXLE-MAIN GEAR")</f>
        <v>AXLE-MAIN GEAR</v>
      </c>
      <c r="E128" s="352" t="str">
        <f>IFERROR(__xludf.DUMMYFUNCTION("""COMPUTED_VALUE"""),"2668-5")</f>
        <v>2668-5</v>
      </c>
      <c r="F128" s="352" t="str">
        <f>IFERROR(__xludf.DUMMYFUNCTION("""COMPUTED_VALUE"""),"020/2026")</f>
        <v>020/2026</v>
      </c>
      <c r="G128" s="352" t="str">
        <f>IFERROR(__xludf.DUMMYFUNCTION("""COMPUTED_VALUE"""),"11/05")</f>
        <v>11/05</v>
      </c>
      <c r="H128" s="352" t="str">
        <f>IFERROR(__xludf.DUMMYFUNCTION("""COMPUTED_VALUE"""),"18/05")</f>
        <v>18/05</v>
      </c>
      <c r="I128" s="352" t="str">
        <f>IFERROR(__xludf.DUMMYFUNCTION("""COMPUTED_VALUE"""),"*")</f>
        <v>*</v>
      </c>
      <c r="J128" s="352" t="str">
        <f>IFERROR(__xludf.DUMMYFUNCTION("""COMPUTED_VALUE"""),"18/05")</f>
        <v>18/05</v>
      </c>
      <c r="K128" s="352" t="str">
        <f>IFERROR(__xludf.DUMMYFUNCTION("""COMPUTED_VALUE"""),"19/05")</f>
        <v>19/05</v>
      </c>
      <c r="L128" s="352" t="str">
        <f>IFERROR(__xludf.DUMMYFUNCTION("""COMPUTED_VALUE"""),"19/05")</f>
        <v>19/05</v>
      </c>
      <c r="M128" s="352" t="str">
        <f>IFERROR(__xludf.DUMMYFUNCTION("""COMPUTED_VALUE"""),"19/05")</f>
        <v>19/05</v>
      </c>
      <c r="N128" s="352" t="str">
        <f>IFERROR(__xludf.DUMMYFUNCTION("""COMPUTED_VALUE"""),"19/05")</f>
        <v>19/05</v>
      </c>
      <c r="O128" s="352" t="str">
        <f>IFERROR(__xludf.DUMMYFUNCTION("""COMPUTED_VALUE"""),"19/05")</f>
        <v>19/05</v>
      </c>
      <c r="P128" s="352" t="str">
        <f>IFERROR(__xludf.DUMMYFUNCTION("""COMPUTED_VALUE"""),"21/05")</f>
        <v>21/05</v>
      </c>
      <c r="Q128" s="352" t="str">
        <f>IFERROR(__xludf.DUMMYFUNCTION("""COMPUTED_VALUE"""),"21/05")</f>
        <v>21/05</v>
      </c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IFERROR(__xludf.DUMMYFUNCTION("""COMPUTED_VALUE"""),"BABE")</f>
        <v>BABE</v>
      </c>
      <c r="C129" s="352" t="str">
        <f>IFERROR(__xludf.DUMMYFUNCTION("""COMPUTED_VALUE"""),"3244809-7")</f>
        <v>3244809-7</v>
      </c>
      <c r="D129" s="352" t="str">
        <f>IFERROR(__xludf.DUMMYFUNCTION("""COMPUTED_VALUE"""),"FUEL CONTROL,MAIN,TURBINE ENGINE")</f>
        <v>FUEL CONTROL,MAIN,TURBINE ENGINE</v>
      </c>
      <c r="E129" s="352" t="str">
        <f>IFERROR(__xludf.DUMMYFUNCTION("""COMPUTED_VALUE"""),"A76103")</f>
        <v>A76103</v>
      </c>
      <c r="F129" s="352" t="str">
        <f>IFERROR(__xludf.DUMMYFUNCTION("""COMPUTED_VALUE"""),"013/2026")</f>
        <v>013/2026</v>
      </c>
      <c r="G129" s="352" t="str">
        <f>IFERROR(__xludf.DUMMYFUNCTION("""COMPUTED_VALUE"""),"18/05")</f>
        <v>18/05</v>
      </c>
      <c r="H129" s="352" t="str">
        <f>IFERROR(__xludf.DUMMYFUNCTION("""COMPUTED_VALUE"""),"18/05")</f>
        <v>18/05</v>
      </c>
      <c r="I129" s="353"/>
      <c r="J129" s="352" t="str">
        <f>IFERROR(__xludf.DUMMYFUNCTION("""COMPUTED_VALUE"""),"18/05")</f>
        <v>18/05</v>
      </c>
      <c r="K129" s="352" t="str">
        <f>IFERROR(__xludf.DUMMYFUNCTION("""COMPUTED_VALUE"""),"19/05")</f>
        <v>19/05</v>
      </c>
      <c r="L129" s="352" t="str">
        <f>IFERROR(__xludf.DUMMYFUNCTION("""COMPUTED_VALUE"""),"19/05")</f>
        <v>19/05</v>
      </c>
      <c r="M129" s="352" t="str">
        <f>IFERROR(__xludf.DUMMYFUNCTION("""COMPUTED_VALUE"""),"19/05")</f>
        <v>19/05</v>
      </c>
      <c r="N129" s="352" t="str">
        <f>IFERROR(__xludf.DUMMYFUNCTION("""COMPUTED_VALUE"""),"19/05")</f>
        <v>19/05</v>
      </c>
      <c r="O129" s="352" t="str">
        <f>IFERROR(__xludf.DUMMYFUNCTION("""COMPUTED_VALUE"""),"19/05")</f>
        <v>19/05</v>
      </c>
      <c r="P129" s="352" t="str">
        <f>IFERROR(__xludf.DUMMYFUNCTION("""COMPUTED_VALUE"""),"21/05")</f>
        <v>21/05</v>
      </c>
      <c r="Q129" s="352" t="str">
        <f>IFERROR(__xludf.DUMMYFUNCTION("""COMPUTED_VALUE"""),"21/05")</f>
        <v>21/05</v>
      </c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IFERROR(__xludf.DUMMYFUNCTION("""COMPUTED_VALUE"""),"BABE")</f>
        <v>BABE</v>
      </c>
      <c r="C130" s="352" t="str">
        <f>IFERROR(__xludf.DUMMYFUNCTION("""COMPUTED_VALUE"""),"324843-W020")</f>
        <v>324843-W020</v>
      </c>
      <c r="D130" s="352" t="str">
        <f>IFERROR(__xludf.DUMMYFUNCTION("""COMPUTED_VALUE"""),"HEADSET-MICROPHONE")</f>
        <v>HEADSET-MICROPHONE</v>
      </c>
      <c r="E130" s="352" t="str">
        <f>IFERROR(__xludf.DUMMYFUNCTION("""COMPUTED_VALUE"""),"073200G71360003AE")</f>
        <v>073200G71360003AE</v>
      </c>
      <c r="F130" s="352" t="str">
        <f>IFERROR(__xludf.DUMMYFUNCTION("""COMPUTED_VALUE"""),"013/2026")</f>
        <v>013/2026</v>
      </c>
      <c r="G130" s="352" t="str">
        <f>IFERROR(__xludf.DUMMYFUNCTION("""COMPUTED_VALUE"""),"18/05")</f>
        <v>18/05</v>
      </c>
      <c r="H130" s="352" t="str">
        <f>IFERROR(__xludf.DUMMYFUNCTION("""COMPUTED_VALUE"""),"18/05")</f>
        <v>18/05</v>
      </c>
      <c r="I130" s="353"/>
      <c r="J130" s="352" t="str">
        <f>IFERROR(__xludf.DUMMYFUNCTION("""COMPUTED_VALUE"""),"18/05")</f>
        <v>18/05</v>
      </c>
      <c r="K130" s="352" t="str">
        <f>IFERROR(__xludf.DUMMYFUNCTION("""COMPUTED_VALUE"""),"19/05")</f>
        <v>19/05</v>
      </c>
      <c r="L130" s="352" t="str">
        <f>IFERROR(__xludf.DUMMYFUNCTION("""COMPUTED_VALUE"""),"19/05")</f>
        <v>19/05</v>
      </c>
      <c r="M130" s="352" t="str">
        <f>IFERROR(__xludf.DUMMYFUNCTION("""COMPUTED_VALUE"""),"19/05")</f>
        <v>19/05</v>
      </c>
      <c r="N130" s="352" t="str">
        <f>IFERROR(__xludf.DUMMYFUNCTION("""COMPUTED_VALUE"""),"19/05")</f>
        <v>19/05</v>
      </c>
      <c r="O130" s="352" t="str">
        <f>IFERROR(__xludf.DUMMYFUNCTION("""COMPUTED_VALUE"""),"19/05")</f>
        <v>19/05</v>
      </c>
      <c r="P130" s="352" t="str">
        <f>IFERROR(__xludf.DUMMYFUNCTION("""COMPUTED_VALUE"""),"21/05")</f>
        <v>21/05</v>
      </c>
      <c r="Q130" s="352" t="str">
        <f>IFERROR(__xludf.DUMMYFUNCTION("""COMPUTED_VALUE"""),"21/05")</f>
        <v>21/05</v>
      </c>
      <c r="R130" s="353"/>
      <c r="S130" s="353"/>
      <c r="T130" s="353"/>
      <c r="U130" s="353"/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IFERROR(__xludf.DUMMYFUNCTION("""COMPUTED_VALUE"""),"BABE")</f>
        <v>BABE</v>
      </c>
      <c r="C131" s="352" t="str">
        <f>IFERROR(__xludf.DUMMYFUNCTION("""COMPUTED_VALUE"""),"200SGL119Q-2")</f>
        <v>200SGL119Q-2</v>
      </c>
      <c r="D131" s="352" t="str">
        <f>IFERROR(__xludf.DUMMYFUNCTION("""COMPUTED_VALUE"""),"STARTER GENERATOR")</f>
        <v>STARTER GENERATOR</v>
      </c>
      <c r="E131" s="352" t="str">
        <f>IFERROR(__xludf.DUMMYFUNCTION("""COMPUTED_VALUE"""),"8459XL2")</f>
        <v>8459XL2</v>
      </c>
      <c r="F131" s="352" t="str">
        <f>IFERROR(__xludf.DUMMYFUNCTION("""COMPUTED_VALUE"""),"013/2026")</f>
        <v>013/2026</v>
      </c>
      <c r="G131" s="352" t="str">
        <f>IFERROR(__xludf.DUMMYFUNCTION("""COMPUTED_VALUE"""),"18/05")</f>
        <v>18/05</v>
      </c>
      <c r="H131" s="352" t="str">
        <f>IFERROR(__xludf.DUMMYFUNCTION("""COMPUTED_VALUE"""),"18/05")</f>
        <v>18/05</v>
      </c>
      <c r="I131" s="353"/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IFERROR(__xludf.DUMMYFUNCTION("""COMPUTED_VALUE"""),"BABE")</f>
        <v>BABE</v>
      </c>
      <c r="C132" s="352" t="str">
        <f>IFERROR(__xludf.DUMMYFUNCTION("""COMPUTED_VALUE"""),"C611008-0101")</f>
        <v>C611008-0101</v>
      </c>
      <c r="D132" s="352" t="str">
        <f>IFERROR(__xludf.DUMMYFUNCTION("""COMPUTED_VALUE"""),"ALTERNADOR CONTROL UNIT")</f>
        <v>ALTERNADOR CONTROL UNIT</v>
      </c>
      <c r="E132" s="352" t="str">
        <f>IFERROR(__xludf.DUMMYFUNCTION("""COMPUTED_VALUE"""),"7081234")</f>
        <v>7081234</v>
      </c>
      <c r="F132" s="352" t="str">
        <f>IFERROR(__xludf.DUMMYFUNCTION("""COMPUTED_VALUE"""),"013/2026")</f>
        <v>013/2026</v>
      </c>
      <c r="G132" s="352" t="str">
        <f>IFERROR(__xludf.DUMMYFUNCTION("""COMPUTED_VALUE"""),"18/05")</f>
        <v>18/05</v>
      </c>
      <c r="H132" s="352" t="str">
        <f>IFERROR(__xludf.DUMMYFUNCTION("""COMPUTED_VALUE"""),"18/05")</f>
        <v>18/05</v>
      </c>
      <c r="I132" s="353"/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IFERROR(__xludf.DUMMYFUNCTION("""COMPUTED_VALUE"""),"BANT")</f>
        <v>BANT</v>
      </c>
      <c r="C133" s="352" t="str">
        <f>IFERROR(__xludf.DUMMYFUNCTION("""COMPUTED_VALUE"""),"066-3084-32")</f>
        <v>066-3084-32</v>
      </c>
      <c r="D133" s="352" t="str">
        <f>IFERROR(__xludf.DUMMYFUNCTION("""COMPUTED_VALUE"""),"IND RDR 200 IN")</f>
        <v>IND RDR 200 IN</v>
      </c>
      <c r="E133" s="352" t="str">
        <f>IFERROR(__xludf.DUMMYFUNCTION("""COMPUTED_VALUE"""),"20126")</f>
        <v>20126</v>
      </c>
      <c r="F133" s="352" t="str">
        <f>IFERROR(__xludf.DUMMYFUNCTION("""COMPUTED_VALUE"""),"020/2025")</f>
        <v>020/2025</v>
      </c>
      <c r="G133" s="352" t="str">
        <f>IFERROR(__xludf.DUMMYFUNCTION("""COMPUTED_VALUE"""),"06/08")</f>
        <v>06/08</v>
      </c>
      <c r="H133" s="352" t="str">
        <f>IFERROR(__xludf.DUMMYFUNCTION("""COMPUTED_VALUE"""),"30/01")</f>
        <v>30/01</v>
      </c>
      <c r="I133" s="352" t="str">
        <f>IFERROR(__xludf.DUMMYFUNCTION("""COMPUTED_VALUE"""),"CERTIFICADO")</f>
        <v>CERTIFICADO</v>
      </c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IFERROR(__xludf.DUMMYFUNCTION("""COMPUTED_VALUE"""),"BANT")</f>
        <v>BANT</v>
      </c>
      <c r="C134" s="352" t="str">
        <f>IFERROR(__xludf.DUMMYFUNCTION("""COMPUTED_VALUE"""),"C661064-0237")</f>
        <v>C661064-0237</v>
      </c>
      <c r="D134" s="352" t="str">
        <f>IFERROR(__xludf.DUMMYFUNCTION("""COMPUTED_VALUE"""),"AIRSPEED INDICATOR")</f>
        <v>AIRSPEED INDICATOR</v>
      </c>
      <c r="E134" s="352" t="str">
        <f>IFERROR(__xludf.DUMMYFUNCTION("""COMPUTED_VALUE"""),"T23157")</f>
        <v>T23157</v>
      </c>
      <c r="F134" s="352" t="str">
        <f>IFERROR(__xludf.DUMMYFUNCTION("""COMPUTED_VALUE"""),"022/2025")</f>
        <v>022/2025</v>
      </c>
      <c r="G134" s="352" t="str">
        <f>IFERROR(__xludf.DUMMYFUNCTION("""COMPUTED_VALUE"""),"13/08")</f>
        <v>13/08</v>
      </c>
      <c r="H134" s="352" t="str">
        <f>IFERROR(__xludf.DUMMYFUNCTION("""COMPUTED_VALUE"""),"30/01")</f>
        <v>30/01</v>
      </c>
      <c r="I134" s="352" t="str">
        <f>IFERROR(__xludf.DUMMYFUNCTION("""COMPUTED_VALUE"""),"CERTIFICADO")</f>
        <v>CERTIFICADO</v>
      </c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IFERROR(__xludf.DUMMYFUNCTION("""COMPUTED_VALUE"""),"BANT")</f>
        <v>BANT</v>
      </c>
      <c r="C135" s="352" t="str">
        <f>IFERROR(__xludf.DUMMYFUNCTION("""COMPUTED_VALUE"""),"2606013-1RX")</f>
        <v>2606013-1RX</v>
      </c>
      <c r="D135" s="352" t="str">
        <f>IFERROR(__xludf.DUMMYFUNCTION("""COMPUTED_VALUE"""),"INDICATOR-PERCENT RPM")</f>
        <v>INDICATOR-PERCENT RPM</v>
      </c>
      <c r="E135" s="352" t="str">
        <f>IFERROR(__xludf.DUMMYFUNCTION("""COMPUTED_VALUE"""),"203103")</f>
        <v>203103</v>
      </c>
      <c r="F135" s="352" t="str">
        <f>IFERROR(__xludf.DUMMYFUNCTION("""COMPUTED_VALUE"""),"026/2025")</f>
        <v>026/2025</v>
      </c>
      <c r="G135" s="352" t="str">
        <f>IFERROR(__xludf.DUMMYFUNCTION("""COMPUTED_VALUE"""),"02/08")</f>
        <v>02/08</v>
      </c>
      <c r="H135" s="352" t="str">
        <f>IFERROR(__xludf.DUMMYFUNCTION("""COMPUTED_VALUE"""),"30/01")</f>
        <v>30/01</v>
      </c>
      <c r="I135" s="352" t="str">
        <f>IFERROR(__xludf.DUMMYFUNCTION("""COMPUTED_VALUE"""),"CERTIFICADO e colocar SN no termo")</f>
        <v>CERTIFICADO e colocar SN no termo</v>
      </c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IFERROR(__xludf.DUMMYFUNCTION("""COMPUTED_VALUE"""),"BANT")</f>
        <v>BANT</v>
      </c>
      <c r="C136" s="352" t="str">
        <f>IFERROR(__xludf.DUMMYFUNCTION("""COMPUTED_VALUE"""),"066-04035-1101")</f>
        <v>066-04035-1101</v>
      </c>
      <c r="D136" s="352" t="str">
        <f>IFERROR(__xludf.DUMMYFUNCTION("""COMPUTED_VALUE"""),"DISPLAY UNIT,RADAR")</f>
        <v>DISPLAY UNIT,RADAR</v>
      </c>
      <c r="E136" s="352" t="str">
        <f>IFERROR(__xludf.DUMMYFUNCTION("""COMPUTED_VALUE"""),"KMD540-10071")</f>
        <v>KMD540-10071</v>
      </c>
      <c r="F136" s="352" t="str">
        <f>IFERROR(__xludf.DUMMYFUNCTION("""COMPUTED_VALUE"""),"026/2025")</f>
        <v>026/2025</v>
      </c>
      <c r="G136" s="352" t="str">
        <f>IFERROR(__xludf.DUMMYFUNCTION("""COMPUTED_VALUE"""),"02/08")</f>
        <v>02/08</v>
      </c>
      <c r="H136" s="352" t="str">
        <f>IFERROR(__xludf.DUMMYFUNCTION("""COMPUTED_VALUE"""),"30/01")</f>
        <v>30/01</v>
      </c>
      <c r="I136" s="352" t="str">
        <f>IFERROR(__xludf.DUMMYFUNCTION("""COMPUTED_VALUE"""),"CERTIFICADO e colocar SN no termo")</f>
        <v>CERTIFICADO e colocar SN no termo</v>
      </c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IFERROR(__xludf.DUMMYFUNCTION("""COMPUTED_VALUE"""),"540-1407-4")</f>
        <v>540-1407-4</v>
      </c>
      <c r="D137" s="352" t="str">
        <f>IFERROR(__xludf.DUMMYFUNCTION("""COMPUTED_VALUE""")," VALVE,BLEED,TURBINEENGINE")</f>
        <v> VALVE,BLEED,TURBINEENGINE</v>
      </c>
      <c r="E137" s="352" t="str">
        <f>IFERROR(__xludf.DUMMYFUNCTION("""COMPUTED_VALUE"""),"5385")</f>
        <v>5385</v>
      </c>
      <c r="F137" s="352" t="str">
        <f>IFERROR(__xludf.DUMMYFUNCTION("""COMPUTED_VALUE"""),"027/2025")</f>
        <v>027/2025</v>
      </c>
      <c r="G137" s="352" t="str">
        <f>IFERROR(__xludf.DUMMYFUNCTION("""COMPUTED_VALUE"""),"10/09")</f>
        <v>10/09</v>
      </c>
      <c r="H137" s="352" t="str">
        <f>IFERROR(__xludf.DUMMYFUNCTION("""COMPUTED_VALUE"""),"30/01")</f>
        <v>30/01</v>
      </c>
      <c r="I137" s="352" t="str">
        <f>IFERROR(__xludf.DUMMYFUNCTION("""COMPUTED_VALUE"""),"CERTIFICADO ok")</f>
        <v>CERTIFICADO ok</v>
      </c>
      <c r="J137" s="352" t="str">
        <f>IFERROR(__xludf.DUMMYFUNCTION("""COMPUTED_VALUE"""),"21/05")</f>
        <v>21/05</v>
      </c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IFERROR(__xludf.DUMMYFUNCTION("""COMPUTED_VALUE"""),"EA-5175-52-CES")</f>
        <v>EA-5175-52-CES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IFERROR(__xludf.DUMMYFUNCTION("""COMPUTED_VALUE"""),"T35197")</f>
        <v>T35197</v>
      </c>
      <c r="F138" s="352" t="str">
        <f>IFERROR(__xludf.DUMMYFUNCTION("""COMPUTED_VALUE"""),"033/2025")</f>
        <v>033/2025</v>
      </c>
      <c r="G138" s="352" t="str">
        <f>IFERROR(__xludf.DUMMYFUNCTION("""COMPUTED_VALUE"""),"14/10")</f>
        <v>14/10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IFERROR(__xludf.DUMMYFUNCTION("""COMPUTED_VALUE"""),"069-01034-0102")</f>
        <v>069-01034-0102</v>
      </c>
      <c r="D139" s="352" t="str">
        <f>IFERROR(__xludf.DUMMYFUNCTION("""COMPUTED_VALUE"""),"NAVIGATION SET,SATELLITE SIGNALS KLN-94")</f>
        <v>NAVIGATION SET,SATELLITE SIGNALS KLN-94</v>
      </c>
      <c r="E139" s="352" t="str">
        <f>IFERROR(__xludf.DUMMYFUNCTION("""COMPUTED_VALUE"""),"21107")</f>
        <v>21107</v>
      </c>
      <c r="F139" s="352" t="str">
        <f>IFERROR(__xludf.DUMMYFUNCTION("""COMPUTED_VALUE"""),"037/2025")</f>
        <v>037/2025</v>
      </c>
      <c r="G139" s="352" t="str">
        <f>IFERROR(__xludf.DUMMYFUNCTION("""COMPUTED_VALUE"""),"04/12")</f>
        <v>04/12</v>
      </c>
      <c r="H139" s="352" t="str">
        <f>IFERROR(__xludf.DUMMYFUNCTION("""COMPUTED_VALUE"""),"06/02")</f>
        <v>06/02</v>
      </c>
      <c r="I139" s="352" t="str">
        <f>IFERROR(__xludf.DUMMYFUNCTION("""COMPUTED_VALUE"""),"CERTIFICADO")</f>
        <v>CERTIFICADO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IFERROR(__xludf.DUMMYFUNCTION("""COMPUTED_VALUE"""),"BACG")</f>
        <v>BACG</v>
      </c>
      <c r="C140" s="352" t="str">
        <f>IFERROR(__xludf.DUMMYFUNCTION("""COMPUTED_VALUE"""),"2682001-1")</f>
        <v>2682001-1</v>
      </c>
      <c r="D140" s="352" t="str">
        <f>IFERROR(__xludf.DUMMYFUNCTION("""COMPUTED_VALUE"""),"CILINDRO DE FREIO")</f>
        <v>CILINDRO DE FREIO</v>
      </c>
      <c r="E140" s="352" t="str">
        <f>IFERROR(__xludf.DUMMYFUNCTION("""COMPUTED_VALUE"""),"*")</f>
        <v>*</v>
      </c>
      <c r="F140" s="352" t="str">
        <f>IFERROR(__xludf.DUMMYFUNCTION("""COMPUTED_VALUE"""),"005/2026")</f>
        <v>005/2026</v>
      </c>
      <c r="G140" s="352" t="str">
        <f>IFERROR(__xludf.DUMMYFUNCTION("""COMPUTED_VALUE"""),"27/05")</f>
        <v>27/05</v>
      </c>
      <c r="H140" s="352" t="str">
        <f>IFERROR(__xludf.DUMMYFUNCTION("""COMPUTED_VALUE"""),"03/06")</f>
        <v>03/06</v>
      </c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2" t="str">
        <f>IFERROR(__xludf.DUMMYFUNCTION("""COMPUTED_VALUE"""),"Solicitado SN")</f>
        <v>Solicitado SN</v>
      </c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IFERROR(__xludf.DUMMYFUNCTION("""COMPUTED_VALUE"""),"BABR")</f>
        <v>BABR</v>
      </c>
      <c r="C141" s="352" t="str">
        <f>IFERROR(__xludf.DUMMYFUNCTION("""COMPUTED_VALUE"""),"2618510-10")</f>
        <v>2618510-10</v>
      </c>
      <c r="D141" s="352" t="str">
        <f>IFERROR(__xludf.DUMMYFUNCTION("""COMPUTED_VALUE"""),"ALTERNATOR CONTROL UNIT ASSY")</f>
        <v>ALTERNATOR CONTROL UNIT ASSY</v>
      </c>
      <c r="E141" s="352" t="str">
        <f>IFERROR(__xludf.DUMMYFUNCTION("""COMPUTED_VALUE"""),"3174")</f>
        <v>3174</v>
      </c>
      <c r="F141" s="352" t="str">
        <f>IFERROR(__xludf.DUMMYFUNCTION("""COMPUTED_VALUE"""),"021/2026")</f>
        <v>021/2026</v>
      </c>
      <c r="G141" s="352" t="str">
        <f>IFERROR(__xludf.DUMMYFUNCTION("""COMPUTED_VALUE"""),"27/05")</f>
        <v>27/05</v>
      </c>
      <c r="H141" s="352" t="str">
        <f>IFERROR(__xludf.DUMMYFUNCTION("""COMPUTED_VALUE"""),"08/06")</f>
        <v>08/06</v>
      </c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IFERROR(__xludf.DUMMYFUNCTION("""COMPUTED_VALUE"""),"BABE")</f>
        <v>BABE</v>
      </c>
      <c r="C142" s="352" t="str">
        <f>IFERROR(__xludf.DUMMYFUNCTION("""COMPUTED_VALUE"""),"324843-W020")</f>
        <v>324843-W020</v>
      </c>
      <c r="D142" s="352" t="str">
        <f>IFERROR(__xludf.DUMMYFUNCTION("""COMPUTED_VALUE"""),"HEADSET-MICROPHONE")</f>
        <v>HEADSET-MICROPHONE</v>
      </c>
      <c r="E142" s="352" t="str">
        <f>IFERROR(__xludf.DUMMYFUNCTION("""COMPUTED_VALUE"""),"073200G91260061AE")</f>
        <v>073200G91260061AE</v>
      </c>
      <c r="F142" s="352" t="str">
        <f>IFERROR(__xludf.DUMMYFUNCTION("""COMPUTED_VALUE"""),"015/2026")</f>
        <v>015/2026</v>
      </c>
      <c r="G142" s="352" t="str">
        <f>IFERROR(__xludf.DUMMYFUNCTION("""COMPUTED_VALUE"""),"09/06")</f>
        <v>09/06</v>
      </c>
      <c r="H142" s="352" t="str">
        <f>IFERROR(__xludf.DUMMYFUNCTION("""COMPUTED_VALUE"""),"09/06")</f>
        <v>09/06</v>
      </c>
      <c r="I142" s="353"/>
      <c r="J142" s="352" t="str">
        <f>IFERROR(__xludf.DUMMYFUNCTION("""COMPUTED_VALUE"""),"10/06")</f>
        <v>10/06</v>
      </c>
      <c r="K142" s="352" t="str">
        <f>IFERROR(__xludf.DUMMYFUNCTION("""COMPUTED_VALUE"""),"10/06")</f>
        <v>10/06</v>
      </c>
      <c r="L142" s="352" t="str">
        <f>IFERROR(__xludf.DUMMYFUNCTION("""COMPUTED_VALUE"""),"10/06")</f>
        <v>10/06</v>
      </c>
      <c r="M142" s="352" t="str">
        <f>IFERROR(__xludf.DUMMYFUNCTION("""COMPUTED_VALUE"""),"11/06")</f>
        <v>11/06</v>
      </c>
      <c r="N142" s="352" t="str">
        <f>IFERROR(__xludf.DUMMYFUNCTION("""COMPUTED_VALUE"""),"11/06")</f>
        <v>11/06</v>
      </c>
      <c r="O142" s="352" t="str">
        <f>IFERROR(__xludf.DUMMYFUNCTION("""COMPUTED_VALUE"""),"11/06")</f>
        <v>11/06</v>
      </c>
      <c r="P142" s="352" t="str">
        <f>IFERROR(__xludf.DUMMYFUNCTION("""COMPUTED_VALUE"""),"11/06")</f>
        <v>11/06</v>
      </c>
      <c r="Q142" s="352" t="str">
        <f>IFERROR(__xludf.DUMMYFUNCTION("""COMPUTED_VALUE"""),"12/06")</f>
        <v>12/06</v>
      </c>
      <c r="R142" s="352" t="str">
        <f>IFERROR(__xludf.DUMMYFUNCTION("""COMPUTED_VALUE"""),"12/06")</f>
        <v>12/06</v>
      </c>
      <c r="S142" s="352" t="str">
        <f>IFERROR(__xludf.DUMMYFUNCTION("""COMPUTED_VALUE"""),"12/06")</f>
        <v>12/06</v>
      </c>
      <c r="T142" s="352" t="str">
        <f>IFERROR(__xludf.DUMMYFUNCTION("""COMPUTED_VALUE"""),"10/07")</f>
        <v>10/07</v>
      </c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IFERROR(__xludf.DUMMYFUNCTION("""COMPUTED_VALUE"""),"BABE")</f>
        <v>BABE</v>
      </c>
      <c r="C143" s="352" t="str">
        <f>IFERROR(__xludf.DUMMYFUNCTION("""COMPUTED_VALUE"""),"324843-W020")</f>
        <v>324843-W020</v>
      </c>
      <c r="D143" s="352" t="str">
        <f>IFERROR(__xludf.DUMMYFUNCTION("""COMPUTED_VALUE"""),"HEADSET-MICROPHONE")</f>
        <v>HEADSET-MICROPHONE</v>
      </c>
      <c r="E143" s="352" t="str">
        <f>IFERROR(__xludf.DUMMYFUNCTION("""COMPUTED_VALUE"""),"073200G02170082AE")</f>
        <v>073200G02170082AE</v>
      </c>
      <c r="F143" s="352" t="str">
        <f>IFERROR(__xludf.DUMMYFUNCTION("""COMPUTED_VALUE"""),"015/2026")</f>
        <v>015/2026</v>
      </c>
      <c r="G143" s="352" t="str">
        <f>IFERROR(__xludf.DUMMYFUNCTION("""COMPUTED_VALUE"""),"09/06")</f>
        <v>09/06</v>
      </c>
      <c r="H143" s="352" t="str">
        <f>IFERROR(__xludf.DUMMYFUNCTION("""COMPUTED_VALUE"""),"09/06")</f>
        <v>09/06</v>
      </c>
      <c r="I143" s="353"/>
      <c r="J143" s="352" t="str">
        <f>IFERROR(__xludf.DUMMYFUNCTION("""COMPUTED_VALUE"""),"10/06")</f>
        <v>10/06</v>
      </c>
      <c r="K143" s="352" t="str">
        <f>IFERROR(__xludf.DUMMYFUNCTION("""COMPUTED_VALUE"""),"10/06")</f>
        <v>10/06</v>
      </c>
      <c r="L143" s="352" t="str">
        <f>IFERROR(__xludf.DUMMYFUNCTION("""COMPUTED_VALUE"""),"10/06")</f>
        <v>10/06</v>
      </c>
      <c r="M143" s="352" t="str">
        <f>IFERROR(__xludf.DUMMYFUNCTION("""COMPUTED_VALUE"""),"11/06")</f>
        <v>11/06</v>
      </c>
      <c r="N143" s="352" t="str">
        <f>IFERROR(__xludf.DUMMYFUNCTION("""COMPUTED_VALUE"""),"11/06")</f>
        <v>11/06</v>
      </c>
      <c r="O143" s="352" t="str">
        <f>IFERROR(__xludf.DUMMYFUNCTION("""COMPUTED_VALUE"""),"11/06")</f>
        <v>11/06</v>
      </c>
      <c r="P143" s="352" t="str">
        <f>IFERROR(__xludf.DUMMYFUNCTION("""COMPUTED_VALUE"""),"11/06")</f>
        <v>11/06</v>
      </c>
      <c r="Q143" s="352" t="str">
        <f>IFERROR(__xludf.DUMMYFUNCTION("""COMPUTED_VALUE"""),"12/06")</f>
        <v>12/06</v>
      </c>
      <c r="R143" s="352" t="str">
        <f>IFERROR(__xludf.DUMMYFUNCTION("""COMPUTED_VALUE"""),"12/06")</f>
        <v>12/06</v>
      </c>
      <c r="S143" s="352" t="str">
        <f>IFERROR(__xludf.DUMMYFUNCTION("""COMPUTED_VALUE"""),"12/06")</f>
        <v>12/06</v>
      </c>
      <c r="T143" s="352" t="str">
        <f>IFERROR(__xludf.DUMMYFUNCTION("""COMPUTED_VALUE"""),"10/07")</f>
        <v>10/07</v>
      </c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IFERROR(__xludf.DUMMYFUNCTION("""COMPUTED_VALUE"""),"BABR")</f>
        <v>BABR</v>
      </c>
      <c r="C144" s="352" t="str">
        <f>IFERROR(__xludf.DUMMYFUNCTION("""COMPUTED_VALUE"""),"3244809-8")</f>
        <v>3244809-8</v>
      </c>
      <c r="D144" s="352" t="str">
        <f>IFERROR(__xludf.DUMMYFUNCTION("""COMPUTED_VALUE"""),"FUEL CONTROL UNIT")</f>
        <v>FUEL CONTROL UNIT</v>
      </c>
      <c r="E144" s="352" t="str">
        <f>IFERROR(__xludf.DUMMYFUNCTION("""COMPUTED_VALUE"""),"B10133")</f>
        <v>B10133</v>
      </c>
      <c r="F144" s="352" t="str">
        <f>IFERROR(__xludf.DUMMYFUNCTION("""COMPUTED_VALUE"""),"023/2026")</f>
        <v>023/2026</v>
      </c>
      <c r="G144" s="352" t="str">
        <f>IFERROR(__xludf.DUMMYFUNCTION("""COMPUTED_VALUE"""),"22/06")</f>
        <v>22/06</v>
      </c>
      <c r="H144" s="352" t="str">
        <f>IFERROR(__xludf.DUMMYFUNCTION("""COMPUTED_VALUE"""),"23/06")</f>
        <v>23/06</v>
      </c>
      <c r="I144" s="353"/>
      <c r="J144" s="352" t="str">
        <f>IFERROR(__xludf.DUMMYFUNCTION("""COMPUTED_VALUE"""),"23/06")</f>
        <v>23/06</v>
      </c>
      <c r="K144" s="352" t="str">
        <f>IFERROR(__xludf.DUMMYFUNCTION("""COMPUTED_VALUE"""),"24/06")</f>
        <v>24/06</v>
      </c>
      <c r="L144" s="352" t="str">
        <f>IFERROR(__xludf.DUMMYFUNCTION("""COMPUTED_VALUE"""),"24/06")</f>
        <v>24/06</v>
      </c>
      <c r="M144" s="352" t="str">
        <f>IFERROR(__xludf.DUMMYFUNCTION("""COMPUTED_VALUE"""),"24/06")</f>
        <v>24/06</v>
      </c>
      <c r="N144" s="352" t="str">
        <f>IFERROR(__xludf.DUMMYFUNCTION("""COMPUTED_VALUE"""),"24/06")</f>
        <v>24/06</v>
      </c>
      <c r="O144" s="352" t="str">
        <f>IFERROR(__xludf.DUMMYFUNCTION("""COMPUTED_VALUE"""),"24/06")</f>
        <v>24/06</v>
      </c>
      <c r="P144" s="352" t="str">
        <f>IFERROR(__xludf.DUMMYFUNCTION("""COMPUTED_VALUE"""),"25/06")</f>
        <v>25/06</v>
      </c>
      <c r="Q144" s="352" t="str">
        <f>IFERROR(__xludf.DUMMYFUNCTION("""COMPUTED_VALUE"""),"25/06")</f>
        <v>25/06</v>
      </c>
      <c r="R144" s="352" t="str">
        <f>IFERROR(__xludf.DUMMYFUNCTION("""COMPUTED_VALUE"""),"25/06")</f>
        <v>25/06</v>
      </c>
      <c r="S144" s="352" t="str">
        <f>IFERROR(__xludf.DUMMYFUNCTION("""COMPUTED_VALUE"""),"25/06")</f>
        <v>25/06</v>
      </c>
      <c r="T144" s="352" t="str">
        <f>IFERROR(__xludf.DUMMYFUNCTION("""COMPUTED_VALUE"""),"25/06")</f>
        <v>25/06</v>
      </c>
      <c r="U144" s="353"/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IFERROR(__xludf.DUMMYFUNCTION("""COMPUTED_VALUE"""),"060-0017-00")</f>
        <v>060-0017-00</v>
      </c>
      <c r="D145" s="352" t="str">
        <f>IFERROR(__xludf.DUMMYFUNCTION("""COMPUTED_VALUE"""),"IND DE COMANDO DE VOO")</f>
        <v>IND DE COMANDO DE VOO</v>
      </c>
      <c r="E145" s="352" t="str">
        <f>IFERROR(__xludf.DUMMYFUNCTION("""COMPUTED_VALUE"""),"18685")</f>
        <v>18685</v>
      </c>
      <c r="F145" s="352" t="str">
        <f>IFERROR(__xludf.DUMMYFUNCTION("""COMPUTED_VALUE"""),"022/2026")</f>
        <v>022/2026</v>
      </c>
      <c r="G145" s="352" t="str">
        <f>IFERROR(__xludf.DUMMYFUNCTION("""COMPUTED_VALUE"""),"22/06")</f>
        <v>22/06</v>
      </c>
      <c r="H145" s="352" t="str">
        <f>IFERROR(__xludf.DUMMYFUNCTION("""COMPUTED_VALUE"""),"23/06")</f>
        <v>23/06</v>
      </c>
      <c r="I145" s="353"/>
      <c r="J145" s="352" t="str">
        <f>IFERROR(__xludf.DUMMYFUNCTION("""COMPUTED_VALUE"""),"23/06")</f>
        <v>23/06</v>
      </c>
      <c r="K145" s="352" t="str">
        <f>IFERROR(__xludf.DUMMYFUNCTION("""COMPUTED_VALUE"""),"24/06")</f>
        <v>24/06</v>
      </c>
      <c r="L145" s="352" t="str">
        <f>IFERROR(__xludf.DUMMYFUNCTION("""COMPUTED_VALUE"""),"24/06")</f>
        <v>24/06</v>
      </c>
      <c r="M145" s="352" t="str">
        <f>IFERROR(__xludf.DUMMYFUNCTION("""COMPUTED_VALUE"""),"24/06")</f>
        <v>24/06</v>
      </c>
      <c r="N145" s="352" t="str">
        <f>IFERROR(__xludf.DUMMYFUNCTION("""COMPUTED_VALUE"""),"24/06")</f>
        <v>24/06</v>
      </c>
      <c r="O145" s="352" t="str">
        <f>IFERROR(__xludf.DUMMYFUNCTION("""COMPUTED_VALUE"""),"24/06")</f>
        <v>24/06</v>
      </c>
      <c r="P145" s="352" t="str">
        <f>IFERROR(__xludf.DUMMYFUNCTION("""COMPUTED_VALUE"""),"02/07")</f>
        <v>02/07</v>
      </c>
      <c r="Q145" s="352" t="str">
        <f>IFERROR(__xludf.DUMMYFUNCTION("""COMPUTED_VALUE"""),"02/07")</f>
        <v>02/07</v>
      </c>
      <c r="R145" s="352" t="str">
        <f>IFERROR(__xludf.DUMMYFUNCTION("""COMPUTED_VALUE"""),"02/07")</f>
        <v>02/07</v>
      </c>
      <c r="S145" s="352" t="str">
        <f>IFERROR(__xludf.DUMMYFUNCTION("""COMPUTED_VALUE"""),"02/07")</f>
        <v>02/07</v>
      </c>
      <c r="T145" s="353"/>
      <c r="U145" s="352" t="str">
        <f>IFERROR(__xludf.DUMMYFUNCTION("""COMPUTED_VALUE"""),"RECEBIMENTO PENDENTE - ENTRADA EM ABERTO - GODOY 13/07/26")</f>
        <v>RECEBIMENTO PENDENTE - ENTRADA EM ABERTO - GODOY 13/07/26</v>
      </c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IFERROR(__xludf.DUMMYFUNCTION("""COMPUTED_VALUE"""),"9910338-8")</f>
        <v>9910338-8</v>
      </c>
      <c r="D146" s="352" t="str">
        <f>IFERROR(__xludf.DUMMYFUNCTION("""COMPUTED_VALUE"""),"INDICATOR,FUEL FLOW")</f>
        <v>INDICATOR,FUEL FLOW</v>
      </c>
      <c r="E146" s="352" t="str">
        <f>IFERROR(__xludf.DUMMYFUNCTION("""COMPUTED_VALUE"""),"9933-49")</f>
        <v>9933-49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3"/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IFERROR(__xludf.DUMMYFUNCTION("""COMPUTED_VALUE"""),"BABE")</f>
        <v>BABE</v>
      </c>
      <c r="C147" s="352" t="str">
        <f>IFERROR(__xludf.DUMMYFUNCTION("""COMPUTED_VALUE"""),"3244809-4")</f>
        <v>3244809-4</v>
      </c>
      <c r="D147" s="352" t="str">
        <f>IFERROR(__xludf.DUMMYFUNCTION("""COMPUTED_VALUE"""),"FUEL CONTROL UNIT")</f>
        <v>FUEL CONTROL UNIT</v>
      </c>
      <c r="E147" s="352" t="str">
        <f>IFERROR(__xludf.DUMMYFUNCTION("""COMPUTED_VALUE"""),"C25208")</f>
        <v>C25208</v>
      </c>
      <c r="F147" s="352" t="str">
        <f>IFERROR(__xludf.DUMMYFUNCTION("""COMPUTED_VALUE"""),"020/2026")</f>
        <v>020/2026</v>
      </c>
      <c r="G147" s="352" t="str">
        <f>IFERROR(__xludf.DUMMYFUNCTION("""COMPUTED_VALUE"""),"26/06")</f>
        <v>26/06</v>
      </c>
      <c r="H147" s="352" t="str">
        <f>IFERROR(__xludf.DUMMYFUNCTION("""COMPUTED_VALUE"""),"26/06")</f>
        <v>26/06</v>
      </c>
      <c r="I147" s="353"/>
      <c r="J147" s="352" t="str">
        <f>IFERROR(__xludf.DUMMYFUNCTION("""COMPUTED_VALUE"""),"30/06")</f>
        <v>30/06</v>
      </c>
      <c r="K147" s="352" t="str">
        <f>IFERROR(__xludf.DUMMYFUNCTION("""COMPUTED_VALUE"""),"30/06")</f>
        <v>30/06</v>
      </c>
      <c r="L147" s="352" t="str">
        <f>IFERROR(__xludf.DUMMYFUNCTION("""COMPUTED_VALUE"""),"30/06")</f>
        <v>30/06</v>
      </c>
      <c r="M147" s="352" t="str">
        <f>IFERROR(__xludf.DUMMYFUNCTION("""COMPUTED_VALUE"""),"30/06")</f>
        <v>30/06</v>
      </c>
      <c r="N147" s="352" t="str">
        <f>IFERROR(__xludf.DUMMYFUNCTION("""COMPUTED_VALUE"""),"30/06")</f>
        <v>30/06</v>
      </c>
      <c r="O147" s="352" t="str">
        <f>IFERROR(__xludf.DUMMYFUNCTION("""COMPUTED_VALUE"""),"30/06")</f>
        <v>30/06</v>
      </c>
      <c r="P147" s="352" t="str">
        <f>IFERROR(__xludf.DUMMYFUNCTION("""COMPUTED_VALUE"""),"30/06")</f>
        <v>30/06</v>
      </c>
      <c r="Q147" s="352" t="str">
        <f>IFERROR(__xludf.DUMMYFUNCTION("""COMPUTED_VALUE"""),"30/06")</f>
        <v>30/06</v>
      </c>
      <c r="R147" s="352" t="str">
        <f>IFERROR(__xludf.DUMMYFUNCTION("""COMPUTED_VALUE"""),"30/06")</f>
        <v>30/06</v>
      </c>
      <c r="S147" s="352" t="str">
        <f>IFERROR(__xludf.DUMMYFUNCTION("""COMPUTED_VALUE"""),"30/06")</f>
        <v>30/06</v>
      </c>
      <c r="T147" s="353"/>
      <c r="U147" s="353"/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