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<sst xmlns="http://schemas.openxmlformats.org/spreadsheetml/2006/main" count="3003" uniqueCount="487">
  <si>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ATUALIZADO 11/08/2026</t>
  </si>
  <si>
    <t>Esq</t>
  </si>
  <si>
    <t>ANV</t>
  </si>
  <si>
    <t>SN</t>
  </si>
  <si>
    <t>Anv</t>
  </si>
  <si>
    <t>esforço ano</t>
  </si>
  <si>
    <t>Tempo TBO</t>
  </si>
  <si>
    <t>mensal anv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</si>
  <si>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</si>
  <si>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</si>
  <si>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</si>
  <si>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</si>
  <si>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</si>
  <si>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</si>
  <si>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Descrição</t>
  </si>
  <si>
    <t>2027 _____11077h</t>
  </si>
  <si>
    <t>SERIAL</t>
  </si>
  <si>
    <t>TSO</t>
  </si>
  <si>
    <t>Hr disp</t>
  </si>
  <si>
    <t>Voo mensal</t>
  </si>
  <si>
    <t>HR até fim do ano da ANV</t>
  </si>
  <si>
    <t>PCE-PC2115</t>
  </si>
  <si>
    <t>Mês disp</t>
  </si>
  <si>
    <t>JAN</t>
  </si>
  <si>
    <t>FEV</t>
  </si>
  <si>
    <t>MAR</t>
  </si>
  <si>
    <t>Atualizar coluna de esforço</t>
  </si>
  <si>
    <t>OM</t>
  </si>
  <si>
    <t>ABR</t>
  </si>
  <si>
    <t>PROJETO</t>
  </si>
  <si>
    <t>MAIO</t>
  </si>
  <si>
    <t>PN</t>
  </si>
  <si>
    <t>TIPO</t>
  </si>
  <si>
    <t>JUN</t>
  </si>
  <si>
    <t>emp 7 eta</t>
  </si>
  <si>
    <t>FABRICANTE</t>
  </si>
  <si>
    <t>JUL</t>
  </si>
  <si>
    <t>MntNívelParque</t>
  </si>
  <si>
    <t>EstoqueUtilizá</t>
  </si>
  <si>
    <t>AGO</t>
  </si>
  <si>
    <t>definitivo 7 eta</t>
  </si>
  <si>
    <t>EstoqueReparáv</t>
  </si>
  <si>
    <t xml:space="preserve">SET </t>
  </si>
  <si>
    <t>CONTROLE</t>
  </si>
  <si>
    <t>OUT</t>
  </si>
  <si>
    <t>Parcial(TSO)</t>
  </si>
  <si>
    <t xml:space="preserve">NOV </t>
  </si>
  <si>
    <t>Totais(TSN)</t>
  </si>
  <si>
    <t>%TBOVoada</t>
  </si>
  <si>
    <t>DEZ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</si>
  <si>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</si>
  <si>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</si>
  <si>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</si>
  <si>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</si>
  <si>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</si>
  <si>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</si>
  <si>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</si>
  <si>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</si>
  <si>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</si>
  <si>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</si>
  <si>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</si>
  <si>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</si>
  <si>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</si>
  <si>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</si>
  <si>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</si>
  <si>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</si>
  <si>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</si>
  <si>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PCE-PC2360</t>
  </si>
  <si>
    <t>OS</t>
  </si>
  <si>
    <t xml:space="preserve"> EMP 01/05 GAV</t>
  </si>
  <si>
    <t>definitivo rumba</t>
  </si>
  <si>
    <t>ATUALIZADO 12/08/26</t>
  </si>
  <si>
    <t>1/5GAV</t>
  </si>
  <si>
    <t>CLA</t>
  </si>
  <si>
    <t>PC-E17377</t>
  </si>
  <si>
    <t>APL</t>
  </si>
  <si>
    <t>PCE-PC2223</t>
  </si>
  <si>
    <t>X</t>
  </si>
  <si>
    <t>DACTA II</t>
  </si>
  <si>
    <t>2ETA</t>
  </si>
  <si>
    <t>PT6A-114A</t>
  </si>
  <si>
    <t>PC-EPC0431</t>
  </si>
  <si>
    <t>PCE-PC0743</t>
  </si>
  <si>
    <t>dacta = baco</t>
  </si>
  <si>
    <t>NÃO HÁ AT</t>
  </si>
  <si>
    <t>PCE-PC0499</t>
  </si>
  <si>
    <t>SIGADAER OPERADOR: DATA ESTIMADA DO VENCIMENTO TBO 12/10/2025</t>
  </si>
  <si>
    <t>DACTAII</t>
  </si>
  <si>
    <t>AT 313000000695 O MOTOR EM QUESTÃO PODE OPERAR ATÉ O TSO DE 4.450:00 FH, ANTES DE REALIZAR A PRÓXIMA REVISÃO GERAL</t>
  </si>
  <si>
    <t>PCE-PC2050</t>
  </si>
  <si>
    <t>PCE-PC0797</t>
  </si>
  <si>
    <t>PAMALS</t>
  </si>
  <si>
    <t>PCE-PC0764</t>
  </si>
  <si>
    <t>REPARA</t>
  </si>
  <si>
    <t>381/201900011201</t>
  </si>
  <si>
    <t>PCE-PC1868</t>
  </si>
  <si>
    <t>7ETA</t>
  </si>
  <si>
    <t>1 ETA</t>
  </si>
  <si>
    <t>PCE-PC0776</t>
  </si>
  <si>
    <t>HÁ AT</t>
  </si>
  <si>
    <t>PCE-PC1666</t>
  </si>
  <si>
    <t>PCE-PC2358</t>
  </si>
  <si>
    <t>SIGADAER OPERADOR: DATA ESTIMADA DO VENCIMENTO HSI 02/2026</t>
  </si>
  <si>
    <t>AT 396000000363  / 4.500:00 HORAS PARA REVISÃO GERAL
AT 396000000321   /   HSI COM 4057H. SEGUNDO OPERADOR CUMPRIU HSI 13/05/2026</t>
  </si>
  <si>
    <t>PCE-PC0790</t>
  </si>
  <si>
    <t>708/202200008802</t>
  </si>
  <si>
    <t>PCE-PC2047</t>
  </si>
  <si>
    <t>1/15 GAV</t>
  </si>
  <si>
    <t>PCE-PC1002</t>
  </si>
  <si>
    <t>sem motor</t>
  </si>
  <si>
    <t>1ETA</t>
  </si>
  <si>
    <t>anv acidentada</t>
  </si>
  <si>
    <t>SIGADAER OPERADOR: DATA ESTIMADA DO VENCIMENTO TBO 02/2027</t>
  </si>
  <si>
    <t>PCE-PC2232</t>
  </si>
  <si>
    <t>1/5 GAV</t>
  </si>
  <si>
    <t>PCE-PC0863</t>
  </si>
  <si>
    <t>REQUIS</t>
  </si>
  <si>
    <t>SPTG20501U8</t>
  </si>
  <si>
    <t>6 eta</t>
  </si>
  <si>
    <t>ATÉ DEZ/26 NO 6 ETA</t>
  </si>
  <si>
    <t>1/15GAV</t>
  </si>
  <si>
    <t>NãoConsta</t>
  </si>
  <si>
    <t>2 ETA</t>
  </si>
  <si>
    <t>SIGADAER OPERADOR: DATA ESTIMADA DO VENCIMENTO TBO 12/2026</t>
  </si>
  <si>
    <t>AT 313000000805 extensão até 4200h TBO</t>
  </si>
  <si>
    <t>PCE-PC2055</t>
  </si>
  <si>
    <t>PCE-PC1391</t>
  </si>
  <si>
    <t>SIGADAER OPERADOR: DATA ESTIMADA DO VENCIMENTO HSI 08/26 e TBO 12/2026</t>
  </si>
  <si>
    <t>AT 386000001002 AUTORIZA-SE A PRORROGAÇÃO EM ATÉ 500H DA REVISÃO GERAL</t>
  </si>
  <si>
    <t>5 ETA</t>
  </si>
  <si>
    <t>PCE-PC1570</t>
  </si>
  <si>
    <t>6 ETA</t>
  </si>
  <si>
    <t>PCE-PC2257</t>
  </si>
  <si>
    <t>PCE-PC2261</t>
  </si>
  <si>
    <t>PCE-PC1659</t>
  </si>
  <si>
    <t>SIGADAER OPERADOR: DATA ESTIMADA DO VENCIMENTO TBO 11/2026</t>
  </si>
  <si>
    <t xml:space="preserve">
sem at de tbo</t>
  </si>
  <si>
    <t>PCE-PC1734</t>
  </si>
  <si>
    <t>BACG</t>
  </si>
  <si>
    <t>HSI</t>
  </si>
  <si>
    <t>PCE-PC1783</t>
  </si>
  <si>
    <t>RECOLH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</si>
  <si>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</si>
  <si>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</si>
  <si>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</si>
  <si>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PCE-PC1801</t>
  </si>
  <si>
    <t>BAMN</t>
  </si>
  <si>
    <t>SIGADAER OPERADOR: DATA ESTIMADA DO VENCIMENTO HSI 10/26 e TBO 12/2026</t>
  </si>
  <si>
    <t>MÊS ATUAL</t>
  </si>
  <si>
    <t>ESQ</t>
  </si>
  <si>
    <t>ESFORÇO RESTANTE</t>
  </si>
  <si>
    <t>Nº DE MOTORES</t>
  </si>
  <si>
    <t>PCE-PC1835</t>
  </si>
  <si>
    <t>Nº EFETIVO DE MOTORES</t>
  </si>
  <si>
    <t>HV_MENSAL</t>
  </si>
  <si>
    <t>Última Atualização 11/08/26</t>
  </si>
  <si>
    <t>AT 685000001498   /  2.439:15 HORAS DE MOTOR COM 707:05 HORAS DISPONÍVEIS PARA HSI.OU SEJA 3146:20 E  AT 685000002002</t>
  </si>
  <si>
    <t>BACO</t>
  </si>
  <si>
    <t>PCE-PC1850</t>
  </si>
  <si>
    <t>REMOV</t>
  </si>
  <si>
    <t>PCE-PC1860</t>
  </si>
  <si>
    <t>ENGINE PT6A-114A</t>
  </si>
  <si>
    <t>SEM AT</t>
  </si>
  <si>
    <t>PCE-PC2042</t>
  </si>
  <si>
    <t>SIGADAER OPERADOR: DATA ESTIMADA DO VENCIMENTO HSI 06/29</t>
  </si>
  <si>
    <t xml:space="preserve"> segundo operador (placon) hsi em 2903,08 e tbo em 4000h</t>
  </si>
  <si>
    <t>ENGINE PT6A-114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</si>
  <si>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</si>
  <si>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</si>
  <si>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5ETA</t>
  </si>
  <si>
    <t>PCE-PC2081</t>
  </si>
  <si>
    <t>6ETA</t>
  </si>
  <si>
    <t>AT 685000002046, CONCEDEU MAIS 400H</t>
  </si>
  <si>
    <t>PCE-PC2224</t>
  </si>
  <si>
    <t>381/201900204351</t>
  </si>
  <si>
    <t>SIGADAER OPERADOR: DATA ESTIMADA DO VENCIMENTO TBO 06/29; HSI 02/27</t>
  </si>
  <si>
    <t>SIGADAER OPERADOR: DATA ESTIMADA DO VENCIMENTO TBO 1/2030</t>
  </si>
  <si>
    <t>úLTIMO HSI COM 1739:10, OPERADOR PASSOU INFO</t>
  </si>
  <si>
    <t>PCE-PC2289</t>
  </si>
  <si>
    <t>SIGADAER OPERADOR: DATA ESTIMADA DO VENCIMENTO HSI  20/11/27</t>
  </si>
  <si>
    <t>AT 377000000274   / 4.500:00 FH,  PARA REVISÃO GERAL.</t>
  </si>
  <si>
    <t>1/15</t>
  </si>
  <si>
    <t>TOTAL</t>
  </si>
  <si>
    <t>media de voo =</t>
  </si>
  <si>
    <t>OBS: alterar apenas as células em amarelo.</t>
  </si>
  <si>
    <t>OBS: O cálculo considera o mês atual no 1º dia</t>
  </si>
  <si>
    <t>SIGADAER OPERADOR: DATA ESTIMADA DO VENCIMENTO TBO 30/01/2028</t>
  </si>
  <si>
    <t>AT 685000001686
Vai operar até 5000 h P TBO</t>
  </si>
  <si>
    <t>Projeto C-98 
Última Atualização 11/08/2026 12:14:11
Há demanda(s) no projeto com Status Aguardando Solução.</t>
  </si>
  <si>
    <t>SIGADAER OPERADOR: DATA ESTIMADA DO VENCIMENTO HSI 06/28</t>
  </si>
  <si>
    <t xml:space="preserve">Feito HSI  04/06/25 com tso=tsn= 2764,75 o próximo seria com 4200, mas tbo chega antes. 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</si>
  <si>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</si>
  <si>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</si>
  <si>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</si>
  <si>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</si>
  <si>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</si>
  <si>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</si>
  <si>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</si>
  <si>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</si>
  <si>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</si>
  <si>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</si>
  <si>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</si>
  <si>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</si>
  <si>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</si>
  <si>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</si>
  <si>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</si>
  <si>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</si>
  <si>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</si>
  <si>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</si>
  <si>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10/28 e TBO 10/33</t>
  </si>
  <si>
    <t>SIGADAER OPERADOR: DATA ESTIMADA DO VENCIMENTO HSI 11/27</t>
  </si>
  <si>
    <t>Rachadura na CT DISK, vai recolher</t>
  </si>
  <si>
    <t>C-98A</t>
  </si>
  <si>
    <t>MOTOR EM HSI NO OPERADOR, 17/07/2026</t>
  </si>
  <si>
    <r>
      <rPr>
        <b/>
        <color rgb="FF1155CC"/>
        <u/>
      </rPr>
      <t>DACTA II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</si>
  <si>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</si>
  <si>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</si>
  <si>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</si>
  <si>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</si>
  <si>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</si>
  <si>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</si>
  <si>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</si>
  <si>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1 ETA</t>
    </r>
  </si>
  <si>
    <t>SIGADAER OPERADOR: DATA ESTIMADA DO VENCIMENTO HSI 09/28; TBO 06/28</t>
  </si>
  <si>
    <r>
      <rPr>
        <b/>
        <color rgb="FF1155CC"/>
        <u/>
      </rPr>
      <t>1/15 GAV</t>
    </r>
  </si>
  <si>
    <t>recolhido tbo 26/01/2026, na verdade em os para recolher</t>
  </si>
  <si>
    <r>
      <rPr>
        <b/>
        <color rgb="FF1155CC"/>
        <u/>
      </rPr>
      <t>1/5 GAV</t>
    </r>
  </si>
  <si>
    <t>SIGADAER OPERADOR: DATA ESTIMADA DO VENCIMENTO HSI 1/28</t>
  </si>
  <si>
    <t>HSI, FEITO EM 13/05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</si>
  <si>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</si>
  <si>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</si>
  <si>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</si>
  <si>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Recolhido por pane 12/06. Aguardando DPE do PAMASP</t>
  </si>
  <si>
    <t>SIGADAER OPERADOR: DATA ESTIMADA DO VENCIMENTO TBO 04/29</t>
  </si>
  <si>
    <r>
      <rPr>
        <b/>
        <color rgb="FF1155CC"/>
        <u/>
      </rPr>
      <t>7 ETA</t>
    </r>
  </si>
  <si>
    <t>T5 elevada, vai recolher</t>
  </si>
  <si>
    <t>Totais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</si>
  <si>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</si>
  <si>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</si>
  <si>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</si>
  <si>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Motor novo, não atingiu performance (CAIXA DE ACESSÓRIOS PESADA) 27/05</t>
  </si>
  <si>
    <t>ATUALIZAndo</t>
  </si>
  <si>
    <t>Motores disp:</t>
  </si>
  <si>
    <t>EEAR</t>
  </si>
  <si>
    <t>ATÉ DEZ/26</t>
  </si>
  <si>
    <t>EPCAR</t>
  </si>
  <si>
    <t>pamals</t>
  </si>
  <si>
    <t xml:space="preserve">ATÉ DEZ/26 </t>
  </si>
  <si>
    <t>acumulativo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</si>
  <si>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</si>
  <si>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</si>
  <si>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</si>
  <si>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</si>
  <si>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</si>
  <si>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</si>
  <si>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</si>
  <si>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</si>
  <si>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</si>
  <si>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</si>
  <si>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</si>
  <si>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</si>
  <si>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</si>
  <si>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</si>
  <si>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</si>
  <si>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</si>
  <si>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</si>
  <si>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</si>
  <si>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</si>
  <si>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</si>
  <si>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</si>
  <si>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</si>
  <si>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</si>
  <si>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</si>
  <si>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</si>
  <si>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</si>
  <si>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</si>
  <si>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</si>
  <si>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</si>
  <si>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</si>
  <si>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</si>
  <si>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</si>
  <si>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</si>
  <si>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</si>
  <si>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</si>
  <si>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</si>
  <si>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</si>
  <si>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</si>
  <si>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</si>
  <si>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</si>
  <si>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</si>
  <si>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</si>
  <si>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</si>
  <si>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</si>
  <si>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</si>
  <si>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</si>
  <si>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</si>
  <si>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</si>
  <si>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</si>
  <si>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</si>
  <si>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</si>
  <si>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</si>
  <si>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</si>
  <si>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</si>
  <si>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</si>
  <si>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</si>
  <si>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</si>
  <si>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</si>
  <si>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</si>
  <si>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</si>
  <si>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</si>
  <si>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</si>
  <si>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</si>
  <si>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</si>
  <si>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</si>
  <si>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</si>
  <si>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</si>
  <si>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</si>
  <si>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</si>
  <si>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</si>
  <si>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</si>
  <si>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</si>
  <si>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</si>
  <si>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</si>
  <si>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</si>
  <si>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</si>
  <si>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</si>
  <si>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</si>
  <si>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</si>
  <si>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</si>
  <si>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</si>
  <si>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</si>
  <si>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Motores APL: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</si>
  <si>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</si>
  <si>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</si>
  <si>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</si>
  <si>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</si>
  <si>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Não Programado</t>
  </si>
  <si>
    <t>em OS PAMASP</t>
  </si>
  <si>
    <t>PCE-PC1573</t>
  </si>
  <si>
    <t>Em RequisiÇÃo De Reparo PAMASP OS EXTERNA</t>
  </si>
  <si>
    <t>NOME</t>
  </si>
  <si>
    <t>ESQUADRÃO</t>
  </si>
  <si>
    <t>ATUALIZADO 16/06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</si>
  <si>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</si>
  <si>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</si>
  <si>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</si>
  <si>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</si>
  <si>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>PRIMEIRA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</si>
  <si>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</si>
  <si>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</si>
  <si>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</si>
  <si>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</si>
  <si>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</si>
  <si>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</si>
  <si>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</si>
  <si>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</si>
  <si>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</si>
  <si>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</si>
  <si>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</si>
  <si>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BASM</t>
  </si>
  <si>
    <t>BAPV</t>
  </si>
  <si>
    <t>BABR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</si>
  <si>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</si>
  <si>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</si>
  <si>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</si>
  <si>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</si>
  <si>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</si>
  <si>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</si>
  <si>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</si>
  <si>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</si>
  <si>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</si>
  <si>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</si>
  <si>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</si>
  <si>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</si>
  <si>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</si>
  <si>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</si>
  <si>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</si>
  <si>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</si>
  <si>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</si>
  <si>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</si>
  <si>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</si>
  <si>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</si>
  <si>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</si>
  <si>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</si>
  <si>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</si>
  <si>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</si>
  <si>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</si>
  <si>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</si>
  <si>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</si>
  <si>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</si>
  <si>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</si>
  <si>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</si>
  <si>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</si>
  <si>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</si>
  <si>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</si>
  <si>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</si>
  <si>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</si>
  <si>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</si>
  <si>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</si>
  <si>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</si>
  <si>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</si>
  <si>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</si>
  <si>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</si>
  <si>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</si>
  <si>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</si>
  <si>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</si>
  <si>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</si>
  <si>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</si>
  <si>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</si>
  <si>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</si>
  <si>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</si>
  <si>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</si>
  <si>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</si>
  <si>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</si>
  <si>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</si>
  <si>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</si>
  <si>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</si>
  <si>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</si>
  <si>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</si>
  <si>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</si>
  <si>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</si>
  <si>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</si>
  <si>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</si>
  <si>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</si>
  <si>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</si>
  <si>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</si>
  <si>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</si>
  <si>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</si>
  <si>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</si>
  <si>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</si>
  <si>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</si>
  <si>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</si>
  <si>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</si>
  <si>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</si>
  <si>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</si>
  <si>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</si>
  <si>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</si>
  <si>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</si>
  <si>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</si>
  <si>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</si>
  <si>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</si>
  <si>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</si>
  <si>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</si>
  <si>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</si>
  <si>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</si>
  <si>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</si>
  <si>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</si>
  <si>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</si>
  <si>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</si>
  <si>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</si>
  <si>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</si>
  <si>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PWC (CTT 006)</t>
  </si>
  <si>
    <t>jun</t>
  </si>
  <si>
    <t>jul</t>
  </si>
  <si>
    <t>Último mês</t>
  </si>
  <si>
    <t>ago</t>
  </si>
  <si>
    <t>HSI - OPERADOR</t>
  </si>
  <si>
    <t>MESES</t>
  </si>
  <si>
    <t>ATÉ DEZ</t>
  </si>
  <si>
    <t>TMOT</t>
  </si>
  <si>
    <t>FEP/EXCHANGE</t>
  </si>
  <si>
    <t>TOTAL S/ AJUSTE</t>
  </si>
  <si>
    <t>AJUSTE / TDA</t>
  </si>
  <si>
    <t>TOTAL C/ AJUSTE</t>
  </si>
  <si>
    <t>TSO em 01/abr</t>
  </si>
  <si>
    <t>TOTAL PLANEJADO</t>
  </si>
  <si>
    <t>OVH</t>
  </si>
  <si>
    <t>50 horas+</t>
  </si>
  <si>
    <t>TOTAL C/ AJUSTE / TDA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</si>
  <si>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</si>
  <si>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</si>
  <si>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</si>
  <si>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</si>
  <si>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</si>
  <si>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</si>
  <si>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</si>
  <si>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</si>
  <si>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Meses 2027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</si>
  <si>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</si>
  <si>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</si>
  <si>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</si>
  <si>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</si>
  <si>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</si>
  <si>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</si>
  <si>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MAI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</si>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</sst>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sz val="10.0"/>
      <color rgb="FF000000"/>
      <name val="Arial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bottom"/>
    </xf>
    <xf borderId="1" fillId="2" fontId="2" numFmtId="49" xfId="0" applyAlignment="1" applyBorder="1" applyFont="1" applyNumberFormat="1">
      <alignment horizontal="center" vertical="center"/>
    </xf>
    <xf borderId="0" fillId="3" fontId="3" numFmtId="0" xfId="0" applyAlignment="1" applyFill="1" applyFont="1">
      <alignment horizontal="center" vertical="bottom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bottom"/>
    </xf>
    <xf borderId="1" fillId="2" fontId="2" numFmtId="0" xfId="0" applyAlignment="1" applyBorder="1" applyFont="1">
      <alignment horizontal="center" readingOrder="0" vertical="center"/>
    </xf>
    <xf borderId="3" fillId="0" fontId="5" numFmtId="0" xfId="0" applyBorder="1" applyFont="1"/>
    <xf borderId="4" fillId="2" fontId="2" numFmtId="165" xfId="0" applyAlignment="1" applyBorder="1" applyFont="1" applyNumberFormat="1">
      <alignment horizontal="center" readingOrder="0" vertical="center"/>
    </xf>
    <xf borderId="0" fillId="5" fontId="3" numFmtId="0" xfId="0" applyAlignment="1" applyFill="1" applyFont="1">
      <alignment horizontal="center" readingOrder="0" vertical="bottom"/>
    </xf>
    <xf borderId="0" fillId="5" fontId="4" numFmtId="0" xfId="0" applyAlignment="1" applyFont="1">
      <alignment horizontal="center" readingOrder="0" shrinkToFit="0" vertical="center" wrapText="1"/>
    </xf>
    <xf borderId="4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5" fillId="0" fontId="5" numFmtId="0" xfId="0" applyBorder="1" applyFont="1"/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6" fillId="0" fontId="5" numFmtId="0" xfId="0" applyBorder="1" applyFont="1"/>
    <xf borderId="7" fillId="0" fontId="5" numFmtId="0" xfId="0" applyBorder="1" applyFont="1"/>
    <xf borderId="4" fillId="3" fontId="9" numFmtId="0" xfId="0" applyAlignment="1" applyBorder="1" applyFont="1">
      <alignment horizontal="center" readingOrder="0" vertical="bottom"/>
    </xf>
    <xf borderId="0" fillId="5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2" fontId="2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2" fontId="2" numFmtId="49" xfId="0" applyAlignment="1" applyBorder="1" applyFont="1" applyNumberFormat="1">
      <alignment horizontal="center" vertical="center"/>
    </xf>
    <xf borderId="4" fillId="7" fontId="11" numFmtId="0" xfId="0" applyAlignment="1" applyBorder="1" applyFont="1">
      <alignment horizontal="center" readingOrder="0" shrinkToFit="0" vertical="center" wrapText="1"/>
    </xf>
    <xf borderId="4" fillId="2" fontId="2" numFmtId="0" xfId="0" applyAlignment="1" applyBorder="1" applyFont="1">
      <alignment horizontal="center" vertical="center"/>
    </xf>
    <xf borderId="4" fillId="8" fontId="6" numFmtId="0" xfId="0" applyAlignment="1" applyBorder="1" applyFont="1">
      <alignment horizontal="center" readingOrder="0"/>
    </xf>
    <xf borderId="0" fillId="2" fontId="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center" wrapText="1"/>
    </xf>
    <xf borderId="4" fillId="7" fontId="14" numFmtId="0" xfId="0" applyAlignment="1" applyBorder="1" applyFont="1">
      <alignment horizontal="center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vertical="center"/>
    </xf>
    <xf borderId="4" fillId="10" fontId="4" numFmtId="0" xfId="0" applyAlignment="1" applyBorder="1" applyFill="1" applyFont="1">
      <alignment horizontal="center" readingOrder="0" shrinkToFit="0" vertical="center" wrapText="1"/>
    </xf>
    <xf borderId="4" fillId="11" fontId="4" numFmtId="0" xfId="0" applyAlignment="1" applyBorder="1" applyFill="1" applyFont="1">
      <alignment horizontal="center" readingOrder="0" vertical="center"/>
    </xf>
    <xf borderId="0" fillId="12" fontId="6" numFmtId="166" xfId="0" applyAlignment="1" applyFill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13" fontId="8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3" fontId="3" numFmtId="0" xfId="0" applyAlignment="1" applyBorder="1" applyFont="1">
      <alignment horizontal="center" readingOrder="0" vertical="bottom"/>
    </xf>
    <xf borderId="0" fillId="0" fontId="6" numFmtId="164" xfId="0" applyAlignment="1" applyFont="1" applyNumberFormat="1">
      <alignment horizontal="center" readingOrder="0"/>
    </xf>
    <xf borderId="4" fillId="11" fontId="4" numFmtId="165" xfId="0" applyAlignment="1" applyBorder="1" applyFont="1" applyNumberForma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11" fontId="4" numFmtId="4" xfId="0" applyAlignment="1" applyBorder="1" applyFont="1" applyNumberFormat="1">
      <alignment horizontal="center" readingOrder="0" vertical="center"/>
    </xf>
    <xf borderId="0" fillId="11" fontId="7" numFmtId="0" xfId="0" applyAlignment="1" applyFon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0" fillId="11" fontId="8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11" fontId="4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4" numFmtId="168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7" fontId="4" numFmtId="0" xfId="0" applyAlignment="1" applyBorder="1" applyFont="1">
      <alignment horizontal="center" shrinkToFit="0" vertical="center" wrapText="0"/>
    </xf>
    <xf borderId="4" fillId="7" fontId="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center" readingOrder="0" vertical="center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0" fillId="0" fontId="6" numFmtId="169" xfId="0" applyAlignment="1" applyFont="1" applyNumberForma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7" fontId="4" numFmtId="0" xfId="0" applyAlignment="1" applyBorder="1" applyFont="1">
      <alignment horizontal="left" shrinkToFit="0" vertical="center" wrapText="0"/>
    </xf>
    <xf borderId="0" fillId="13" fontId="6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0"/>
    </xf>
    <xf borderId="4" fillId="4" fontId="4" numFmtId="165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8" xfId="0" applyAlignment="1" applyBorder="1" applyFont="1" applyNumberFormat="1">
      <alignment horizontal="center" readingOrder="0" vertical="center"/>
    </xf>
    <xf borderId="4" fillId="7" fontId="16" numFmtId="0" xfId="0" applyAlignment="1" applyBorder="1" applyFont="1">
      <alignment horizontal="center" shrinkToFit="0" wrapText="0"/>
    </xf>
    <xf borderId="4" fillId="3" fontId="15" numFmtId="0" xfId="0" applyAlignment="1" applyBorder="1" applyFont="1">
      <alignment horizontal="center" readingOrder="0" shrinkToFit="0" vertical="center" wrapText="0"/>
    </xf>
    <xf borderId="4" fillId="7" fontId="4" numFmtId="0" xfId="0" applyAlignment="1" applyBorder="1" applyFont="1">
      <alignment horizontal="center" readingOrder="0" shrinkToFit="0" vertical="center" wrapText="0"/>
    </xf>
    <xf borderId="4" fillId="10" fontId="4" numFmtId="0" xfId="0" applyAlignment="1" applyBorder="1" applyFont="1">
      <alignment horizontal="center" readingOrder="0" shrinkToFit="0" vertical="center" wrapText="0"/>
    </xf>
    <xf borderId="4" fillId="18" fontId="4" numFmtId="0" xfId="0" applyAlignment="1" applyBorder="1" applyFill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17" fontId="4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16" fontId="4" numFmtId="0" xfId="0" applyAlignment="1" applyBorder="1" applyFont="1">
      <alignment horizontal="left" readingOrder="0" vertical="center"/>
    </xf>
    <xf borderId="0" fillId="19" fontId="7" numFmtId="0" xfId="0" applyAlignment="1" applyFill="1" applyFont="1">
      <alignment horizontal="center" readingOrder="0"/>
    </xf>
    <xf borderId="0" fillId="19" fontId="6" numFmtId="0" xfId="0" applyAlignment="1" applyFont="1">
      <alignment horizontal="center" readingOrder="0"/>
    </xf>
    <xf borderId="4" fillId="16" fontId="10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10" fontId="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0" fillId="16" fontId="4" numFmtId="0" xfId="0" applyAlignment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9" fontId="4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13" fontId="4" numFmtId="165" xfId="0" applyAlignment="1" applyBorder="1" applyFont="1" applyNumberFormat="1">
      <alignment horizontal="center" readingOrder="0" vertical="center"/>
    </xf>
    <xf borderId="4" fillId="13" fontId="4" numFmtId="4" xfId="0" applyAlignment="1" applyBorder="1" applyFont="1" applyNumberFormat="1">
      <alignment horizontal="center" readingOrder="0" vertical="center"/>
    </xf>
    <xf borderId="4" fillId="13" fontId="4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4" fillId="0" fontId="21" numFmtId="0" xfId="0" applyAlignment="1" applyBorder="1" applyFont="1">
      <alignment horizontal="center" vertical="bottom"/>
    </xf>
    <xf borderId="0" fillId="9" fontId="4" numFmtId="0" xfId="0" applyAlignment="1" applyFont="1">
      <alignment horizontal="center" readingOrder="0" vertical="center"/>
    </xf>
    <xf borderId="4" fillId="0" fontId="21" numFmtId="2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vertical="bottom"/>
    </xf>
    <xf borderId="4" fillId="10" fontId="3" numFmtId="166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4" fillId="0" fontId="3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3" numFmtId="0" xfId="0" applyAlignment="1" applyFont="1">
      <alignment vertical="bottom"/>
    </xf>
    <xf borderId="4" fillId="10" fontId="3" numFmtId="0" xfId="0" applyAlignment="1" applyBorder="1" applyFont="1">
      <alignment horizontal="center" readingOrder="0" vertical="bottom"/>
    </xf>
    <xf borderId="4" fillId="18" fontId="4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13" fontId="4" numFmtId="0" xfId="0" applyAlignment="1" applyBorder="1" applyFont="1">
      <alignment horizontal="center" readingOrder="0" vertical="center"/>
    </xf>
    <xf borderId="4" fillId="3" fontId="6" numFmtId="0" xfId="0" applyAlignment="1" applyBorder="1" applyFont="1">
      <alignment horizontal="center" readingOrder="0"/>
    </xf>
    <xf borderId="4" fillId="13" fontId="4" numFmtId="1" xfId="0" applyAlignment="1" applyBorder="1" applyFont="1" applyNumberFormat="1">
      <alignment horizontal="center" readingOrder="0" vertical="center"/>
    </xf>
    <xf borderId="4" fillId="20" fontId="18" numFmtId="0" xfId="0" applyAlignment="1" applyBorder="1" applyFill="1" applyFont="1">
      <alignment horizontal="center" readingOrder="0" shrinkToFit="0" wrapText="1"/>
    </xf>
    <xf borderId="0" fillId="12" fontId="4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bottom"/>
    </xf>
    <xf borderId="4" fillId="4" fontId="6" numFmtId="0" xfId="0" applyBorder="1" applyFont="1"/>
    <xf borderId="0" fillId="11" fontId="4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10" fontId="3" numFmtId="2" xfId="0" applyAlignment="1" applyFont="1" applyNumberFormat="1">
      <alignment vertical="bottom"/>
    </xf>
    <xf borderId="0" fillId="0" fontId="3" numFmtId="2" xfId="0" applyAlignment="1" applyFont="1" applyNumberFormat="1">
      <alignment vertical="bottom"/>
    </xf>
    <xf borderId="0" fillId="3" fontId="3" numFmtId="0" xfId="0" applyAlignment="1" applyFont="1">
      <alignment horizontal="center" shrinkToFit="0" vertical="bottom" wrapText="1"/>
    </xf>
    <xf borderId="0" fillId="3" fontId="4" numFmtId="0" xfId="0" applyAlignment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1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1" fontId="22" numFmtId="1" xfId="0" applyAlignment="1" applyBorder="1" applyFont="1" applyNumberForma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6" fontId="10" numFmtId="0" xfId="0" applyAlignment="1" applyBorder="1" applyFont="1">
      <alignment horizontal="left" readingOrder="0" vertical="center"/>
    </xf>
    <xf borderId="4" fillId="4" fontId="3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23" numFmtId="0" xfId="0" applyAlignment="1" applyBorder="1" applyFont="1">
      <alignment horizontal="left" readingOrder="0"/>
    </xf>
    <xf borderId="4" fillId="11" fontId="4" numFmtId="169" xfId="0" applyAlignment="1" applyBorder="1" applyFont="1" applyNumberFormat="1">
      <alignment horizontal="center" readingOrder="0" vertical="center"/>
    </xf>
    <xf borderId="4" fillId="0" fontId="24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8" fillId="3" fontId="4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11" fontId="4" numFmtId="0" xfId="0" applyAlignment="1" applyBorder="1" applyFont="1">
      <alignment horizontal="center" readingOrder="0"/>
    </xf>
    <xf borderId="4" fillId="9" fontId="25" numFmtId="165" xfId="0" applyAlignment="1" applyBorder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0" fillId="16" fontId="4" numFmtId="0" xfId="0" applyAlignment="1" applyFont="1">
      <alignment horizontal="left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4" fillId="0" fontId="25" numFmtId="170" xfId="0" applyAlignment="1" applyBorder="1" applyFont="1" applyNumberFormat="1">
      <alignment horizontal="right" readingOrder="0"/>
    </xf>
    <xf borderId="0" fillId="4" fontId="10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vertical="center"/>
    </xf>
    <xf borderId="4" fillId="9" fontId="25" numFmtId="170" xfId="0" applyAlignment="1" applyBorder="1" applyFont="1" applyNumberFormat="1">
      <alignment horizontal="right" readingOrder="0"/>
    </xf>
    <xf borderId="4" fillId="11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center"/>
    </xf>
    <xf borderId="4" fillId="0" fontId="2" numFmtId="171" xfId="0" applyAlignment="1" applyBorder="1" applyFont="1" applyNumberFormat="1">
      <alignment horizontal="center" readingOrder="0" vertical="center"/>
    </xf>
    <xf borderId="4" fillId="9" fontId="26" numFmtId="170" xfId="0" applyAlignment="1" applyBorder="1" applyFont="1" applyNumberFormat="1">
      <alignment horizontal="right" readingOrder="0"/>
    </xf>
    <xf borderId="0" fillId="0" fontId="2" numFmtId="0" xfId="0" applyAlignment="1" applyFont="1">
      <alignment horizontal="center" readingOrder="0"/>
    </xf>
    <xf borderId="4" fillId="9" fontId="12" numFmtId="170" xfId="0" applyAlignment="1" applyBorder="1" applyFont="1" applyNumberFormat="1">
      <alignment horizontal="right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Border="1" applyFont="1"/>
    <xf borderId="4" fillId="0" fontId="26" numFmtId="165" xfId="0" applyAlignment="1" applyBorder="1" applyFont="1" applyNumberFormat="1">
      <alignment horizontal="right" readingOrder="0"/>
    </xf>
    <xf borderId="8" fillId="12" fontId="4" numFmtId="0" xfId="0" applyAlignment="1" applyBorder="1" applyFont="1">
      <alignment horizontal="center" readingOrder="0" vertical="center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0" fontId="2" numFmtId="0" xfId="0" applyAlignment="1" applyBorder="1" applyFont="1">
      <alignment horizontal="center" readingOrder="0" shrinkToFit="0" vertical="center" wrapText="1"/>
    </xf>
    <xf borderId="4" fillId="3" fontId="11" numFmtId="0" xfId="0" applyAlignment="1" applyBorder="1" applyFont="1">
      <alignment horizontal="center" readingOrder="0" shrinkToFit="0" vertical="center" wrapText="1"/>
    </xf>
    <xf borderId="4" fillId="0" fontId="12" numFmtId="165" xfId="0" applyAlignment="1" applyBorder="1" applyFont="1" applyNumberFormat="1">
      <alignment horizontal="right" readingOrder="0"/>
    </xf>
    <xf borderId="4" fillId="16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8" fillId="12" fontId="10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1" fillId="11" fontId="4" numFmtId="0" xfId="0" applyAlignment="1" applyBorder="1" applyFont="1">
      <alignment horizontal="center" readingOrder="0" vertical="center"/>
    </xf>
    <xf borderId="1" fillId="11" fontId="4" numFmtId="165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8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6" numFmtId="0" xfId="0" applyBorder="1" applyFont="1"/>
    <xf borderId="1" fillId="12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8" fillId="9" fontId="10" numFmtId="0" xfId="0" applyAlignment="1" applyBorder="1" applyFon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3" numFmtId="0" xfId="0" applyAlignment="1" applyBorder="1" applyFont="1">
      <alignment horizontal="center" vertical="bottom"/>
    </xf>
    <xf borderId="4" fillId="3" fontId="3" numFmtId="0" xfId="0" applyAlignment="1" applyBorder="1" applyFont="1">
      <alignment horizontal="center" shrinkToFit="0" vertical="bottom" wrapText="1"/>
    </xf>
    <xf borderId="4" fillId="0" fontId="3" numFmtId="0" xfId="0" applyAlignment="1" applyBorder="1" applyFont="1">
      <alignment horizontal="center" shrinkToFit="0" vertical="bottom" wrapText="1"/>
    </xf>
    <xf borderId="4" fillId="0" fontId="3" numFmtId="0" xfId="0" applyAlignment="1" applyBorder="1" applyFont="1">
      <alignment horizontal="center" readingOrder="0" shrinkToFit="0" vertical="bottom" wrapText="1"/>
    </xf>
    <xf borderId="4" fillId="5" fontId="3" numFmtId="0" xfId="0" applyAlignment="1" applyBorder="1" applyFont="1">
      <alignment horizontal="center" readingOrder="0" shrinkToFit="0" vertical="bottom" wrapText="1"/>
    </xf>
    <xf borderId="4" fillId="5" fontId="3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4" fillId="7" fontId="4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3" fontId="4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vertical="center"/>
    </xf>
    <xf borderId="4" fillId="11" fontId="30" numFmtId="165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1" fontId="30" numFmtId="4" xfId="0" applyAlignment="1" applyBorder="1" applyFont="1" applyNumberFormat="1">
      <alignment horizontal="center" readingOrder="0" vertical="center"/>
    </xf>
    <xf borderId="4" fillId="12" fontId="9" numFmtId="0" xfId="0" applyAlignment="1" applyBorder="1" applyFont="1">
      <alignment horizontal="center" readingOrder="0" vertical="bottom"/>
    </xf>
    <xf borderId="4" fillId="12" fontId="6" numFmtId="166" xfId="0" applyAlignment="1" applyBorder="1" applyFont="1" applyNumberFormat="1">
      <alignment horizontal="center" readingOrder="0"/>
    </xf>
    <xf borderId="4" fillId="0" fontId="19" numFmtId="0" xfId="0" applyAlignment="1" applyBorder="1" applyFont="1">
      <alignment horizontal="center" readingOrder="0"/>
    </xf>
    <xf borderId="4" fillId="11" fontId="30" numFmtId="1" xfId="0" applyAlignment="1" applyBorder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4" fillId="11" fontId="30" numFmtId="168" xfId="0" applyAlignment="1" applyBorder="1" applyFont="1" applyNumberFormat="1">
      <alignment horizontal="center" readingOrder="0" vertical="center"/>
    </xf>
    <xf borderId="4" fillId="12" fontId="6" numFmtId="0" xfId="0" applyAlignment="1" applyBorder="1" applyFont="1">
      <alignment horizontal="center" readingOrder="0"/>
    </xf>
    <xf borderId="4" fillId="11" fontId="19" numFmtId="0" xfId="0" applyAlignment="1" applyBorder="1" applyFont="1">
      <alignment horizontal="center" readingOrder="0"/>
    </xf>
    <xf borderId="0" fillId="9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10" fontId="31" numFmtId="0" xfId="0" applyAlignment="1" applyFont="1">
      <alignment horizontal="left" readingOrder="0" shrinkToFit="0" wrapText="1"/>
    </xf>
    <xf borderId="4" fillId="13" fontId="6" numFmtId="0" xfId="0" applyAlignment="1" applyBorder="1" applyFont="1">
      <alignment horizontal="center" readingOrder="0"/>
    </xf>
    <xf borderId="4" fillId="13" fontId="19" numFmtId="0" xfId="0" applyAlignment="1" applyBorder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9" numFmtId="0" xfId="0" applyAlignment="1" applyBorder="1" applyFont="1">
      <alignment horizontal="center" readingOrder="0"/>
    </xf>
    <xf borderId="4" fillId="17" fontId="4" numFmtId="0" xfId="0" applyAlignment="1" applyBorder="1" applyFont="1">
      <alignment horizontal="center" readingOrder="0" vertical="center"/>
    </xf>
    <xf borderId="4" fillId="11" fontId="34" numFmtId="0" xfId="0" applyAlignment="1" applyBorder="1" applyFont="1">
      <alignment horizontal="center" readingOrder="0" vertical="center"/>
    </xf>
    <xf borderId="4" fillId="11" fontId="34" numFmtId="165" xfId="0" applyAlignment="1" applyBorder="1" applyFont="1" applyNumberFormat="1">
      <alignment horizontal="center" readingOrder="0" vertical="center"/>
    </xf>
    <xf borderId="4" fillId="11" fontId="34" numFmtId="1" xfId="0" applyAlignment="1" applyBorder="1" applyFont="1" applyNumberFormat="1">
      <alignment horizontal="center" readingOrder="0" vertical="center"/>
    </xf>
    <xf borderId="4" fillId="11" fontId="34" numFmtId="168" xfId="0" applyAlignment="1" applyBorder="1" applyFont="1" applyNumberFormat="1">
      <alignment horizontal="center" readingOrder="0" vertical="center"/>
    </xf>
    <xf borderId="4" fillId="17" fontId="2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4" fillId="11" fontId="34" numFmtId="169" xfId="0" applyAlignment="1" applyBorder="1" applyFont="1" applyNumberFormat="1">
      <alignment horizontal="center" readingOrder="0" vertical="center"/>
    </xf>
    <xf borderId="4" fillId="11" fontId="35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4" fillId="3" fontId="30" numFmtId="0" xfId="0" applyAlignment="1" applyBorder="1" applyFont="1">
      <alignment horizontal="center" readingOrder="0" vertical="center"/>
    </xf>
    <xf borderId="0" fillId="11" fontId="30" numFmtId="0" xfId="0" applyAlignment="1" applyFont="1">
      <alignment horizontal="center" readingOrder="0" vertical="center"/>
    </xf>
    <xf borderId="4" fillId="11" fontId="2" numFmtId="0" xfId="0" applyAlignment="1" applyBorder="1" applyFont="1">
      <alignment horizontal="center" readingOrder="0"/>
    </xf>
    <xf borderId="8" fillId="11" fontId="4" numFmtId="0" xfId="0" applyAlignment="1" applyBorder="1" applyFont="1">
      <alignment horizontal="center" readingOrder="0" vertical="center"/>
    </xf>
    <xf borderId="10" fillId="11" fontId="30" numFmtId="0" xfId="0" applyAlignment="1" applyBorder="1" applyFont="1">
      <alignment horizontal="center" readingOrder="0" vertical="center"/>
    </xf>
    <xf borderId="10" fillId="11" fontId="30" numFmtId="165" xfId="0" applyAlignment="1" applyBorder="1" applyFont="1" applyNumberFormat="1">
      <alignment horizontal="center" readingOrder="0" vertical="center"/>
    </xf>
    <xf borderId="10" fillId="11" fontId="30" numFmtId="1" xfId="0" applyAlignment="1" applyBorder="1" applyFont="1" applyNumberFormat="1">
      <alignment horizontal="center" readingOrder="0" vertical="center"/>
    </xf>
    <xf borderId="10" fillId="11" fontId="30" numFmtId="168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0" fontId="3" numFmtId="49" xfId="0" applyAlignment="1" applyBorder="1" applyFont="1" applyNumberFormat="1">
      <alignment vertical="bottom"/>
    </xf>
    <xf borderId="4" fillId="12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vertical="bottom"/>
    </xf>
    <xf borderId="4" fillId="9" fontId="10" numFmtId="0" xfId="0" applyAlignment="1" applyBorder="1" applyFont="1">
      <alignment horizontal="center" readingOrder="0" vertical="center"/>
    </xf>
    <xf borderId="4" fillId="0" fontId="3" numFmtId="165" xfId="0" applyAlignment="1" applyBorder="1" applyFont="1" applyNumberFormat="1">
      <alignment vertical="bottom"/>
    </xf>
    <xf borderId="4" fillId="0" fontId="3" numFmtId="4" xfId="0" applyAlignment="1" applyBorder="1" applyFont="1" applyNumberFormat="1">
      <alignment vertical="bottom"/>
    </xf>
    <xf borderId="4" fillId="0" fontId="3" numFmtId="2" xfId="0" applyAlignment="1" applyBorder="1" applyFont="1" applyNumberFormat="1">
      <alignment vertical="bottom"/>
    </xf>
    <xf borderId="4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0" fontId="3" numFmtId="49" xfId="0" applyAlignment="1" applyFont="1" applyNumberFormat="1">
      <alignment vertical="bottom"/>
    </xf>
    <xf borderId="4" fillId="3" fontId="10" numFmtId="0" xfId="0" applyAlignment="1" applyBorder="1" applyFont="1">
      <alignment horizontal="center" readingOrder="0" vertical="center"/>
    </xf>
    <xf borderId="0" fillId="10" fontId="3" numFmtId="0" xfId="0" applyAlignment="1" applyFont="1">
      <alignment vertical="bottom"/>
    </xf>
    <xf borderId="4" fillId="0" fontId="10" numFmtId="0" xfId="0" applyAlignment="1" applyBorder="1" applyFont="1">
      <alignment horizontal="center" vertical="center"/>
    </xf>
    <xf borderId="0" fillId="10" fontId="36" numFmtId="0" xfId="0" applyAlignment="1" applyFont="1">
      <alignment horizontal="center" vertical="bottom"/>
    </xf>
    <xf borderId="4" fillId="10" fontId="3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0" fontId="0" numFmtId="0" xfId="0" applyAlignment="1" applyBorder="1" applyFont="1">
      <alignment horizontal="center" readingOrder="0" vertical="center"/>
    </xf>
    <xf borderId="4" fillId="10" fontId="36" numFmtId="0" xfId="0" applyAlignment="1" applyBorder="1" applyFont="1">
      <alignment horizontal="center" vertical="bottom"/>
    </xf>
    <xf borderId="4" fillId="10" fontId="3" numFmtId="165" xfId="0" applyAlignment="1" applyBorder="1" applyFont="1" applyNumberFormat="1">
      <alignment vertical="bottom"/>
    </xf>
    <xf borderId="4" fillId="10" fontId="3" numFmtId="4" xfId="0" applyAlignment="1" applyBorder="1" applyFont="1" applyNumberFormat="1">
      <alignment vertical="bottom"/>
    </xf>
    <xf borderId="4" fillId="10" fontId="3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3" numFmtId="0" xfId="0" applyAlignment="1" applyBorder="1" applyFont="1">
      <alignment vertical="bottom"/>
    </xf>
    <xf borderId="10" fillId="14" fontId="3" numFmtId="2" xfId="0" applyAlignment="1" applyBorder="1" applyFont="1" applyNumberFormat="1">
      <alignment vertical="bottom"/>
    </xf>
    <xf borderId="4" fillId="17" fontId="10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bottom"/>
    </xf>
    <xf borderId="4" fillId="17" fontId="0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vertical="bottom"/>
    </xf>
    <xf borderId="4" fillId="3" fontId="10" numFmtId="0" xfId="0" applyAlignment="1" applyBorder="1" applyFont="1">
      <alignment horizontal="center" readingOrder="0" vertical="center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23" fontId="10" numFmtId="0" xfId="0" applyAlignment="1" applyBorder="1" applyFill="1" applyFont="1">
      <alignment horizontal="center" readingOrder="0" vertical="center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0" fillId="11" fontId="34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3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0" fontId="3" numFmtId="0" xfId="0" applyAlignment="1" applyFont="1">
      <alignment horizontal="center" shrinkToFit="0" vertical="bottom" wrapText="1"/>
    </xf>
    <xf borderId="0" fillId="21" fontId="7" numFmtId="0" xfId="0" applyAlignment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3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6" numFmtId="0" xfId="0" applyAlignment="1" applyBorder="1" applyFont="1">
      <alignment horizontal="left" readingOrder="0"/>
    </xf>
    <xf borderId="10" fillId="10" fontId="6" numFmtId="0" xfId="0" applyAlignment="1" applyBorder="1" applyFont="1">
      <alignment horizontal="left" readingOrder="0"/>
    </xf>
    <xf borderId="5" fillId="12" fontId="7" numFmtId="0" xfId="0" applyAlignment="1" applyBorder="1" applyFont="1">
      <alignment horizontal="center" readingOrder="0"/>
    </xf>
    <xf borderId="5" fillId="12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3" numFmtId="0" xfId="0" applyBorder="1" applyFont="1"/>
    <xf borderId="4" fillId="15" fontId="38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4" fillId="6" fontId="38" numFmtId="0" xfId="0" applyAlignment="1" applyBorder="1" applyFont="1">
      <alignment horizontal="center"/>
    </xf>
    <xf borderId="4" fillId="20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3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0" fillId="0" fontId="6" numFmtId="4" xfId="0" applyFont="1" applyNumberFormat="1"/>
    <xf borderId="8" fillId="0" fontId="21" numFmtId="0" xfId="0" applyAlignment="1" applyBorder="1" applyFont="1">
      <alignment horizontal="center"/>
    </xf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4" fillId="12" fontId="6" numFmtId="4" xfId="0" applyAlignment="1" applyBorder="1" applyFont="1" applyNumberFormat="1">
      <alignment horizontal="center" readingOrder="0"/>
    </xf>
    <xf borderId="19" fillId="0" fontId="5" numFmtId="0" xfId="0" applyBorder="1" applyFont="1"/>
    <xf borderId="0" fillId="9" fontId="6" numFmtId="0" xfId="0" applyAlignment="1" applyFont="1">
      <alignment horizontal="center" readingOrder="0" shrinkToFit="0" wrapText="1"/>
    </xf>
    <xf borderId="20" fillId="0" fontId="36" numFmtId="174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readingOrder="0"/>
    </xf>
    <xf borderId="20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readingOrder="0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3" numFmtId="0" xfId="0" applyAlignment="1" applyBorder="1" applyFont="1">
      <alignment vertical="bottom"/>
    </xf>
    <xf borderId="4" fillId="32" fontId="3" numFmtId="0" xfId="0" applyAlignment="1" applyBorder="1" applyFont="1">
      <alignment horizontal="center" readingOrder="0" vertical="bottom"/>
    </xf>
    <xf borderId="4" fillId="32" fontId="3" numFmtId="0" xfId="0" applyAlignment="1" applyBorder="1" applyFont="1">
      <alignment horizontal="center" vertical="bottom"/>
    </xf>
    <xf borderId="23" fillId="32" fontId="3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3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71933545"/>
        <c:axId val="2062566783"/>
      </c:barChart>
      <c:catAx>
        <c:axId val="1271933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2566783"/>
      </c:catAx>
      <c:valAx>
        <c:axId val="20625667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19335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17729110"/>
        <c:axId val="1215533915"/>
      </c:barChart>
      <c:catAx>
        <c:axId val="1217729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533915"/>
      </c:catAx>
      <c:valAx>
        <c:axId val="12155339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7291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4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2</v>
      </c>
      <c r="C1" s="4" t="s">
        <v>3</v>
      </c>
      <c r="D1" s="8" t="s">
        <v>6</v>
      </c>
      <c r="E1" s="10">
        <v>62.5</v>
      </c>
      <c r="F1" s="13" t="s">
        <v>10</v>
      </c>
      <c r="G1" s="14"/>
      <c r="H1" s="14"/>
      <c r="I1" s="14"/>
      <c r="J1" s="14"/>
      <c r="K1" s="17"/>
      <c r="L1" s="14"/>
      <c r="M1" s="14"/>
      <c r="N1" s="14"/>
      <c r="O1" s="17"/>
      <c r="P1" s="14"/>
      <c r="Q1" s="14"/>
      <c r="R1" s="14"/>
      <c r="S1" s="14"/>
      <c r="T1" s="19"/>
      <c r="U1" s="19"/>
      <c r="V1" s="14"/>
      <c r="W1" s="19"/>
      <c r="X1" s="19"/>
      <c r="Y1" s="20"/>
      <c r="Z1" s="20"/>
      <c r="AA1" s="14"/>
      <c r="AB1" s="21"/>
      <c r="AC1" s="14"/>
      <c r="AD1" s="14"/>
      <c r="AE1" s="14"/>
    </row>
    <row r="2" ht="16.5" customHeight="1">
      <c r="A2" s="22"/>
      <c r="B2" s="22"/>
      <c r="C2" s="22"/>
      <c r="D2" s="22"/>
      <c r="E2" s="25" t="s">
        <v>13</v>
      </c>
      <c r="F2" s="25" t="s">
        <v>14</v>
      </c>
      <c r="G2" s="20"/>
      <c r="H2" s="20"/>
      <c r="I2" s="20"/>
      <c r="J2" s="20"/>
      <c r="K2" s="17"/>
      <c r="L2" s="20"/>
      <c r="M2" s="20"/>
      <c r="N2" s="20"/>
      <c r="O2" s="17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4"/>
      <c r="AD2" s="14"/>
      <c r="AE2" s="14"/>
    </row>
    <row r="3">
      <c r="A3" s="25"/>
      <c r="B3" s="34" t="str">
        <f>IF(Y3="APL",T3,"")</f>
        <v/>
      </c>
      <c r="C3" s="37"/>
      <c r="D3" s="39"/>
      <c r="E3" s="41"/>
      <c r="F3" s="41"/>
      <c r="G3" s="19" t="s">
        <v>27</v>
      </c>
      <c r="H3" s="19" t="s">
        <v>29</v>
      </c>
      <c r="I3" s="19" t="s">
        <v>31</v>
      </c>
      <c r="J3" s="19" t="s">
        <v>32</v>
      </c>
      <c r="K3" s="19" t="s">
        <v>35</v>
      </c>
      <c r="L3" s="19" t="s">
        <v>37</v>
      </c>
      <c r="M3" s="19" t="s">
        <v>38</v>
      </c>
      <c r="N3" s="19" t="s">
        <v>41</v>
      </c>
      <c r="O3" s="19" t="s">
        <v>3</v>
      </c>
      <c r="P3" s="19" t="s">
        <v>43</v>
      </c>
      <c r="Q3" s="19" t="s">
        <v>45</v>
      </c>
      <c r="R3" s="19" t="s">
        <v>47</v>
      </c>
      <c r="S3" s="19" t="s">
        <v>48</v>
      </c>
      <c r="T3" s="19" t="s">
        <v>50</v>
      </c>
      <c r="U3" s="19" t="s">
        <v>51</v>
      </c>
      <c r="V3" s="19" t="s">
        <v>52</v>
      </c>
      <c r="W3" s="19" t="s">
        <v>52</v>
      </c>
      <c r="X3" s="19" t="s">
        <v>53</v>
      </c>
      <c r="Y3" s="19" t="s">
        <v>54</v>
      </c>
      <c r="Z3" s="19" t="s">
        <v>55</v>
      </c>
      <c r="AA3" s="19" t="s">
        <v>52</v>
      </c>
      <c r="AB3" s="19" t="s">
        <v>56</v>
      </c>
      <c r="AC3" s="19"/>
      <c r="AD3" s="46"/>
      <c r="AE3" s="14"/>
    </row>
    <row r="4">
      <c r="A4" s="25">
        <v>1.0</v>
      </c>
      <c r="B4" s="34">
        <f t="shared" ref="B4:B42" si="1">T4</f>
        <v>2702</v>
      </c>
      <c r="C4" s="37" t="str">
        <f t="shared" ref="C4:C42" si="2">O4</f>
        <v>PC-E17371</v>
      </c>
      <c r="D4" s="49">
        <f t="shared" ref="D4:D42" si="3">U4-Q4</f>
        <v>-47.46875</v>
      </c>
      <c r="E4" s="41"/>
      <c r="F4" s="39" t="b">
        <f t="shared" ref="F4:F42" si="4">IF(Y4="APL",T4)</f>
        <v>0</v>
      </c>
      <c r="G4" s="16" t="s">
        <v>60</v>
      </c>
      <c r="H4" s="16" t="s">
        <v>61</v>
      </c>
      <c r="I4" s="16" t="s">
        <v>62</v>
      </c>
      <c r="J4" s="16" t="s">
        <v>63</v>
      </c>
      <c r="K4" s="16" t="s">
        <v>64</v>
      </c>
      <c r="L4" s="53"/>
      <c r="M4" s="53"/>
      <c r="N4" s="53"/>
      <c r="O4" s="16" t="s">
        <v>65</v>
      </c>
      <c r="P4" s="16" t="s">
        <v>66</v>
      </c>
      <c r="Q4" s="55">
        <v>214.13541666666666</v>
      </c>
      <c r="R4" s="55">
        <v>421.2951388888889</v>
      </c>
      <c r="S4" s="16">
        <v>128.48</v>
      </c>
      <c r="T4" s="16">
        <v>2702.0</v>
      </c>
      <c r="U4" s="55">
        <v>166.66666666666666</v>
      </c>
      <c r="V4" s="57">
        <v>41754.0</v>
      </c>
      <c r="W4" s="57">
        <v>46134.0</v>
      </c>
      <c r="X4" s="16">
        <v>3.040093565E9</v>
      </c>
      <c r="Y4" s="16" t="s">
        <v>68</v>
      </c>
      <c r="Z4" s="16">
        <v>3.810279892E9</v>
      </c>
      <c r="AA4" s="57">
        <v>46170.0</v>
      </c>
      <c r="AB4" s="53"/>
      <c r="AC4" s="19"/>
      <c r="AD4" s="46"/>
      <c r="AE4" s="14"/>
    </row>
    <row r="5">
      <c r="A5" s="25">
        <v>2.0</v>
      </c>
      <c r="B5" s="34">
        <f t="shared" si="1"/>
        <v>2703</v>
      </c>
      <c r="C5" s="37" t="str">
        <f t="shared" si="2"/>
        <v>PC-E17377</v>
      </c>
      <c r="D5" s="49">
        <f t="shared" si="3"/>
        <v>-7.763888889</v>
      </c>
      <c r="E5" s="41"/>
      <c r="F5" s="39">
        <f t="shared" si="4"/>
        <v>2703</v>
      </c>
      <c r="G5" s="16" t="s">
        <v>72</v>
      </c>
      <c r="H5" s="16" t="s">
        <v>61</v>
      </c>
      <c r="I5" s="16" t="s">
        <v>62</v>
      </c>
      <c r="J5" s="16" t="s">
        <v>63</v>
      </c>
      <c r="K5" s="16" t="s">
        <v>64</v>
      </c>
      <c r="L5" s="53"/>
      <c r="M5" s="45"/>
      <c r="N5" s="45"/>
      <c r="O5" s="16" t="s">
        <v>74</v>
      </c>
      <c r="P5" s="16" t="s">
        <v>66</v>
      </c>
      <c r="Q5" s="55">
        <v>174.43055555555554</v>
      </c>
      <c r="R5" s="55">
        <v>402.7083333333333</v>
      </c>
      <c r="S5" s="16">
        <v>104.66</v>
      </c>
      <c r="T5" s="16">
        <v>2703.0</v>
      </c>
      <c r="U5" s="55">
        <v>166.66666666666666</v>
      </c>
      <c r="V5" s="64">
        <v>44709.0</v>
      </c>
      <c r="W5" s="64">
        <v>44652.0</v>
      </c>
      <c r="X5" s="16">
        <v>3.040083839E9</v>
      </c>
      <c r="Y5" s="16" t="s">
        <v>75</v>
      </c>
      <c r="Z5" s="53"/>
      <c r="AA5" s="66"/>
      <c r="AB5" s="53"/>
      <c r="AC5" s="19"/>
      <c r="AD5" s="46"/>
      <c r="AE5" s="14"/>
    </row>
    <row r="6">
      <c r="A6" s="25">
        <v>3.0</v>
      </c>
      <c r="B6" s="34">
        <f t="shared" si="1"/>
        <v>2719</v>
      </c>
      <c r="C6" s="37" t="str">
        <f t="shared" si="2"/>
        <v>PC-EPC0431</v>
      </c>
      <c r="D6" s="49">
        <f t="shared" si="3"/>
        <v>-14.28819444</v>
      </c>
      <c r="E6" s="41"/>
      <c r="F6" s="39">
        <f t="shared" si="4"/>
        <v>2719</v>
      </c>
      <c r="G6" s="16" t="s">
        <v>79</v>
      </c>
      <c r="H6" s="16" t="s">
        <v>61</v>
      </c>
      <c r="I6" s="16">
        <v>3044000.0</v>
      </c>
      <c r="J6" s="16" t="s">
        <v>80</v>
      </c>
      <c r="K6" s="16" t="s">
        <v>64</v>
      </c>
      <c r="L6" s="53"/>
      <c r="M6" s="45"/>
      <c r="N6" s="45"/>
      <c r="O6" s="16" t="s">
        <v>81</v>
      </c>
      <c r="P6" s="16" t="s">
        <v>66</v>
      </c>
      <c r="Q6" s="55">
        <v>180.95486111111111</v>
      </c>
      <c r="R6" s="55">
        <v>546.1354166666666</v>
      </c>
      <c r="S6" s="16">
        <v>108.57</v>
      </c>
      <c r="T6" s="16">
        <v>2719.0</v>
      </c>
      <c r="U6" s="55">
        <v>166.66666666666666</v>
      </c>
      <c r="V6" s="64">
        <v>44348.0</v>
      </c>
      <c r="W6" s="57">
        <v>44348.0</v>
      </c>
      <c r="X6" s="16">
        <v>2.260002888E9</v>
      </c>
      <c r="Y6" s="16" t="s">
        <v>75</v>
      </c>
      <c r="Z6" s="53"/>
      <c r="AA6" s="66"/>
      <c r="AB6" s="53"/>
      <c r="AC6" s="19"/>
      <c r="AD6" s="46"/>
      <c r="AE6" s="14"/>
    </row>
    <row r="7">
      <c r="A7" s="25">
        <v>4.0</v>
      </c>
      <c r="B7" s="34">
        <f t="shared" si="1"/>
        <v>2728</v>
      </c>
      <c r="C7" s="37" t="str">
        <f t="shared" si="2"/>
        <v>PCE-PC0499</v>
      </c>
      <c r="D7" s="49">
        <f t="shared" si="3"/>
        <v>164.2013889</v>
      </c>
      <c r="E7" s="41"/>
      <c r="F7" s="39" t="b">
        <f t="shared" si="4"/>
        <v>0</v>
      </c>
      <c r="G7" s="16" t="s">
        <v>60</v>
      </c>
      <c r="H7" s="16" t="s">
        <v>61</v>
      </c>
      <c r="I7" s="16">
        <v>3044000.0</v>
      </c>
      <c r="J7" s="16" t="s">
        <v>80</v>
      </c>
      <c r="K7" s="16" t="s">
        <v>64</v>
      </c>
      <c r="L7" s="53"/>
      <c r="M7" s="45"/>
      <c r="N7" s="45"/>
      <c r="O7" s="16" t="s">
        <v>85</v>
      </c>
      <c r="P7" s="16" t="s">
        <v>66</v>
      </c>
      <c r="Q7" s="81">
        <v>2.4652777777777777</v>
      </c>
      <c r="R7" s="55">
        <v>534.3715277777778</v>
      </c>
      <c r="S7" s="16">
        <v>1.48</v>
      </c>
      <c r="T7" s="16">
        <v>2728.0</v>
      </c>
      <c r="U7" s="55">
        <v>166.66666666666666</v>
      </c>
      <c r="V7" s="64">
        <v>46059.0</v>
      </c>
      <c r="W7" s="57">
        <v>46203.0</v>
      </c>
      <c r="X7" s="16">
        <v>3.040093881E9</v>
      </c>
      <c r="Y7" s="16" t="s">
        <v>68</v>
      </c>
      <c r="Z7" s="16">
        <v>3.810280456E9</v>
      </c>
      <c r="AA7" s="57">
        <v>46210.0</v>
      </c>
      <c r="AB7" s="53"/>
      <c r="AC7" s="19"/>
      <c r="AD7" s="46"/>
      <c r="AE7" s="14"/>
    </row>
    <row r="8">
      <c r="A8" s="25">
        <v>5.0</v>
      </c>
      <c r="B8" s="34">
        <f t="shared" si="1"/>
        <v>2742</v>
      </c>
      <c r="C8" s="37" t="str">
        <f t="shared" si="2"/>
        <v>PCE-PC0743</v>
      </c>
      <c r="D8" s="49">
        <f t="shared" si="3"/>
        <v>133.7326389</v>
      </c>
      <c r="E8" s="41"/>
      <c r="F8" s="39">
        <f t="shared" si="4"/>
        <v>2742</v>
      </c>
      <c r="G8" s="16" t="s">
        <v>87</v>
      </c>
      <c r="H8" s="16" t="s">
        <v>61</v>
      </c>
      <c r="I8" s="16">
        <v>3044000.0</v>
      </c>
      <c r="J8" s="16" t="s">
        <v>80</v>
      </c>
      <c r="K8" s="16" t="s">
        <v>64</v>
      </c>
      <c r="L8" s="53"/>
      <c r="M8" s="45"/>
      <c r="N8" s="45"/>
      <c r="O8" s="16" t="s">
        <v>82</v>
      </c>
      <c r="P8" s="16" t="s">
        <v>66</v>
      </c>
      <c r="Q8" s="55">
        <v>32.93402777777778</v>
      </c>
      <c r="R8" s="55">
        <v>230.68402777777777</v>
      </c>
      <c r="S8" s="16">
        <v>19.76</v>
      </c>
      <c r="T8" s="16">
        <v>2742.0</v>
      </c>
      <c r="U8" s="55">
        <v>166.66666666666666</v>
      </c>
      <c r="V8" s="64">
        <v>46149.0</v>
      </c>
      <c r="W8" s="57">
        <v>45510.0</v>
      </c>
      <c r="X8" s="16">
        <v>3.130007347E9</v>
      </c>
      <c r="Y8" s="16" t="s">
        <v>75</v>
      </c>
      <c r="Z8" s="53"/>
      <c r="AA8" s="66"/>
      <c r="AB8" s="53"/>
      <c r="AC8" s="19"/>
      <c r="AD8" s="46"/>
      <c r="AE8" s="46"/>
    </row>
    <row r="9">
      <c r="A9" s="25">
        <v>6.0</v>
      </c>
      <c r="B9" s="34">
        <f t="shared" si="1"/>
        <v>2734</v>
      </c>
      <c r="C9" s="37" t="str">
        <f t="shared" si="2"/>
        <v>PCE-PC0764</v>
      </c>
      <c r="D9" s="49">
        <f t="shared" si="3"/>
        <v>-41.54166667</v>
      </c>
      <c r="E9" s="41"/>
      <c r="F9" s="39" t="b">
        <f t="shared" si="4"/>
        <v>0</v>
      </c>
      <c r="G9" s="16" t="s">
        <v>60</v>
      </c>
      <c r="H9" s="16" t="s">
        <v>61</v>
      </c>
      <c r="I9" s="16">
        <v>3044000.0</v>
      </c>
      <c r="J9" s="16" t="s">
        <v>80</v>
      </c>
      <c r="K9" s="16" t="s">
        <v>64</v>
      </c>
      <c r="L9" s="53"/>
      <c r="M9" s="45"/>
      <c r="N9" s="45"/>
      <c r="O9" s="16" t="s">
        <v>92</v>
      </c>
      <c r="P9" s="16" t="s">
        <v>66</v>
      </c>
      <c r="Q9" s="55">
        <v>208.20833333333334</v>
      </c>
      <c r="R9" s="55">
        <v>383.63194444444446</v>
      </c>
      <c r="S9" s="16">
        <v>124.93</v>
      </c>
      <c r="T9" s="16">
        <v>2734.0</v>
      </c>
      <c r="U9" s="55">
        <v>166.66666666666666</v>
      </c>
      <c r="V9" s="64">
        <v>43731.0</v>
      </c>
      <c r="W9" s="57">
        <v>45301.0</v>
      </c>
      <c r="X9" s="16">
        <v>3.810139776E9</v>
      </c>
      <c r="Y9" s="16" t="s">
        <v>93</v>
      </c>
      <c r="Z9" s="16" t="s">
        <v>94</v>
      </c>
      <c r="AA9" s="57">
        <v>43507.0</v>
      </c>
      <c r="AB9" s="53"/>
      <c r="AC9" s="19"/>
      <c r="AD9" s="46"/>
      <c r="AE9" s="46"/>
    </row>
    <row r="10">
      <c r="A10" s="25">
        <v>7.0</v>
      </c>
      <c r="B10" s="34">
        <f t="shared" si="1"/>
        <v>2740</v>
      </c>
      <c r="C10" s="37" t="str">
        <f t="shared" si="2"/>
        <v>PCE-PC0776</v>
      </c>
      <c r="D10" s="49">
        <f t="shared" si="3"/>
        <v>29.09375</v>
      </c>
      <c r="E10" s="41"/>
      <c r="F10" s="39">
        <f t="shared" si="4"/>
        <v>2740</v>
      </c>
      <c r="G10" s="16" t="s">
        <v>96</v>
      </c>
      <c r="H10" s="16" t="s">
        <v>61</v>
      </c>
      <c r="I10" s="16">
        <v>3044000.0</v>
      </c>
      <c r="J10" s="16" t="s">
        <v>80</v>
      </c>
      <c r="K10" s="16" t="s">
        <v>64</v>
      </c>
      <c r="L10" s="53"/>
      <c r="M10" s="45"/>
      <c r="N10" s="45"/>
      <c r="O10" s="16" t="s">
        <v>98</v>
      </c>
      <c r="P10" s="16" t="s">
        <v>66</v>
      </c>
      <c r="Q10" s="55">
        <v>137.57291666666666</v>
      </c>
      <c r="R10" s="55">
        <v>345.49652777777777</v>
      </c>
      <c r="S10" s="16">
        <v>82.54</v>
      </c>
      <c r="T10" s="16">
        <v>2740.0</v>
      </c>
      <c r="U10" s="55">
        <v>166.66666666666666</v>
      </c>
      <c r="V10" s="64">
        <v>45511.0</v>
      </c>
      <c r="W10" s="57">
        <v>43725.0</v>
      </c>
      <c r="X10" s="16">
        <v>3.810113895E9</v>
      </c>
      <c r="Y10" s="16" t="s">
        <v>75</v>
      </c>
      <c r="Z10" s="53"/>
      <c r="AA10" s="66"/>
      <c r="AB10" s="53"/>
      <c r="AC10" s="19"/>
      <c r="AD10" s="46"/>
      <c r="AE10" s="14"/>
    </row>
    <row r="11">
      <c r="A11" s="25">
        <v>8.0</v>
      </c>
      <c r="B11" s="34">
        <f t="shared" si="1"/>
        <v>2732</v>
      </c>
      <c r="C11" s="37" t="str">
        <f t="shared" si="2"/>
        <v>PCE-PC0790</v>
      </c>
      <c r="D11" s="49">
        <f t="shared" si="3"/>
        <v>46.27430556</v>
      </c>
      <c r="E11" s="41"/>
      <c r="F11" s="39" t="b">
        <f t="shared" si="4"/>
        <v>0</v>
      </c>
      <c r="G11" s="16" t="s">
        <v>60</v>
      </c>
      <c r="H11" s="16" t="s">
        <v>61</v>
      </c>
      <c r="I11" s="16">
        <v>3044000.0</v>
      </c>
      <c r="J11" s="16" t="s">
        <v>80</v>
      </c>
      <c r="K11" s="16" t="s">
        <v>64</v>
      </c>
      <c r="L11" s="53"/>
      <c r="M11" s="45"/>
      <c r="N11" s="45"/>
      <c r="O11" s="16" t="s">
        <v>104</v>
      </c>
      <c r="P11" s="16" t="s">
        <v>66</v>
      </c>
      <c r="Q11" s="55">
        <v>120.39236111111111</v>
      </c>
      <c r="R11" s="55">
        <v>337.02430555555554</v>
      </c>
      <c r="S11" s="16">
        <v>72.24</v>
      </c>
      <c r="T11" s="16">
        <v>2732.0</v>
      </c>
      <c r="U11" s="55">
        <v>166.66666666666666</v>
      </c>
      <c r="V11" s="64">
        <v>45716.0</v>
      </c>
      <c r="W11" s="64">
        <v>45716.0</v>
      </c>
      <c r="X11" s="16">
        <v>3.810140243E9</v>
      </c>
      <c r="Y11" s="16" t="s">
        <v>93</v>
      </c>
      <c r="Z11" s="16" t="s">
        <v>105</v>
      </c>
      <c r="AA11" s="57">
        <v>44665.0</v>
      </c>
      <c r="AB11" s="53"/>
      <c r="AC11" s="19"/>
      <c r="AD11" s="46"/>
      <c r="AE11" s="14"/>
    </row>
    <row r="12">
      <c r="A12" s="99">
        <v>9.0</v>
      </c>
      <c r="B12" s="100">
        <f t="shared" si="1"/>
        <v>2733</v>
      </c>
      <c r="C12" s="101" t="str">
        <f t="shared" si="2"/>
        <v>PCE-PC0797</v>
      </c>
      <c r="D12" s="102">
        <f t="shared" si="3"/>
        <v>-5.663194444</v>
      </c>
      <c r="E12" s="103"/>
      <c r="F12" s="105">
        <f t="shared" si="4"/>
        <v>2733</v>
      </c>
      <c r="G12" s="16" t="s">
        <v>110</v>
      </c>
      <c r="H12" s="16" t="s">
        <v>61</v>
      </c>
      <c r="I12" s="16">
        <v>3044000.0</v>
      </c>
      <c r="J12" s="16" t="s">
        <v>80</v>
      </c>
      <c r="K12" s="16" t="s">
        <v>64</v>
      </c>
      <c r="L12" s="53"/>
      <c r="M12" s="45"/>
      <c r="N12" s="45"/>
      <c r="O12" s="16" t="s">
        <v>90</v>
      </c>
      <c r="P12" s="16" t="s">
        <v>66</v>
      </c>
      <c r="Q12" s="55">
        <v>172.32986111111111</v>
      </c>
      <c r="R12" s="55">
        <v>276.60069444444446</v>
      </c>
      <c r="S12" s="16">
        <v>103.4</v>
      </c>
      <c r="T12" s="16">
        <v>2733.0</v>
      </c>
      <c r="U12" s="55">
        <v>166.66666666666666</v>
      </c>
      <c r="V12" s="64">
        <v>45064.0</v>
      </c>
      <c r="W12" s="57">
        <v>45048.0</v>
      </c>
      <c r="X12" s="16">
        <v>7.080005835E9</v>
      </c>
      <c r="Y12" s="16" t="s">
        <v>75</v>
      </c>
      <c r="Z12" s="53"/>
      <c r="AA12" s="66"/>
      <c r="AB12" s="53"/>
      <c r="AC12" s="19"/>
      <c r="AD12" s="46"/>
      <c r="AE12" s="46"/>
    </row>
    <row r="13">
      <c r="A13" s="99">
        <v>10.0</v>
      </c>
      <c r="B13" s="100">
        <f t="shared" si="1"/>
        <v>2702</v>
      </c>
      <c r="C13" s="101" t="str">
        <f t="shared" si="2"/>
        <v>PCE-PC0863</v>
      </c>
      <c r="D13" s="102">
        <f t="shared" si="3"/>
        <v>166.6666667</v>
      </c>
      <c r="E13" s="103"/>
      <c r="F13" s="105" t="b">
        <f t="shared" si="4"/>
        <v>0</v>
      </c>
      <c r="G13" s="16" t="s">
        <v>60</v>
      </c>
      <c r="H13" s="16" t="s">
        <v>61</v>
      </c>
      <c r="I13" s="16">
        <v>3044000.0</v>
      </c>
      <c r="J13" s="53"/>
      <c r="K13" s="16" t="s">
        <v>64</v>
      </c>
      <c r="L13" s="53"/>
      <c r="M13" s="45"/>
      <c r="N13" s="45"/>
      <c r="O13" s="16" t="s">
        <v>115</v>
      </c>
      <c r="P13" s="16" t="s">
        <v>66</v>
      </c>
      <c r="Q13" s="81">
        <v>0.0</v>
      </c>
      <c r="R13" s="55">
        <v>691.4583333333334</v>
      </c>
      <c r="S13" s="53"/>
      <c r="T13" s="16">
        <v>2702.0</v>
      </c>
      <c r="U13" s="55">
        <v>166.66666666666666</v>
      </c>
      <c r="V13" s="64">
        <v>46135.0</v>
      </c>
      <c r="W13" s="57">
        <v>46169.0</v>
      </c>
      <c r="X13" s="16">
        <v>3.810140375E9</v>
      </c>
      <c r="Y13" s="16" t="s">
        <v>116</v>
      </c>
      <c r="Z13" s="16" t="s">
        <v>117</v>
      </c>
      <c r="AA13" s="57">
        <v>46227.0</v>
      </c>
      <c r="AB13" s="53"/>
      <c r="AC13" s="19"/>
      <c r="AD13" s="46"/>
      <c r="AE13" s="14"/>
    </row>
    <row r="14">
      <c r="A14" s="99">
        <v>11.0</v>
      </c>
      <c r="B14" s="100">
        <f t="shared" si="1"/>
        <v>2727</v>
      </c>
      <c r="C14" s="101" t="str">
        <f t="shared" si="2"/>
        <v>PCE-PC1002</v>
      </c>
      <c r="D14" s="102">
        <f t="shared" si="3"/>
        <v>162.4340278</v>
      </c>
      <c r="E14" s="103"/>
      <c r="F14" s="105">
        <f t="shared" si="4"/>
        <v>2727</v>
      </c>
      <c r="G14" s="16" t="s">
        <v>120</v>
      </c>
      <c r="H14" s="16" t="s">
        <v>61</v>
      </c>
      <c r="I14" s="16">
        <v>3044000.0</v>
      </c>
      <c r="J14" s="16" t="s">
        <v>80</v>
      </c>
      <c r="K14" s="16" t="s">
        <v>64</v>
      </c>
      <c r="L14" s="53"/>
      <c r="M14" s="45"/>
      <c r="N14" s="45"/>
      <c r="O14" s="16" t="s">
        <v>108</v>
      </c>
      <c r="P14" s="16" t="s">
        <v>66</v>
      </c>
      <c r="Q14" s="81">
        <v>4.232638888888889</v>
      </c>
      <c r="R14" s="55">
        <v>316.37152777777777</v>
      </c>
      <c r="S14" s="16">
        <v>2.54</v>
      </c>
      <c r="T14" s="16">
        <v>2727.0</v>
      </c>
      <c r="U14" s="55">
        <v>166.66666666666666</v>
      </c>
      <c r="V14" s="64">
        <v>46125.0</v>
      </c>
      <c r="W14" s="16" t="s">
        <v>121</v>
      </c>
      <c r="X14" s="53"/>
      <c r="Y14" s="16" t="s">
        <v>75</v>
      </c>
      <c r="Z14" s="53"/>
      <c r="AA14" s="66"/>
      <c r="AB14" s="53"/>
      <c r="AC14" s="115"/>
      <c r="AD14" s="116"/>
      <c r="AE14" s="117"/>
    </row>
    <row r="15">
      <c r="A15" s="99">
        <v>12.0</v>
      </c>
      <c r="B15" s="100">
        <f t="shared" si="1"/>
        <v>2738</v>
      </c>
      <c r="C15" s="101" t="str">
        <f t="shared" si="2"/>
        <v>PCE-PC1211</v>
      </c>
      <c r="D15" s="102">
        <f t="shared" si="3"/>
        <v>162.4965278</v>
      </c>
      <c r="E15" s="103"/>
      <c r="F15" s="105">
        <f t="shared" si="4"/>
        <v>2738</v>
      </c>
      <c r="G15" s="16" t="s">
        <v>96</v>
      </c>
      <c r="H15" s="16" t="s">
        <v>61</v>
      </c>
      <c r="I15" s="16">
        <v>3044000.0</v>
      </c>
      <c r="J15" s="16" t="s">
        <v>80</v>
      </c>
      <c r="K15" s="16" t="s">
        <v>64</v>
      </c>
      <c r="L15" s="53"/>
      <c r="M15" s="45"/>
      <c r="N15" s="45"/>
      <c r="O15" s="16" t="s">
        <v>57</v>
      </c>
      <c r="P15" s="16" t="s">
        <v>66</v>
      </c>
      <c r="Q15" s="81">
        <v>4.170138888888889</v>
      </c>
      <c r="R15" s="55">
        <v>188.60069444444446</v>
      </c>
      <c r="S15" s="16">
        <v>2.5</v>
      </c>
      <c r="T15" s="16">
        <v>2738.0</v>
      </c>
      <c r="U15" s="55">
        <v>166.66666666666666</v>
      </c>
      <c r="V15" s="64">
        <v>46199.0</v>
      </c>
      <c r="W15" s="64">
        <v>41861.0</v>
      </c>
      <c r="X15" s="16">
        <v>3.810134655E9</v>
      </c>
      <c r="Y15" s="16" t="s">
        <v>75</v>
      </c>
      <c r="Z15" s="53"/>
      <c r="AA15" s="66"/>
      <c r="AB15" s="53"/>
      <c r="AC15" s="19"/>
      <c r="AD15" s="46"/>
      <c r="AE15" s="14"/>
    </row>
    <row r="16">
      <c r="A16" s="99">
        <v>13.0</v>
      </c>
      <c r="B16" s="100">
        <f t="shared" si="1"/>
        <v>2728</v>
      </c>
      <c r="C16" s="101" t="str">
        <f t="shared" si="2"/>
        <v>PCE-PC1391</v>
      </c>
      <c r="D16" s="102">
        <f t="shared" si="3"/>
        <v>160.7118056</v>
      </c>
      <c r="E16" s="103"/>
      <c r="F16" s="105" t="b">
        <f t="shared" si="4"/>
        <v>0</v>
      </c>
      <c r="G16" s="16" t="s">
        <v>60</v>
      </c>
      <c r="H16" s="16" t="s">
        <v>61</v>
      </c>
      <c r="I16" s="16">
        <v>3044000.0</v>
      </c>
      <c r="J16" s="16" t="s">
        <v>80</v>
      </c>
      <c r="K16" s="16" t="s">
        <v>64</v>
      </c>
      <c r="L16" s="53"/>
      <c r="M16" s="45"/>
      <c r="N16" s="45"/>
      <c r="O16" s="16" t="s">
        <v>126</v>
      </c>
      <c r="P16" s="16" t="s">
        <v>66</v>
      </c>
      <c r="Q16" s="55">
        <v>5.954861111111111</v>
      </c>
      <c r="R16" s="55">
        <v>209.79513888888889</v>
      </c>
      <c r="S16" s="16">
        <v>3.57</v>
      </c>
      <c r="T16" s="16">
        <v>2728.0</v>
      </c>
      <c r="U16" s="55">
        <v>166.66666666666666</v>
      </c>
      <c r="V16" s="64">
        <v>45667.0</v>
      </c>
      <c r="W16" s="64">
        <v>46059.0</v>
      </c>
      <c r="X16" s="16">
        <v>6.850006787E9</v>
      </c>
      <c r="Y16" s="16" t="s">
        <v>68</v>
      </c>
      <c r="Z16" s="16">
        <v>3.810277703E9</v>
      </c>
      <c r="AA16" s="57">
        <v>46072.0</v>
      </c>
      <c r="AB16" s="53"/>
      <c r="AC16" s="19"/>
      <c r="AD16" s="46"/>
      <c r="AE16" s="14"/>
    </row>
    <row r="17">
      <c r="A17" s="99">
        <v>14.0</v>
      </c>
      <c r="B17" s="100">
        <f t="shared" si="1"/>
        <v>2737</v>
      </c>
      <c r="C17" s="101" t="str">
        <f t="shared" si="2"/>
        <v>PCE-PC1570</v>
      </c>
      <c r="D17" s="102">
        <f t="shared" si="3"/>
        <v>150.9479167</v>
      </c>
      <c r="E17" s="103"/>
      <c r="F17" s="105">
        <f t="shared" si="4"/>
        <v>2737</v>
      </c>
      <c r="G17" s="16" t="s">
        <v>96</v>
      </c>
      <c r="H17" s="16" t="s">
        <v>61</v>
      </c>
      <c r="I17" s="16">
        <v>3044000.0</v>
      </c>
      <c r="J17" s="16" t="s">
        <v>80</v>
      </c>
      <c r="K17" s="16" t="s">
        <v>64</v>
      </c>
      <c r="L17" s="53"/>
      <c r="M17" s="45"/>
      <c r="N17" s="45"/>
      <c r="O17" s="16" t="s">
        <v>130</v>
      </c>
      <c r="P17" s="16" t="s">
        <v>66</v>
      </c>
      <c r="Q17" s="55">
        <v>15.71875</v>
      </c>
      <c r="R17" s="55">
        <v>203.55208333333334</v>
      </c>
      <c r="S17" s="16">
        <v>9.43</v>
      </c>
      <c r="T17" s="16">
        <v>2737.0</v>
      </c>
      <c r="U17" s="55">
        <v>166.66666666666666</v>
      </c>
      <c r="V17" s="64">
        <v>46064.0</v>
      </c>
      <c r="W17" s="64">
        <v>43592.0</v>
      </c>
      <c r="X17" s="16">
        <v>3.810135032E9</v>
      </c>
      <c r="Y17" s="16" t="s">
        <v>75</v>
      </c>
      <c r="Z17" s="53"/>
      <c r="AA17" s="66"/>
      <c r="AB17" s="53"/>
      <c r="AC17" s="46"/>
      <c r="AD17" s="46"/>
      <c r="AE17" s="46"/>
    </row>
    <row r="18">
      <c r="A18" s="99">
        <v>15.0</v>
      </c>
      <c r="B18" s="100">
        <f t="shared" si="1"/>
        <v>2736</v>
      </c>
      <c r="C18" s="101" t="str">
        <f t="shared" si="2"/>
        <v>PCE-PC1659</v>
      </c>
      <c r="D18" s="102">
        <f t="shared" si="3"/>
        <v>-19.98263889</v>
      </c>
      <c r="E18" s="103"/>
      <c r="F18" s="105" t="b">
        <f t="shared" si="4"/>
        <v>0</v>
      </c>
      <c r="G18" s="16" t="s">
        <v>60</v>
      </c>
      <c r="H18" s="16" t="s">
        <v>61</v>
      </c>
      <c r="I18" s="16">
        <v>3044000.0</v>
      </c>
      <c r="J18" s="16" t="s">
        <v>80</v>
      </c>
      <c r="K18" s="16" t="s">
        <v>64</v>
      </c>
      <c r="L18" s="53"/>
      <c r="M18" s="45"/>
      <c r="N18" s="45"/>
      <c r="O18" s="16" t="s">
        <v>134</v>
      </c>
      <c r="P18" s="16" t="s">
        <v>66</v>
      </c>
      <c r="Q18" s="55">
        <v>186.64930555555554</v>
      </c>
      <c r="R18" s="55">
        <v>186.64930555555554</v>
      </c>
      <c r="S18" s="16">
        <v>111.99</v>
      </c>
      <c r="T18" s="16">
        <v>2736.0</v>
      </c>
      <c r="U18" s="55">
        <v>166.66666666666666</v>
      </c>
      <c r="V18" s="64">
        <v>44285.0</v>
      </c>
      <c r="W18" s="64">
        <v>45524.0</v>
      </c>
      <c r="X18" s="16">
        <v>3.810140063E9</v>
      </c>
      <c r="Y18" s="16" t="s">
        <v>68</v>
      </c>
      <c r="Z18" s="16">
        <v>3.810279578E9</v>
      </c>
      <c r="AA18" s="57">
        <v>46157.0</v>
      </c>
      <c r="AB18" s="53"/>
      <c r="AC18" s="19"/>
      <c r="AD18" s="46"/>
      <c r="AE18" s="46"/>
    </row>
    <row r="19">
      <c r="A19" s="99">
        <v>16.0</v>
      </c>
      <c r="B19" s="100">
        <f t="shared" si="1"/>
        <v>2731</v>
      </c>
      <c r="C19" s="101" t="str">
        <f t="shared" si="2"/>
        <v>PCE-PC1666</v>
      </c>
      <c r="D19" s="102">
        <f t="shared" si="3"/>
        <v>150.15625</v>
      </c>
      <c r="E19" s="103"/>
      <c r="F19" s="105">
        <f t="shared" si="4"/>
        <v>2731</v>
      </c>
      <c r="G19" s="16" t="s">
        <v>110</v>
      </c>
      <c r="H19" s="16" t="s">
        <v>61</v>
      </c>
      <c r="I19" s="16">
        <v>3044000.0</v>
      </c>
      <c r="J19" s="16" t="s">
        <v>80</v>
      </c>
      <c r="K19" s="16" t="s">
        <v>64</v>
      </c>
      <c r="L19" s="53"/>
      <c r="M19" s="45"/>
      <c r="N19" s="45"/>
      <c r="O19" s="16" t="s">
        <v>100</v>
      </c>
      <c r="P19" s="16" t="s">
        <v>66</v>
      </c>
      <c r="Q19" s="55">
        <v>16.510416666666668</v>
      </c>
      <c r="R19" s="55">
        <v>227.92013888888889</v>
      </c>
      <c r="S19" s="16">
        <v>9.91</v>
      </c>
      <c r="T19" s="16">
        <v>2731.0</v>
      </c>
      <c r="U19" s="55">
        <v>166.66666666666666</v>
      </c>
      <c r="V19" s="64">
        <v>45922.0</v>
      </c>
      <c r="W19" s="64">
        <v>45061.0</v>
      </c>
      <c r="X19" s="16">
        <v>3.810135107E9</v>
      </c>
      <c r="Y19" s="16" t="s">
        <v>75</v>
      </c>
      <c r="Z19" s="53"/>
      <c r="AA19" s="66"/>
      <c r="AB19" s="53"/>
      <c r="AC19" s="19"/>
      <c r="AD19" s="46"/>
      <c r="AE19" s="14"/>
    </row>
    <row r="20">
      <c r="A20" s="99">
        <v>17.0</v>
      </c>
      <c r="B20" s="100">
        <f t="shared" si="1"/>
        <v>2721</v>
      </c>
      <c r="C20" s="101" t="str">
        <f t="shared" si="2"/>
        <v>PCE-PC1734</v>
      </c>
      <c r="D20" s="102">
        <f t="shared" si="3"/>
        <v>155.5347222</v>
      </c>
      <c r="E20" s="103"/>
      <c r="F20" s="105" t="b">
        <f t="shared" si="4"/>
        <v>0</v>
      </c>
      <c r="G20" s="16" t="s">
        <v>60</v>
      </c>
      <c r="H20" s="16" t="s">
        <v>61</v>
      </c>
      <c r="I20" s="16">
        <v>3044000.0</v>
      </c>
      <c r="J20" s="16" t="s">
        <v>80</v>
      </c>
      <c r="K20" s="16" t="s">
        <v>64</v>
      </c>
      <c r="L20" s="53"/>
      <c r="M20" s="45"/>
      <c r="N20" s="45"/>
      <c r="O20" s="16" t="s">
        <v>137</v>
      </c>
      <c r="P20" s="16" t="s">
        <v>66</v>
      </c>
      <c r="Q20" s="55">
        <v>11.131944444444445</v>
      </c>
      <c r="R20" s="55">
        <v>219.07638888888889</v>
      </c>
      <c r="S20" s="16">
        <v>6.68</v>
      </c>
      <c r="T20" s="16">
        <v>2721.0</v>
      </c>
      <c r="U20" s="55">
        <v>166.66666666666666</v>
      </c>
      <c r="V20" s="64">
        <v>45930.0</v>
      </c>
      <c r="W20" s="64">
        <v>46184.0</v>
      </c>
      <c r="X20" s="16">
        <v>3.290008824E9</v>
      </c>
      <c r="Y20" s="16" t="s">
        <v>68</v>
      </c>
      <c r="Z20" s="16">
        <v>3.810280317E9</v>
      </c>
      <c r="AA20" s="57">
        <v>46198.0</v>
      </c>
      <c r="AB20" s="53"/>
      <c r="AC20" s="19"/>
      <c r="AD20" s="46"/>
      <c r="AE20" s="14"/>
    </row>
    <row r="21">
      <c r="A21" s="99">
        <v>18.0</v>
      </c>
      <c r="B21" s="100">
        <f t="shared" si="1"/>
        <v>2727</v>
      </c>
      <c r="C21" s="101" t="str">
        <f t="shared" si="2"/>
        <v>PCE-PC1783</v>
      </c>
      <c r="D21" s="102">
        <f t="shared" si="3"/>
        <v>-50</v>
      </c>
      <c r="E21" s="103"/>
      <c r="F21" s="105" t="b">
        <f t="shared" si="4"/>
        <v>0</v>
      </c>
      <c r="G21" s="16" t="s">
        <v>138</v>
      </c>
      <c r="H21" s="16" t="s">
        <v>61</v>
      </c>
      <c r="I21" s="16">
        <v>3044000.0</v>
      </c>
      <c r="J21" s="16" t="s">
        <v>80</v>
      </c>
      <c r="K21" s="16" t="s">
        <v>64</v>
      </c>
      <c r="L21" s="53"/>
      <c r="M21" s="45"/>
      <c r="N21" s="45"/>
      <c r="O21" s="16" t="s">
        <v>140</v>
      </c>
      <c r="P21" s="16" t="s">
        <v>66</v>
      </c>
      <c r="Q21" s="55">
        <v>216.66666666666666</v>
      </c>
      <c r="R21" s="55">
        <v>216.66666666666666</v>
      </c>
      <c r="S21" s="16">
        <v>130.0</v>
      </c>
      <c r="T21" s="16">
        <v>2727.0</v>
      </c>
      <c r="U21" s="55">
        <v>166.66666666666666</v>
      </c>
      <c r="V21" s="64">
        <v>45524.0</v>
      </c>
      <c r="W21" s="64">
        <v>46014.0</v>
      </c>
      <c r="X21" s="16">
        <v>6.900004625E9</v>
      </c>
      <c r="Y21" s="16" t="s">
        <v>141</v>
      </c>
      <c r="Z21" s="16">
        <v>6.900004625E9</v>
      </c>
      <c r="AA21" s="57">
        <v>46153.0</v>
      </c>
      <c r="AB21" s="53"/>
      <c r="AC21" s="19"/>
      <c r="AD21" s="46"/>
      <c r="AE21" s="14"/>
    </row>
    <row r="22">
      <c r="A22" s="99">
        <v>19.0</v>
      </c>
      <c r="B22" s="100">
        <f t="shared" si="1"/>
        <v>2740</v>
      </c>
      <c r="C22" s="101" t="str">
        <f t="shared" si="2"/>
        <v>PCE-PC1801</v>
      </c>
      <c r="D22" s="102">
        <f t="shared" si="3"/>
        <v>-34.68402778</v>
      </c>
      <c r="E22" s="103"/>
      <c r="F22" s="105" t="b">
        <f t="shared" si="4"/>
        <v>0</v>
      </c>
      <c r="G22" s="16" t="s">
        <v>60</v>
      </c>
      <c r="H22" s="16" t="s">
        <v>61</v>
      </c>
      <c r="I22" s="16">
        <v>3044000.0</v>
      </c>
      <c r="J22" s="16" t="s">
        <v>80</v>
      </c>
      <c r="K22" s="16" t="s">
        <v>64</v>
      </c>
      <c r="L22" s="53"/>
      <c r="M22" s="45"/>
      <c r="N22" s="45"/>
      <c r="O22" s="16" t="s">
        <v>145</v>
      </c>
      <c r="P22" s="16" t="s">
        <v>66</v>
      </c>
      <c r="Q22" s="55">
        <v>201.35069444444446</v>
      </c>
      <c r="R22" s="55">
        <v>201.35069444444446</v>
      </c>
      <c r="S22" s="16">
        <v>120.81</v>
      </c>
      <c r="T22" s="16">
        <v>2740.0</v>
      </c>
      <c r="U22" s="55">
        <v>166.66666666666666</v>
      </c>
      <c r="V22" s="64">
        <v>45026.0</v>
      </c>
      <c r="W22" s="64">
        <v>45446.0</v>
      </c>
      <c r="X22" s="16">
        <v>3.810140068E9</v>
      </c>
      <c r="Y22" s="16" t="s">
        <v>68</v>
      </c>
      <c r="Z22" s="16">
        <v>3.810279579E9</v>
      </c>
      <c r="AA22" s="57">
        <v>46157.0</v>
      </c>
      <c r="AB22" s="53"/>
      <c r="AC22" s="19"/>
      <c r="AD22" s="46"/>
      <c r="AE22" s="46"/>
    </row>
    <row r="23">
      <c r="A23" s="99">
        <v>20.0</v>
      </c>
      <c r="B23" s="100">
        <f t="shared" si="1"/>
        <v>2738</v>
      </c>
      <c r="C23" s="101" t="str">
        <f t="shared" si="2"/>
        <v>PCE-PC1832</v>
      </c>
      <c r="D23" s="102">
        <f t="shared" si="3"/>
        <v>-18.74652778</v>
      </c>
      <c r="E23" s="103"/>
      <c r="F23" s="105" t="b">
        <f t="shared" si="4"/>
        <v>0</v>
      </c>
      <c r="G23" s="16" t="s">
        <v>146</v>
      </c>
      <c r="H23" s="16" t="s">
        <v>61</v>
      </c>
      <c r="I23" s="16">
        <v>3044000.0</v>
      </c>
      <c r="J23" s="16" t="s">
        <v>80</v>
      </c>
      <c r="K23" s="16" t="s">
        <v>64</v>
      </c>
      <c r="L23" s="53"/>
      <c r="M23" s="45"/>
      <c r="N23" s="45"/>
      <c r="O23" s="16" t="s">
        <v>59</v>
      </c>
      <c r="P23" s="16" t="s">
        <v>66</v>
      </c>
      <c r="Q23" s="55">
        <v>185.41319444444446</v>
      </c>
      <c r="R23" s="55">
        <v>185.41319444444446</v>
      </c>
      <c r="S23" s="16">
        <v>111.25</v>
      </c>
      <c r="T23" s="16">
        <v>2738.0</v>
      </c>
      <c r="U23" s="55">
        <v>166.66666666666666</v>
      </c>
      <c r="V23" s="64">
        <v>45159.0</v>
      </c>
      <c r="W23" s="64">
        <v>46199.0</v>
      </c>
      <c r="X23" s="16">
        <v>3.130008877E9</v>
      </c>
      <c r="Y23" s="16" t="s">
        <v>141</v>
      </c>
      <c r="Z23" s="16">
        <v>3.130008877E9</v>
      </c>
      <c r="AA23" s="57">
        <v>46209.0</v>
      </c>
      <c r="AB23" s="53"/>
      <c r="AC23" s="19"/>
      <c r="AD23" s="46"/>
      <c r="AE23" s="14"/>
    </row>
    <row r="24">
      <c r="A24" s="99">
        <v>21.0</v>
      </c>
      <c r="B24" s="100">
        <f t="shared" si="1"/>
        <v>2731</v>
      </c>
      <c r="C24" s="101" t="str">
        <f t="shared" si="2"/>
        <v>PCE-PC1835</v>
      </c>
      <c r="D24" s="102">
        <f t="shared" si="3"/>
        <v>-26.24305556</v>
      </c>
      <c r="E24" s="103"/>
      <c r="F24" s="105" t="b">
        <f t="shared" si="4"/>
        <v>0</v>
      </c>
      <c r="G24" s="16" t="s">
        <v>60</v>
      </c>
      <c r="H24" s="16" t="s">
        <v>61</v>
      </c>
      <c r="I24" s="16">
        <v>3044000.0</v>
      </c>
      <c r="J24" s="16" t="s">
        <v>80</v>
      </c>
      <c r="K24" s="16" t="s">
        <v>64</v>
      </c>
      <c r="L24" s="53"/>
      <c r="M24" s="45"/>
      <c r="N24" s="45"/>
      <c r="O24" s="16" t="s">
        <v>152</v>
      </c>
      <c r="P24" s="16" t="s">
        <v>66</v>
      </c>
      <c r="Q24" s="55">
        <v>192.90972222222223</v>
      </c>
      <c r="R24" s="55">
        <v>192.90972222222223</v>
      </c>
      <c r="S24" s="16">
        <v>115.75</v>
      </c>
      <c r="T24" s="16">
        <v>2731.0</v>
      </c>
      <c r="U24" s="55">
        <v>166.66666666666666</v>
      </c>
      <c r="V24" s="64">
        <v>45511.0</v>
      </c>
      <c r="W24" s="57">
        <v>45922.0</v>
      </c>
      <c r="X24" s="16">
        <v>3.810138909E9</v>
      </c>
      <c r="Y24" s="16" t="s">
        <v>68</v>
      </c>
      <c r="Z24" s="16">
        <v>3.810276969E9</v>
      </c>
      <c r="AA24" s="64">
        <v>45995.0</v>
      </c>
      <c r="AB24" s="53"/>
      <c r="AC24" s="19"/>
      <c r="AD24" s="46"/>
      <c r="AE24" s="14"/>
    </row>
    <row r="25">
      <c r="A25" s="99">
        <v>22.0</v>
      </c>
      <c r="B25" s="100">
        <f t="shared" si="1"/>
        <v>2737</v>
      </c>
      <c r="C25" s="101" t="str">
        <f t="shared" si="2"/>
        <v>PCE-PC1850</v>
      </c>
      <c r="D25" s="102">
        <f t="shared" si="3"/>
        <v>166.6666667</v>
      </c>
      <c r="E25" s="103"/>
      <c r="F25" s="105" t="b">
        <f t="shared" si="4"/>
        <v>0</v>
      </c>
      <c r="G25" s="16" t="s">
        <v>157</v>
      </c>
      <c r="H25" s="16" t="s">
        <v>61</v>
      </c>
      <c r="I25" s="16">
        <v>3044000.0</v>
      </c>
      <c r="J25" s="16" t="s">
        <v>80</v>
      </c>
      <c r="K25" s="16" t="s">
        <v>64</v>
      </c>
      <c r="L25" s="53"/>
      <c r="M25" s="45"/>
      <c r="N25" s="45"/>
      <c r="O25" s="16" t="s">
        <v>158</v>
      </c>
      <c r="P25" s="16" t="s">
        <v>66</v>
      </c>
      <c r="Q25" s="55">
        <v>0.0</v>
      </c>
      <c r="R25" s="55">
        <v>212.27777777777777</v>
      </c>
      <c r="S25" s="53"/>
      <c r="T25" s="16">
        <v>2737.0</v>
      </c>
      <c r="U25" s="55">
        <v>166.66666666666666</v>
      </c>
      <c r="V25" s="64">
        <v>45713.0</v>
      </c>
      <c r="W25" s="57">
        <v>45810.0</v>
      </c>
      <c r="X25" s="16">
        <v>3.810138523E9</v>
      </c>
      <c r="Y25" s="16" t="s">
        <v>159</v>
      </c>
      <c r="Z25" s="53"/>
      <c r="AA25" s="57">
        <v>45810.0</v>
      </c>
      <c r="AB25" s="53"/>
      <c r="AC25" s="19"/>
      <c r="AD25" s="46"/>
      <c r="AE25" s="46"/>
    </row>
    <row r="26">
      <c r="A26" s="99">
        <v>23.0</v>
      </c>
      <c r="B26" s="100">
        <f t="shared" si="1"/>
        <v>2741</v>
      </c>
      <c r="C26" s="101" t="str">
        <f t="shared" si="2"/>
        <v>PCE-PC1860</v>
      </c>
      <c r="D26" s="102">
        <f t="shared" si="3"/>
        <v>37.69444444</v>
      </c>
      <c r="E26" s="103"/>
      <c r="F26" s="105" t="b">
        <f t="shared" si="4"/>
        <v>0</v>
      </c>
      <c r="G26" s="16" t="s">
        <v>96</v>
      </c>
      <c r="H26" s="16" t="s">
        <v>61</v>
      </c>
      <c r="I26" s="16">
        <v>3044000.0</v>
      </c>
      <c r="J26" s="16" t="s">
        <v>80</v>
      </c>
      <c r="K26" s="16" t="s">
        <v>64</v>
      </c>
      <c r="L26" s="53"/>
      <c r="M26" s="45"/>
      <c r="N26" s="45"/>
      <c r="O26" s="16" t="s">
        <v>160</v>
      </c>
      <c r="P26" s="16" t="s">
        <v>66</v>
      </c>
      <c r="Q26" s="55">
        <v>128.97222222222223</v>
      </c>
      <c r="R26" s="55">
        <v>128.97222222222223</v>
      </c>
      <c r="S26" s="16">
        <v>77.38</v>
      </c>
      <c r="T26" s="16">
        <v>2741.0</v>
      </c>
      <c r="U26" s="55">
        <v>166.66666666666666</v>
      </c>
      <c r="V26" s="64">
        <v>46062.0</v>
      </c>
      <c r="W26" s="64">
        <v>46220.0</v>
      </c>
      <c r="X26" s="16">
        <v>6.890000683E9</v>
      </c>
      <c r="Y26" s="16" t="s">
        <v>159</v>
      </c>
      <c r="Z26" s="53"/>
      <c r="AA26" s="57">
        <v>46220.0</v>
      </c>
      <c r="AB26" s="53"/>
      <c r="AC26" s="19"/>
      <c r="AD26" s="46"/>
      <c r="AE26" s="14"/>
    </row>
    <row r="27">
      <c r="A27" s="99">
        <v>24.0</v>
      </c>
      <c r="B27" s="100">
        <f t="shared" si="1"/>
        <v>2704</v>
      </c>
      <c r="C27" s="101" t="str">
        <f t="shared" si="2"/>
        <v>PCE-PC1868</v>
      </c>
      <c r="D27" s="102">
        <f t="shared" si="3"/>
        <v>-36.40277778</v>
      </c>
      <c r="E27" s="103"/>
      <c r="F27" s="105">
        <f t="shared" si="4"/>
        <v>2704</v>
      </c>
      <c r="G27" s="16" t="s">
        <v>91</v>
      </c>
      <c r="H27" s="16" t="s">
        <v>61</v>
      </c>
      <c r="I27" s="16">
        <v>3044000.0</v>
      </c>
      <c r="J27" s="16" t="s">
        <v>80</v>
      </c>
      <c r="K27" s="16" t="s">
        <v>64</v>
      </c>
      <c r="L27" s="53"/>
      <c r="M27" s="45"/>
      <c r="N27" s="45"/>
      <c r="O27" s="16" t="s">
        <v>95</v>
      </c>
      <c r="P27" s="16" t="s">
        <v>66</v>
      </c>
      <c r="Q27" s="55">
        <v>203.06944444444446</v>
      </c>
      <c r="R27" s="55">
        <v>203.06944444444446</v>
      </c>
      <c r="S27" s="16">
        <v>121.84</v>
      </c>
      <c r="T27" s="16">
        <v>2704.0</v>
      </c>
      <c r="U27" s="55">
        <v>166.66666666666666</v>
      </c>
      <c r="V27" s="64">
        <v>45079.0</v>
      </c>
      <c r="W27" s="57">
        <v>45062.0</v>
      </c>
      <c r="X27" s="16">
        <v>3.810112732E9</v>
      </c>
      <c r="Y27" s="16" t="s">
        <v>75</v>
      </c>
      <c r="Z27" s="53"/>
      <c r="AA27" s="66"/>
      <c r="AB27" s="53"/>
      <c r="AC27" s="19"/>
      <c r="AD27" s="46"/>
      <c r="AE27" s="14"/>
    </row>
    <row r="28">
      <c r="A28" s="99">
        <v>25.0</v>
      </c>
      <c r="B28" s="100">
        <f t="shared" si="1"/>
        <v>2742</v>
      </c>
      <c r="C28" s="101" t="str">
        <f t="shared" si="2"/>
        <v>PCE-PC2042</v>
      </c>
      <c r="D28" s="102">
        <f t="shared" si="3"/>
        <v>-56.19097222</v>
      </c>
      <c r="E28" s="103"/>
      <c r="F28" s="105" t="b">
        <f t="shared" si="4"/>
        <v>0</v>
      </c>
      <c r="G28" s="16" t="s">
        <v>60</v>
      </c>
      <c r="H28" s="16" t="s">
        <v>61</v>
      </c>
      <c r="I28" s="16">
        <v>3044000.0</v>
      </c>
      <c r="J28" s="16" t="s">
        <v>80</v>
      </c>
      <c r="K28" s="16" t="s">
        <v>64</v>
      </c>
      <c r="L28" s="53"/>
      <c r="M28" s="45"/>
      <c r="N28" s="45"/>
      <c r="O28" s="16" t="s">
        <v>163</v>
      </c>
      <c r="P28" s="16" t="s">
        <v>66</v>
      </c>
      <c r="Q28" s="55">
        <v>222.85763888888889</v>
      </c>
      <c r="R28" s="55">
        <v>222.85763888888889</v>
      </c>
      <c r="S28" s="16">
        <v>133.71</v>
      </c>
      <c r="T28" s="16">
        <v>2742.0</v>
      </c>
      <c r="U28" s="55">
        <v>166.66666666666666</v>
      </c>
      <c r="V28" s="64">
        <v>41346.0</v>
      </c>
      <c r="W28" s="64">
        <v>45916.0</v>
      </c>
      <c r="X28" s="16">
        <v>3.81013978E9</v>
      </c>
      <c r="Y28" s="16" t="s">
        <v>68</v>
      </c>
      <c r="Z28" s="16">
        <v>3.810279428E9</v>
      </c>
      <c r="AA28" s="57">
        <v>46150.0</v>
      </c>
      <c r="AB28" s="53"/>
      <c r="AC28" s="19"/>
      <c r="AD28" s="46"/>
      <c r="AE28" s="14"/>
    </row>
    <row r="29">
      <c r="A29" s="99">
        <v>26.0</v>
      </c>
      <c r="B29" s="100">
        <f t="shared" si="1"/>
        <v>2739</v>
      </c>
      <c r="C29" s="101" t="str">
        <f t="shared" si="2"/>
        <v>PCE-PC2047</v>
      </c>
      <c r="D29" s="102">
        <f t="shared" si="3"/>
        <v>114.5590278</v>
      </c>
      <c r="E29" s="103"/>
      <c r="F29" s="105">
        <f t="shared" si="4"/>
        <v>2739</v>
      </c>
      <c r="G29" s="16" t="s">
        <v>110</v>
      </c>
      <c r="H29" s="16" t="s">
        <v>61</v>
      </c>
      <c r="I29" s="16">
        <v>3044000.0</v>
      </c>
      <c r="J29" s="16" t="s">
        <v>80</v>
      </c>
      <c r="K29" s="16" t="s">
        <v>64</v>
      </c>
      <c r="L29" s="53"/>
      <c r="M29" s="45"/>
      <c r="N29" s="45"/>
      <c r="O29" s="16" t="s">
        <v>106</v>
      </c>
      <c r="P29" s="16" t="s">
        <v>66</v>
      </c>
      <c r="Q29" s="55">
        <v>52.107638888888886</v>
      </c>
      <c r="R29" s="55">
        <v>260.87847222222223</v>
      </c>
      <c r="S29" s="16">
        <v>31.26</v>
      </c>
      <c r="T29" s="16">
        <v>2739.0</v>
      </c>
      <c r="U29" s="55">
        <v>166.66666666666666</v>
      </c>
      <c r="V29" s="64">
        <v>45579.0</v>
      </c>
      <c r="W29" s="64">
        <v>45579.0</v>
      </c>
      <c r="X29" s="16">
        <v>3.810126785E9</v>
      </c>
      <c r="Y29" s="16" t="s">
        <v>75</v>
      </c>
      <c r="Z29" s="53"/>
      <c r="AA29" s="66"/>
      <c r="AB29" s="53"/>
      <c r="AC29" s="19"/>
      <c r="AD29" s="46"/>
      <c r="AE29" s="14"/>
    </row>
    <row r="30">
      <c r="A30" s="99">
        <v>27.0</v>
      </c>
      <c r="B30" s="100">
        <f t="shared" si="1"/>
        <v>2702</v>
      </c>
      <c r="C30" s="101" t="str">
        <f t="shared" si="2"/>
        <v>PCE-PC2050</v>
      </c>
      <c r="D30" s="102">
        <f t="shared" si="3"/>
        <v>143.6319444</v>
      </c>
      <c r="E30" s="103"/>
      <c r="F30" s="105">
        <f t="shared" si="4"/>
        <v>2702</v>
      </c>
      <c r="G30" s="16" t="s">
        <v>72</v>
      </c>
      <c r="H30" s="16" t="s">
        <v>61</v>
      </c>
      <c r="I30" s="16">
        <v>3044000.0</v>
      </c>
      <c r="J30" s="16" t="s">
        <v>80</v>
      </c>
      <c r="K30" s="16" t="s">
        <v>64</v>
      </c>
      <c r="L30" s="53"/>
      <c r="M30" s="45"/>
      <c r="N30" s="45"/>
      <c r="O30" s="16" t="s">
        <v>89</v>
      </c>
      <c r="P30" s="16" t="s">
        <v>66</v>
      </c>
      <c r="Q30" s="55">
        <v>23.03472222222222</v>
      </c>
      <c r="R30" s="55">
        <v>526.1770833333334</v>
      </c>
      <c r="S30" s="16">
        <v>13.82</v>
      </c>
      <c r="T30" s="16">
        <v>2702.0</v>
      </c>
      <c r="U30" s="55">
        <v>166.66666666666666</v>
      </c>
      <c r="V30" s="64">
        <v>46171.0</v>
      </c>
      <c r="W30" s="57">
        <v>46149.0</v>
      </c>
      <c r="X30" s="16">
        <v>3.860011562E9</v>
      </c>
      <c r="Y30" s="16" t="s">
        <v>75</v>
      </c>
      <c r="Z30" s="53"/>
      <c r="AA30" s="66"/>
      <c r="AB30" s="53"/>
      <c r="AC30" s="19"/>
      <c r="AD30" s="46"/>
      <c r="AE30" s="14"/>
    </row>
    <row r="31">
      <c r="A31" s="99">
        <v>28.0</v>
      </c>
      <c r="B31" s="100">
        <f t="shared" si="1"/>
        <v>2722</v>
      </c>
      <c r="C31" s="101" t="str">
        <f t="shared" si="2"/>
        <v>PCE-PC2055</v>
      </c>
      <c r="D31" s="102">
        <f t="shared" si="3"/>
        <v>-6.600694444</v>
      </c>
      <c r="E31" s="103"/>
      <c r="F31" s="105">
        <f t="shared" si="4"/>
        <v>2722</v>
      </c>
      <c r="G31" s="16" t="s">
        <v>79</v>
      </c>
      <c r="H31" s="16" t="s">
        <v>61</v>
      </c>
      <c r="I31" s="16">
        <v>3044000.0</v>
      </c>
      <c r="J31" s="16" t="s">
        <v>80</v>
      </c>
      <c r="K31" s="16" t="s">
        <v>64</v>
      </c>
      <c r="L31" s="53"/>
      <c r="M31" s="45"/>
      <c r="N31" s="45"/>
      <c r="O31" s="16" t="s">
        <v>125</v>
      </c>
      <c r="P31" s="16" t="s">
        <v>66</v>
      </c>
      <c r="Q31" s="55">
        <v>173.26736111111111</v>
      </c>
      <c r="R31" s="55">
        <v>173.26736111111111</v>
      </c>
      <c r="S31" s="16">
        <v>103.96</v>
      </c>
      <c r="T31" s="16">
        <v>2722.0</v>
      </c>
      <c r="U31" s="55">
        <v>166.66666666666666</v>
      </c>
      <c r="V31" s="64">
        <v>44320.0</v>
      </c>
      <c r="W31" s="57">
        <v>44320.0</v>
      </c>
      <c r="X31" s="16">
        <v>3.950001218E9</v>
      </c>
      <c r="Y31" s="16" t="s">
        <v>75</v>
      </c>
      <c r="Z31" s="53"/>
      <c r="AA31" s="66"/>
      <c r="AB31" s="53"/>
      <c r="AC31" s="19"/>
      <c r="AD31" s="46"/>
      <c r="AE31" s="14"/>
    </row>
    <row r="32">
      <c r="A32" s="99">
        <v>29.0</v>
      </c>
      <c r="B32" s="100">
        <f t="shared" si="1"/>
        <v>2724</v>
      </c>
      <c r="C32" s="101" t="str">
        <f t="shared" si="2"/>
        <v>PCE-PC2081</v>
      </c>
      <c r="D32" s="102">
        <f t="shared" si="3"/>
        <v>27.21180556</v>
      </c>
      <c r="E32" s="103"/>
      <c r="F32" s="105" t="b">
        <f t="shared" si="4"/>
        <v>0</v>
      </c>
      <c r="G32" s="16" t="s">
        <v>60</v>
      </c>
      <c r="H32" s="16" t="s">
        <v>61</v>
      </c>
      <c r="I32" s="16">
        <v>3044000.0</v>
      </c>
      <c r="J32" s="16" t="s">
        <v>80</v>
      </c>
      <c r="K32" s="16" t="s">
        <v>64</v>
      </c>
      <c r="L32" s="53"/>
      <c r="M32" s="45"/>
      <c r="N32" s="45"/>
      <c r="O32" s="16" t="s">
        <v>170</v>
      </c>
      <c r="P32" s="16" t="s">
        <v>66</v>
      </c>
      <c r="Q32" s="55">
        <v>139.45486111111111</v>
      </c>
      <c r="R32" s="55">
        <v>139.45486111111111</v>
      </c>
      <c r="S32" s="16">
        <v>83.67</v>
      </c>
      <c r="T32" s="16">
        <v>2724.0</v>
      </c>
      <c r="U32" s="55">
        <v>166.66666666666666</v>
      </c>
      <c r="V32" s="64">
        <v>42661.0</v>
      </c>
      <c r="W32" s="64">
        <v>45252.0</v>
      </c>
      <c r="X32" s="16">
        <v>6.890001058E9</v>
      </c>
      <c r="Y32" s="16" t="s">
        <v>68</v>
      </c>
      <c r="Z32" s="16">
        <v>3.810264674E9</v>
      </c>
      <c r="AA32" s="57">
        <v>45358.0</v>
      </c>
      <c r="AB32" s="53"/>
      <c r="AC32" s="19"/>
      <c r="AD32" s="46"/>
      <c r="AE32" s="14"/>
    </row>
    <row r="33">
      <c r="A33" s="25">
        <v>30.0</v>
      </c>
      <c r="B33" s="34">
        <f t="shared" si="1"/>
        <v>2741</v>
      </c>
      <c r="C33" s="37" t="str">
        <f t="shared" si="2"/>
        <v>PCE-PC2115</v>
      </c>
      <c r="D33" s="49">
        <f t="shared" si="3"/>
        <v>4.722222222</v>
      </c>
      <c r="E33" s="41"/>
      <c r="F33" s="39">
        <f t="shared" si="4"/>
        <v>2741</v>
      </c>
      <c r="G33" s="16" t="s">
        <v>96</v>
      </c>
      <c r="H33" s="16" t="s">
        <v>61</v>
      </c>
      <c r="I33" s="16">
        <v>3044000.0</v>
      </c>
      <c r="J33" s="16" t="s">
        <v>80</v>
      </c>
      <c r="K33" s="16" t="s">
        <v>64</v>
      </c>
      <c r="L33" s="53"/>
      <c r="M33" s="45"/>
      <c r="N33" s="45"/>
      <c r="O33" s="16" t="s">
        <v>21</v>
      </c>
      <c r="P33" s="16" t="s">
        <v>66</v>
      </c>
      <c r="Q33" s="55">
        <v>161.94444444444446</v>
      </c>
      <c r="R33" s="55">
        <v>161.94444444444446</v>
      </c>
      <c r="S33" s="16">
        <v>97.17</v>
      </c>
      <c r="T33" s="16">
        <v>2741.0</v>
      </c>
      <c r="U33" s="55">
        <v>166.66666666666666</v>
      </c>
      <c r="V33" s="64">
        <v>46220.0</v>
      </c>
      <c r="W33" s="64">
        <v>46220.0</v>
      </c>
      <c r="X33" s="16">
        <v>3.810118951E9</v>
      </c>
      <c r="Y33" s="16" t="s">
        <v>75</v>
      </c>
      <c r="Z33" s="53"/>
      <c r="AA33" s="66"/>
      <c r="AB33" s="53"/>
      <c r="AC33" s="19"/>
      <c r="AD33" s="46"/>
      <c r="AE33" s="46"/>
    </row>
    <row r="34">
      <c r="A34" s="25">
        <v>31.0</v>
      </c>
      <c r="B34" s="34">
        <f t="shared" si="1"/>
        <v>2723</v>
      </c>
      <c r="C34" s="37" t="str">
        <f t="shared" si="2"/>
        <v>PCE-PC2223</v>
      </c>
      <c r="D34" s="49">
        <f t="shared" si="3"/>
        <v>48.72222222</v>
      </c>
      <c r="E34" s="41"/>
      <c r="F34" s="39">
        <f t="shared" si="4"/>
        <v>2723</v>
      </c>
      <c r="G34" s="16" t="s">
        <v>73</v>
      </c>
      <c r="H34" s="16" t="s">
        <v>61</v>
      </c>
      <c r="I34" s="16">
        <v>3044000.0</v>
      </c>
      <c r="J34" s="16" t="s">
        <v>80</v>
      </c>
      <c r="K34" s="16" t="s">
        <v>64</v>
      </c>
      <c r="L34" s="53"/>
      <c r="M34" s="45"/>
      <c r="N34" s="45"/>
      <c r="O34" s="16" t="s">
        <v>76</v>
      </c>
      <c r="P34" s="16" t="s">
        <v>66</v>
      </c>
      <c r="Q34" s="55">
        <v>117.94444444444444</v>
      </c>
      <c r="R34" s="55">
        <v>117.94444444444444</v>
      </c>
      <c r="S34" s="16">
        <v>70.77</v>
      </c>
      <c r="T34" s="16">
        <v>2723.0</v>
      </c>
      <c r="U34" s="55">
        <v>166.66666666666666</v>
      </c>
      <c r="V34" s="64">
        <v>43797.0</v>
      </c>
      <c r="W34" s="64">
        <v>43725.0</v>
      </c>
      <c r="X34" s="16">
        <v>7.080002856E9</v>
      </c>
      <c r="Y34" s="16" t="s">
        <v>75</v>
      </c>
      <c r="Z34" s="53"/>
      <c r="AA34" s="66"/>
      <c r="AB34" s="53"/>
      <c r="AC34" s="19"/>
      <c r="AD34" s="46"/>
      <c r="AE34" s="14"/>
    </row>
    <row r="35">
      <c r="A35" s="25">
        <v>32.0</v>
      </c>
      <c r="B35" s="34">
        <f t="shared" si="1"/>
        <v>2731</v>
      </c>
      <c r="C35" s="37" t="str">
        <f t="shared" si="2"/>
        <v>PCE-PC2224</v>
      </c>
      <c r="D35" s="49">
        <f t="shared" si="3"/>
        <v>146.5798611</v>
      </c>
      <c r="E35" s="41"/>
      <c r="F35" s="39" t="b">
        <f t="shared" si="4"/>
        <v>0</v>
      </c>
      <c r="G35" s="16" t="s">
        <v>60</v>
      </c>
      <c r="H35" s="16" t="s">
        <v>61</v>
      </c>
      <c r="I35" s="16">
        <v>3044000.0</v>
      </c>
      <c r="J35" s="16" t="s">
        <v>80</v>
      </c>
      <c r="K35" s="16" t="s">
        <v>64</v>
      </c>
      <c r="L35" s="53"/>
      <c r="M35" s="45"/>
      <c r="N35" s="45"/>
      <c r="O35" s="16" t="s">
        <v>173</v>
      </c>
      <c r="P35" s="16" t="s">
        <v>66</v>
      </c>
      <c r="Q35" s="55">
        <v>20.086805555555557</v>
      </c>
      <c r="R35" s="55">
        <v>20.086805555555557</v>
      </c>
      <c r="S35" s="16">
        <v>9.64</v>
      </c>
      <c r="T35" s="16">
        <v>2731.0</v>
      </c>
      <c r="U35" s="55">
        <v>166.66666666666666</v>
      </c>
      <c r="V35" s="64">
        <v>42810.0</v>
      </c>
      <c r="W35" s="64">
        <v>43159.0</v>
      </c>
      <c r="X35" s="16">
        <v>3.810129323E9</v>
      </c>
      <c r="Y35" s="16" t="s">
        <v>93</v>
      </c>
      <c r="Z35" s="16" t="s">
        <v>174</v>
      </c>
      <c r="AA35" s="57">
        <v>43802.0</v>
      </c>
      <c r="AB35" s="53"/>
      <c r="AC35" s="19"/>
      <c r="AD35" s="46"/>
      <c r="AE35" s="14"/>
    </row>
    <row r="36">
      <c r="A36" s="25">
        <v>33.0</v>
      </c>
      <c r="B36" s="34">
        <f t="shared" si="1"/>
        <v>2743</v>
      </c>
      <c r="C36" s="37" t="str">
        <f t="shared" si="2"/>
        <v>PCE-PC2232</v>
      </c>
      <c r="D36" s="49">
        <f t="shared" si="3"/>
        <v>-17.20486111</v>
      </c>
      <c r="E36" s="41"/>
      <c r="F36" s="39">
        <f t="shared" si="4"/>
        <v>2743</v>
      </c>
      <c r="G36" s="16" t="s">
        <v>169</v>
      </c>
      <c r="H36" s="16" t="s">
        <v>61</v>
      </c>
      <c r="I36" s="16">
        <v>3044000.0</v>
      </c>
      <c r="J36" s="16" t="s">
        <v>80</v>
      </c>
      <c r="K36" s="16" t="s">
        <v>64</v>
      </c>
      <c r="L36" s="53"/>
      <c r="M36" s="45"/>
      <c r="N36" s="45"/>
      <c r="O36" s="16" t="s">
        <v>113</v>
      </c>
      <c r="P36" s="16" t="s">
        <v>66</v>
      </c>
      <c r="Q36" s="55">
        <v>183.87152777777777</v>
      </c>
      <c r="R36" s="55">
        <v>183.87152777777777</v>
      </c>
      <c r="S36" s="16">
        <v>110.32</v>
      </c>
      <c r="T36" s="16">
        <v>2743.0</v>
      </c>
      <c r="U36" s="55">
        <v>166.66666666666666</v>
      </c>
      <c r="V36" s="64">
        <v>45070.0</v>
      </c>
      <c r="W36" s="64">
        <v>44910.0</v>
      </c>
      <c r="X36" s="16">
        <v>3.130005802E9</v>
      </c>
      <c r="Y36" s="16" t="s">
        <v>75</v>
      </c>
      <c r="Z36" s="53"/>
      <c r="AA36" s="66"/>
      <c r="AB36" s="53"/>
      <c r="AC36" s="19"/>
      <c r="AD36" s="46"/>
      <c r="AE36" s="14"/>
    </row>
    <row r="37">
      <c r="A37" s="25">
        <v>34.0</v>
      </c>
      <c r="B37" s="34">
        <f t="shared" si="1"/>
        <v>2709</v>
      </c>
      <c r="C37" s="37" t="str">
        <f t="shared" si="2"/>
        <v>PCE-PC2257</v>
      </c>
      <c r="D37" s="49">
        <f t="shared" si="3"/>
        <v>51.86458333</v>
      </c>
      <c r="E37" s="41"/>
      <c r="F37" s="39">
        <f t="shared" si="4"/>
        <v>2709</v>
      </c>
      <c r="G37" s="16" t="s">
        <v>171</v>
      </c>
      <c r="H37" s="16" t="s">
        <v>61</v>
      </c>
      <c r="I37" s="16">
        <v>3044000.0</v>
      </c>
      <c r="J37" s="16" t="s">
        <v>80</v>
      </c>
      <c r="K37" s="16" t="s">
        <v>64</v>
      </c>
      <c r="L37" s="53"/>
      <c r="M37" s="45"/>
      <c r="N37" s="45"/>
      <c r="O37" s="16" t="s">
        <v>132</v>
      </c>
      <c r="P37" s="16" t="s">
        <v>66</v>
      </c>
      <c r="Q37" s="55">
        <v>114.80208333333333</v>
      </c>
      <c r="R37" s="55">
        <v>114.80208333333333</v>
      </c>
      <c r="S37" s="16">
        <v>68.88</v>
      </c>
      <c r="T37" s="16">
        <v>2709.0</v>
      </c>
      <c r="U37" s="55">
        <v>166.66666666666666</v>
      </c>
      <c r="V37" s="64">
        <v>43250.0</v>
      </c>
      <c r="W37" s="64">
        <v>41149.0</v>
      </c>
      <c r="X37" s="16">
        <v>3.740026391E9</v>
      </c>
      <c r="Y37" s="16" t="s">
        <v>75</v>
      </c>
      <c r="Z37" s="53"/>
      <c r="AA37" s="66"/>
      <c r="AB37" s="53"/>
      <c r="AC37" s="19"/>
      <c r="AD37" s="46"/>
      <c r="AE37" s="14"/>
    </row>
    <row r="38">
      <c r="A38" s="25">
        <v>35.0</v>
      </c>
      <c r="B38" s="34">
        <f t="shared" si="1"/>
        <v>2720</v>
      </c>
      <c r="C38" s="37" t="str">
        <f t="shared" si="2"/>
        <v>PCE-PC2261</v>
      </c>
      <c r="D38" s="49">
        <f t="shared" si="3"/>
        <v>32.94444444</v>
      </c>
      <c r="E38" s="41"/>
      <c r="F38" s="39">
        <f t="shared" si="4"/>
        <v>2720</v>
      </c>
      <c r="G38" s="16" t="s">
        <v>171</v>
      </c>
      <c r="H38" s="16" t="s">
        <v>61</v>
      </c>
      <c r="I38" s="16">
        <v>3044000.0</v>
      </c>
      <c r="J38" s="16" t="s">
        <v>80</v>
      </c>
      <c r="K38" s="16" t="s">
        <v>64</v>
      </c>
      <c r="L38" s="53"/>
      <c r="M38" s="45"/>
      <c r="N38" s="45"/>
      <c r="O38" s="16" t="s">
        <v>133</v>
      </c>
      <c r="P38" s="16" t="s">
        <v>66</v>
      </c>
      <c r="Q38" s="55">
        <v>133.72222222222223</v>
      </c>
      <c r="R38" s="55">
        <v>133.72222222222223</v>
      </c>
      <c r="S38" s="16">
        <v>80.23</v>
      </c>
      <c r="T38" s="16">
        <v>2720.0</v>
      </c>
      <c r="U38" s="55">
        <v>166.66666666666666</v>
      </c>
      <c r="V38" s="64">
        <v>45841.0</v>
      </c>
      <c r="W38" s="64">
        <v>45754.0</v>
      </c>
      <c r="X38" s="16">
        <v>3.290008244E9</v>
      </c>
      <c r="Y38" s="16" t="s">
        <v>75</v>
      </c>
      <c r="Z38" s="53"/>
      <c r="AA38" s="66"/>
      <c r="AB38" s="53"/>
      <c r="AC38" s="19"/>
      <c r="AD38" s="46"/>
      <c r="AE38" s="14"/>
    </row>
    <row r="39">
      <c r="A39" s="25">
        <v>36.0</v>
      </c>
      <c r="B39" s="34">
        <f t="shared" si="1"/>
        <v>2731</v>
      </c>
      <c r="C39" s="37" t="str">
        <f t="shared" si="2"/>
        <v>PCE-PC2289</v>
      </c>
      <c r="D39" s="49">
        <f t="shared" si="3"/>
        <v>90.87847222</v>
      </c>
      <c r="E39" s="41"/>
      <c r="F39" s="39" t="b">
        <f t="shared" si="4"/>
        <v>0</v>
      </c>
      <c r="G39" s="16" t="s">
        <v>60</v>
      </c>
      <c r="H39" s="16" t="s">
        <v>61</v>
      </c>
      <c r="I39" s="16">
        <v>3044000.0</v>
      </c>
      <c r="J39" s="16" t="s">
        <v>80</v>
      </c>
      <c r="K39" s="16" t="s">
        <v>64</v>
      </c>
      <c r="L39" s="53"/>
      <c r="M39" s="45"/>
      <c r="N39" s="45"/>
      <c r="O39" s="16" t="s">
        <v>178</v>
      </c>
      <c r="P39" s="16" t="s">
        <v>66</v>
      </c>
      <c r="Q39" s="55">
        <v>75.78819444444444</v>
      </c>
      <c r="R39" s="55">
        <v>75.78819444444444</v>
      </c>
      <c r="S39" s="16">
        <v>45.47</v>
      </c>
      <c r="T39" s="16">
        <v>2731.0</v>
      </c>
      <c r="U39" s="55">
        <v>166.66666666666666</v>
      </c>
      <c r="V39" s="64">
        <v>45105.0</v>
      </c>
      <c r="W39" s="64">
        <v>45509.0</v>
      </c>
      <c r="X39" s="16">
        <v>3.810139583E9</v>
      </c>
      <c r="Y39" s="16" t="s">
        <v>68</v>
      </c>
      <c r="Z39" s="16">
        <v>3.810280182E9</v>
      </c>
      <c r="AA39" s="64">
        <v>46184.0</v>
      </c>
      <c r="AB39" s="53"/>
      <c r="AC39" s="19"/>
      <c r="AD39" s="46"/>
      <c r="AE39" s="14"/>
    </row>
    <row r="40">
      <c r="A40" s="25">
        <v>37.0</v>
      </c>
      <c r="B40" s="34">
        <f t="shared" si="1"/>
        <v>2729</v>
      </c>
      <c r="C40" s="37" t="str">
        <f t="shared" si="2"/>
        <v>PCE-PC2290</v>
      </c>
      <c r="D40" s="49">
        <f t="shared" si="3"/>
        <v>48.63194444</v>
      </c>
      <c r="E40" s="41"/>
      <c r="F40" s="39" t="b">
        <f t="shared" si="4"/>
        <v>0</v>
      </c>
      <c r="G40" s="16" t="s">
        <v>72</v>
      </c>
      <c r="H40" s="16" t="s">
        <v>61</v>
      </c>
      <c r="I40" s="16">
        <v>3044000.0</v>
      </c>
      <c r="J40" s="16" t="s">
        <v>80</v>
      </c>
      <c r="K40" s="16" t="s">
        <v>64</v>
      </c>
      <c r="L40" s="53"/>
      <c r="M40" s="45"/>
      <c r="N40" s="45"/>
      <c r="O40" s="16" t="s">
        <v>144</v>
      </c>
      <c r="P40" s="16" t="s">
        <v>66</v>
      </c>
      <c r="Q40" s="55">
        <v>118.03472222222223</v>
      </c>
      <c r="R40" s="55">
        <v>118.03472222222223</v>
      </c>
      <c r="S40" s="16">
        <v>70.82</v>
      </c>
      <c r="T40" s="16">
        <v>2729.0</v>
      </c>
      <c r="U40" s="55">
        <v>166.66666666666666</v>
      </c>
      <c r="V40" s="64">
        <v>45636.0</v>
      </c>
      <c r="W40" s="64">
        <v>46219.0</v>
      </c>
      <c r="X40" s="53"/>
      <c r="Y40" s="16" t="s">
        <v>68</v>
      </c>
      <c r="Z40" s="16">
        <v>3.960012232E9</v>
      </c>
      <c r="AA40" s="64">
        <v>45351.0</v>
      </c>
      <c r="AB40" s="53"/>
      <c r="AC40" s="19"/>
      <c r="AD40" s="46"/>
      <c r="AE40" s="14"/>
    </row>
    <row r="41">
      <c r="A41" s="25">
        <v>38.0</v>
      </c>
      <c r="B41" s="34">
        <f t="shared" si="1"/>
        <v>2736</v>
      </c>
      <c r="C41" s="37" t="str">
        <f t="shared" si="2"/>
        <v>PCE-PC2358</v>
      </c>
      <c r="D41" s="49">
        <f t="shared" si="3"/>
        <v>0.3194444444</v>
      </c>
      <c r="E41" s="41"/>
      <c r="F41" s="39">
        <f t="shared" si="4"/>
        <v>2736</v>
      </c>
      <c r="G41" s="16" t="s">
        <v>96</v>
      </c>
      <c r="H41" s="16" t="s">
        <v>61</v>
      </c>
      <c r="I41" s="16">
        <v>3044000.0</v>
      </c>
      <c r="J41" s="16" t="s">
        <v>80</v>
      </c>
      <c r="K41" s="16" t="s">
        <v>64</v>
      </c>
      <c r="L41" s="53"/>
      <c r="M41" s="45"/>
      <c r="N41" s="45"/>
      <c r="O41" s="16" t="s">
        <v>101</v>
      </c>
      <c r="P41" s="16" t="s">
        <v>66</v>
      </c>
      <c r="Q41" s="55">
        <v>166.34722222222223</v>
      </c>
      <c r="R41" s="55">
        <v>166.34722222222223</v>
      </c>
      <c r="S41" s="16">
        <v>99.81</v>
      </c>
      <c r="T41" s="16">
        <v>2736.0</v>
      </c>
      <c r="U41" s="55">
        <v>166.66666666666666</v>
      </c>
      <c r="V41" s="64">
        <v>45831.0</v>
      </c>
      <c r="W41" s="64">
        <v>45740.0</v>
      </c>
      <c r="X41" s="53"/>
      <c r="Y41" s="16" t="s">
        <v>75</v>
      </c>
      <c r="Z41" s="53"/>
      <c r="AA41" s="53"/>
      <c r="AB41" s="53"/>
      <c r="AC41" s="19"/>
      <c r="AD41" s="46"/>
      <c r="AE41" s="14"/>
    </row>
    <row r="42">
      <c r="A42" s="25">
        <v>39.0</v>
      </c>
      <c r="B42" s="34">
        <f t="shared" si="1"/>
        <v>2708</v>
      </c>
      <c r="C42" s="37" t="str">
        <f t="shared" si="2"/>
        <v>PCE-PC2360</v>
      </c>
      <c r="D42" s="49">
        <f t="shared" si="3"/>
        <v>71.01041667</v>
      </c>
      <c r="E42" s="41"/>
      <c r="F42" s="39">
        <f t="shared" si="4"/>
        <v>2708</v>
      </c>
      <c r="G42" s="16" t="s">
        <v>72</v>
      </c>
      <c r="H42" s="16" t="s">
        <v>61</v>
      </c>
      <c r="I42" s="16">
        <v>3044000.0</v>
      </c>
      <c r="J42" s="16" t="s">
        <v>80</v>
      </c>
      <c r="K42" s="16" t="s">
        <v>64</v>
      </c>
      <c r="L42" s="53"/>
      <c r="M42" s="45"/>
      <c r="N42" s="45"/>
      <c r="O42" s="16" t="s">
        <v>67</v>
      </c>
      <c r="P42" s="16" t="s">
        <v>66</v>
      </c>
      <c r="Q42" s="55">
        <v>95.65625</v>
      </c>
      <c r="R42" s="55">
        <v>95.65625</v>
      </c>
      <c r="S42" s="16">
        <v>57.39</v>
      </c>
      <c r="T42" s="16">
        <v>2708.0</v>
      </c>
      <c r="U42" s="55">
        <v>166.66666666666666</v>
      </c>
      <c r="V42" s="64">
        <v>44287.0</v>
      </c>
      <c r="W42" s="64">
        <v>44114.0</v>
      </c>
      <c r="X42" s="16">
        <v>7.08000433E9</v>
      </c>
      <c r="Y42" s="16" t="s">
        <v>75</v>
      </c>
      <c r="Z42" s="53"/>
      <c r="AA42" s="66"/>
      <c r="AB42" s="53"/>
      <c r="AC42" s="19"/>
      <c r="AD42" s="46"/>
      <c r="AE42" s="14"/>
    </row>
    <row r="43">
      <c r="A43" s="158"/>
      <c r="B43" s="159"/>
      <c r="C43" s="160"/>
      <c r="D43" s="41"/>
      <c r="E43" s="41"/>
      <c r="F43" s="41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16"/>
      <c r="U43" s="55"/>
      <c r="V43" s="53"/>
      <c r="W43" s="16"/>
      <c r="X43" s="16"/>
      <c r="Y43" s="53"/>
      <c r="Z43" s="53"/>
      <c r="AA43" s="53"/>
      <c r="AB43" s="53"/>
      <c r="AC43" s="19"/>
      <c r="AD43" s="46"/>
      <c r="AE43" s="14"/>
    </row>
    <row r="44">
      <c r="A44" s="158"/>
      <c r="B44" s="159"/>
      <c r="C44" s="160"/>
      <c r="D44" s="41"/>
      <c r="E44" s="41"/>
      <c r="F44" s="41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16"/>
      <c r="V44" s="53"/>
      <c r="W44" s="16"/>
      <c r="X44" s="16"/>
      <c r="Y44" s="53"/>
      <c r="Z44" s="53"/>
      <c r="AA44" s="53"/>
      <c r="AB44" s="53"/>
      <c r="AC44" s="19"/>
      <c r="AD44" s="46"/>
      <c r="AE44" s="14"/>
    </row>
    <row r="45">
      <c r="A45" s="158"/>
      <c r="B45" s="159"/>
      <c r="C45" s="160"/>
      <c r="D45" s="41"/>
      <c r="E45" s="41"/>
      <c r="F45" s="41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16"/>
      <c r="V45" s="53"/>
      <c r="W45" s="16"/>
      <c r="X45" s="16"/>
      <c r="Y45" s="53"/>
      <c r="Z45" s="53"/>
      <c r="AA45" s="53"/>
      <c r="AB45" s="53"/>
      <c r="AC45" s="19"/>
      <c r="AD45" s="46"/>
      <c r="AE45" s="14"/>
    </row>
    <row r="46">
      <c r="A46" s="158"/>
      <c r="B46" s="159"/>
      <c r="C46" s="160"/>
      <c r="D46" s="41"/>
      <c r="E46" s="41"/>
      <c r="F46" s="41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9"/>
      <c r="AD46" s="46"/>
      <c r="AE46" s="14"/>
    </row>
    <row r="47">
      <c r="A47" s="158"/>
      <c r="B47" s="159"/>
      <c r="C47" s="160"/>
      <c r="D47" s="41"/>
      <c r="E47" s="41"/>
      <c r="F47" s="41"/>
      <c r="G47" s="16"/>
      <c r="H47" s="16"/>
      <c r="I47" s="16"/>
      <c r="J47" s="16"/>
      <c r="K47" s="16"/>
      <c r="L47" s="53"/>
      <c r="M47" s="53"/>
      <c r="N47" s="53"/>
      <c r="O47" s="16"/>
      <c r="P47" s="16"/>
      <c r="Q47" s="55"/>
      <c r="R47" s="55"/>
      <c r="S47" s="16"/>
      <c r="T47" s="55"/>
      <c r="U47" s="16"/>
      <c r="V47" s="57"/>
      <c r="W47" s="57"/>
      <c r="X47" s="16"/>
      <c r="Y47" s="16"/>
      <c r="Z47" s="16"/>
      <c r="AA47" s="57"/>
      <c r="AB47" s="53"/>
      <c r="AC47" s="19"/>
      <c r="AD47" s="46"/>
      <c r="AE47" s="14"/>
    </row>
    <row r="48">
      <c r="A48" s="158"/>
      <c r="B48" s="159"/>
      <c r="C48" s="160"/>
      <c r="D48" s="41"/>
      <c r="E48" s="41"/>
      <c r="F48" s="41"/>
      <c r="G48" s="16"/>
      <c r="H48" s="16"/>
      <c r="I48" s="16"/>
      <c r="J48" s="16"/>
      <c r="K48" s="16"/>
      <c r="L48" s="53"/>
      <c r="M48" s="45"/>
      <c r="N48" s="45"/>
      <c r="O48" s="16"/>
      <c r="P48" s="16"/>
      <c r="Q48" s="55"/>
      <c r="R48" s="55"/>
      <c r="S48" s="16"/>
      <c r="T48" s="55"/>
      <c r="U48" s="16"/>
      <c r="V48" s="64"/>
      <c r="W48" s="64"/>
      <c r="X48" s="16"/>
      <c r="Y48" s="16"/>
      <c r="Z48" s="53"/>
      <c r="AA48" s="66"/>
      <c r="AB48" s="53"/>
      <c r="AC48" s="19"/>
      <c r="AD48" s="46"/>
      <c r="AE48" s="14"/>
    </row>
    <row r="49">
      <c r="A49" s="158"/>
      <c r="B49" s="159"/>
      <c r="C49" s="160"/>
      <c r="D49" s="41"/>
      <c r="E49" s="41"/>
      <c r="F49" s="41"/>
      <c r="G49" s="16"/>
      <c r="H49" s="16"/>
      <c r="I49" s="16"/>
      <c r="J49" s="16"/>
      <c r="K49" s="16"/>
      <c r="L49" s="53"/>
      <c r="M49" s="45"/>
      <c r="N49" s="45"/>
      <c r="O49" s="16"/>
      <c r="P49" s="16"/>
      <c r="Q49" s="55"/>
      <c r="R49" s="55"/>
      <c r="S49" s="16"/>
      <c r="T49" s="55"/>
      <c r="U49" s="16"/>
      <c r="V49" s="64"/>
      <c r="W49" s="57"/>
      <c r="X49" s="16"/>
      <c r="Y49" s="16"/>
      <c r="Z49" s="53"/>
      <c r="AA49" s="66"/>
      <c r="AB49" s="53"/>
      <c r="AC49" s="19"/>
      <c r="AD49" s="46"/>
      <c r="AE49" s="14"/>
    </row>
    <row r="50">
      <c r="A50" s="158"/>
      <c r="B50" s="159"/>
      <c r="C50" s="160"/>
      <c r="D50" s="41"/>
      <c r="E50" s="41"/>
      <c r="F50" s="41"/>
      <c r="G50" s="16"/>
      <c r="H50" s="16"/>
      <c r="I50" s="16"/>
      <c r="J50" s="16"/>
      <c r="K50" s="16"/>
      <c r="L50" s="53"/>
      <c r="M50" s="45"/>
      <c r="N50" s="45"/>
      <c r="O50" s="16"/>
      <c r="P50" s="16"/>
      <c r="Q50" s="81"/>
      <c r="R50" s="55"/>
      <c r="S50" s="16"/>
      <c r="T50" s="55"/>
      <c r="U50" s="16"/>
      <c r="V50" s="64"/>
      <c r="W50" s="57"/>
      <c r="X50" s="16"/>
      <c r="Y50" s="16"/>
      <c r="Z50" s="16"/>
      <c r="AA50" s="57"/>
      <c r="AB50" s="53"/>
      <c r="AC50" s="19"/>
      <c r="AD50" s="46"/>
      <c r="AE50" s="14"/>
    </row>
    <row r="51">
      <c r="A51" s="158"/>
      <c r="B51" s="159"/>
      <c r="C51" s="160"/>
      <c r="D51" s="41"/>
      <c r="E51" s="41"/>
      <c r="F51" s="41"/>
      <c r="G51" s="16"/>
      <c r="H51" s="16"/>
      <c r="I51" s="16"/>
      <c r="J51" s="16"/>
      <c r="K51" s="16"/>
      <c r="L51" s="53"/>
      <c r="M51" s="45"/>
      <c r="N51" s="45"/>
      <c r="O51" s="16"/>
      <c r="P51" s="16"/>
      <c r="Q51" s="55"/>
      <c r="R51" s="55"/>
      <c r="S51" s="16"/>
      <c r="T51" s="55"/>
      <c r="U51" s="16"/>
      <c r="V51" s="64"/>
      <c r="W51" s="57"/>
      <c r="X51" s="16"/>
      <c r="Y51" s="16"/>
      <c r="Z51" s="53"/>
      <c r="AA51" s="66"/>
      <c r="AB51" s="53"/>
      <c r="AC51" s="19"/>
      <c r="AD51" s="46"/>
      <c r="AE51" s="14"/>
    </row>
    <row r="52">
      <c r="A52" s="158"/>
      <c r="B52" s="159"/>
      <c r="C52" s="160"/>
      <c r="D52" s="41"/>
      <c r="E52" s="41"/>
      <c r="F52" s="41"/>
      <c r="G52" s="16"/>
      <c r="H52" s="16"/>
      <c r="I52" s="16"/>
      <c r="J52" s="16"/>
      <c r="K52" s="16"/>
      <c r="L52" s="53"/>
      <c r="M52" s="45"/>
      <c r="N52" s="45"/>
      <c r="O52" s="16"/>
      <c r="P52" s="16"/>
      <c r="Q52" s="55"/>
      <c r="R52" s="55"/>
      <c r="S52" s="16"/>
      <c r="T52" s="55"/>
      <c r="U52" s="16"/>
      <c r="V52" s="64"/>
      <c r="W52" s="57"/>
      <c r="X52" s="16"/>
      <c r="Y52" s="16"/>
      <c r="Z52" s="16"/>
      <c r="AA52" s="57"/>
      <c r="AB52" s="53"/>
      <c r="AC52" s="19"/>
      <c r="AD52" s="46"/>
      <c r="AE52" s="14"/>
    </row>
    <row r="53">
      <c r="A53" s="158"/>
      <c r="B53" s="159"/>
      <c r="C53" s="160"/>
      <c r="D53" s="41"/>
      <c r="E53" s="41"/>
      <c r="F53" s="41"/>
      <c r="G53" s="16"/>
      <c r="H53" s="16"/>
      <c r="I53" s="16"/>
      <c r="J53" s="16"/>
      <c r="K53" s="16"/>
      <c r="L53" s="53"/>
      <c r="M53" s="45"/>
      <c r="N53" s="45"/>
      <c r="O53" s="16"/>
      <c r="P53" s="16"/>
      <c r="Q53" s="55"/>
      <c r="R53" s="55"/>
      <c r="S53" s="16"/>
      <c r="T53" s="55"/>
      <c r="U53" s="16"/>
      <c r="V53" s="64"/>
      <c r="W53" s="57"/>
      <c r="X53" s="16"/>
      <c r="Y53" s="16"/>
      <c r="Z53" s="53"/>
      <c r="AA53" s="66"/>
      <c r="AB53" s="53"/>
      <c r="AC53" s="19"/>
      <c r="AD53" s="46"/>
      <c r="AE53" s="14"/>
    </row>
    <row r="54">
      <c r="A54" s="158"/>
      <c r="B54" s="159"/>
      <c r="C54" s="160"/>
      <c r="D54" s="41"/>
      <c r="E54" s="41"/>
      <c r="F54" s="41"/>
      <c r="G54" s="16"/>
      <c r="H54" s="16"/>
      <c r="I54" s="16"/>
      <c r="J54" s="16"/>
      <c r="K54" s="16"/>
      <c r="L54" s="53"/>
      <c r="M54" s="45"/>
      <c r="N54" s="45"/>
      <c r="O54" s="16"/>
      <c r="P54" s="16"/>
      <c r="Q54" s="55"/>
      <c r="R54" s="55"/>
      <c r="S54" s="16"/>
      <c r="T54" s="55"/>
      <c r="U54" s="16"/>
      <c r="V54" s="64"/>
      <c r="W54" s="64"/>
      <c r="X54" s="16"/>
      <c r="Y54" s="16"/>
      <c r="Z54" s="16"/>
      <c r="AA54" s="57"/>
      <c r="AB54" s="53"/>
      <c r="AC54" s="19"/>
      <c r="AD54" s="46"/>
      <c r="AE54" s="14"/>
    </row>
    <row r="55">
      <c r="A55" s="158"/>
      <c r="B55" s="159"/>
      <c r="C55" s="160"/>
      <c r="D55" s="41"/>
      <c r="E55" s="41"/>
      <c r="F55" s="41"/>
      <c r="G55" s="16"/>
      <c r="H55" s="16"/>
      <c r="I55" s="16"/>
      <c r="J55" s="16"/>
      <c r="K55" s="16"/>
      <c r="L55" s="53"/>
      <c r="M55" s="45"/>
      <c r="N55" s="45"/>
      <c r="O55" s="16"/>
      <c r="P55" s="16"/>
      <c r="Q55" s="55"/>
      <c r="R55" s="55"/>
      <c r="S55" s="16"/>
      <c r="T55" s="55"/>
      <c r="U55" s="16"/>
      <c r="V55" s="64"/>
      <c r="W55" s="57"/>
      <c r="X55" s="16"/>
      <c r="Y55" s="16"/>
      <c r="Z55" s="53"/>
      <c r="AA55" s="66"/>
      <c r="AB55" s="53"/>
      <c r="AC55" s="19"/>
      <c r="AD55" s="46"/>
      <c r="AE55" s="14"/>
    </row>
    <row r="56">
      <c r="A56" s="158"/>
      <c r="B56" s="159"/>
      <c r="C56" s="160"/>
      <c r="D56" s="41"/>
      <c r="E56" s="41"/>
      <c r="F56" s="41"/>
      <c r="G56" s="16"/>
      <c r="H56" s="16"/>
      <c r="I56" s="16"/>
      <c r="J56" s="53"/>
      <c r="K56" s="16"/>
      <c r="L56" s="53"/>
      <c r="M56" s="45"/>
      <c r="N56" s="45"/>
      <c r="O56" s="16"/>
      <c r="P56" s="16"/>
      <c r="Q56" s="81"/>
      <c r="R56" s="55"/>
      <c r="S56" s="53"/>
      <c r="T56" s="55"/>
      <c r="U56" s="16"/>
      <c r="V56" s="64"/>
      <c r="W56" s="57"/>
      <c r="X56" s="16"/>
      <c r="Y56" s="16"/>
      <c r="Z56" s="16"/>
      <c r="AA56" s="57"/>
      <c r="AB56" s="53"/>
      <c r="AC56" s="19"/>
      <c r="AD56" s="46"/>
      <c r="AE56" s="14"/>
    </row>
    <row r="57">
      <c r="A57" s="158"/>
      <c r="B57" s="159"/>
      <c r="C57" s="160"/>
      <c r="D57" s="41"/>
      <c r="E57" s="41"/>
      <c r="F57" s="41"/>
      <c r="G57" s="16"/>
      <c r="H57" s="16"/>
      <c r="I57" s="16"/>
      <c r="J57" s="16"/>
      <c r="K57" s="16"/>
      <c r="L57" s="53"/>
      <c r="M57" s="45"/>
      <c r="N57" s="45"/>
      <c r="O57" s="16"/>
      <c r="P57" s="16"/>
      <c r="Q57" s="81"/>
      <c r="R57" s="55"/>
      <c r="S57" s="16"/>
      <c r="T57" s="55"/>
      <c r="U57" s="16"/>
      <c r="V57" s="64"/>
      <c r="W57" s="16"/>
      <c r="X57" s="53"/>
      <c r="Y57" s="16"/>
      <c r="Z57" s="53"/>
      <c r="AA57" s="66"/>
      <c r="AB57" s="53"/>
      <c r="AC57" s="19"/>
      <c r="AD57" s="46"/>
      <c r="AE57" s="14"/>
    </row>
    <row r="58">
      <c r="A58" s="158"/>
      <c r="B58" s="159"/>
      <c r="C58" s="160"/>
      <c r="D58" s="41"/>
      <c r="E58" s="41"/>
      <c r="F58" s="41"/>
      <c r="G58" s="16"/>
      <c r="H58" s="16"/>
      <c r="I58" s="16"/>
      <c r="J58" s="16"/>
      <c r="K58" s="16"/>
      <c r="L58" s="53"/>
      <c r="M58" s="45"/>
      <c r="N58" s="45"/>
      <c r="O58" s="16"/>
      <c r="P58" s="16"/>
      <c r="Q58" s="81"/>
      <c r="R58" s="55"/>
      <c r="S58" s="16"/>
      <c r="T58" s="55"/>
      <c r="U58" s="16"/>
      <c r="V58" s="64"/>
      <c r="W58" s="64"/>
      <c r="X58" s="16"/>
      <c r="Y58" s="16"/>
      <c r="Z58" s="53"/>
      <c r="AA58" s="66"/>
      <c r="AB58" s="53"/>
      <c r="AC58" s="19"/>
      <c r="AD58" s="46"/>
      <c r="AE58" s="14"/>
    </row>
    <row r="59">
      <c r="A59" s="158"/>
      <c r="B59" s="159"/>
      <c r="C59" s="160"/>
      <c r="D59" s="41"/>
      <c r="E59" s="41"/>
      <c r="F59" s="41"/>
      <c r="G59" s="16"/>
      <c r="H59" s="16"/>
      <c r="I59" s="16"/>
      <c r="J59" s="16"/>
      <c r="K59" s="16"/>
      <c r="L59" s="53"/>
      <c r="M59" s="45"/>
      <c r="N59" s="45"/>
      <c r="O59" s="16"/>
      <c r="P59" s="16"/>
      <c r="Q59" s="55"/>
      <c r="R59" s="55"/>
      <c r="S59" s="16"/>
      <c r="T59" s="55"/>
      <c r="U59" s="16"/>
      <c r="V59" s="64"/>
      <c r="W59" s="64"/>
      <c r="X59" s="16"/>
      <c r="Y59" s="16"/>
      <c r="Z59" s="16"/>
      <c r="AA59" s="57"/>
      <c r="AB59" s="53"/>
      <c r="AC59" s="19"/>
      <c r="AD59" s="46"/>
      <c r="AE59" s="14"/>
    </row>
    <row r="60">
      <c r="A60" s="158"/>
      <c r="B60" s="159"/>
      <c r="C60" s="160"/>
      <c r="D60" s="41"/>
      <c r="E60" s="41"/>
      <c r="F60" s="41"/>
      <c r="G60" s="16"/>
      <c r="H60" s="16"/>
      <c r="I60" s="16"/>
      <c r="J60" s="16"/>
      <c r="K60" s="16"/>
      <c r="L60" s="53"/>
      <c r="M60" s="45"/>
      <c r="N60" s="45"/>
      <c r="O60" s="16"/>
      <c r="P60" s="16"/>
      <c r="Q60" s="55"/>
      <c r="R60" s="55"/>
      <c r="S60" s="16"/>
      <c r="T60" s="55"/>
      <c r="U60" s="16"/>
      <c r="V60" s="64"/>
      <c r="W60" s="64"/>
      <c r="X60" s="16"/>
      <c r="Y60" s="16"/>
      <c r="Z60" s="53"/>
      <c r="AA60" s="66"/>
      <c r="AB60" s="53"/>
      <c r="AC60" s="19"/>
      <c r="AD60" s="46"/>
      <c r="AE60" s="14"/>
    </row>
    <row r="61">
      <c r="A61" s="158"/>
      <c r="B61" s="159"/>
      <c r="C61" s="160"/>
      <c r="D61" s="41"/>
      <c r="E61" s="41"/>
      <c r="F61" s="41"/>
      <c r="G61" s="16"/>
      <c r="H61" s="16"/>
      <c r="I61" s="16"/>
      <c r="J61" s="16"/>
      <c r="K61" s="16"/>
      <c r="L61" s="53"/>
      <c r="M61" s="45"/>
      <c r="N61" s="45"/>
      <c r="O61" s="16"/>
      <c r="P61" s="16"/>
      <c r="Q61" s="55"/>
      <c r="R61" s="55"/>
      <c r="S61" s="16"/>
      <c r="T61" s="55"/>
      <c r="U61" s="16"/>
      <c r="V61" s="64"/>
      <c r="W61" s="64"/>
      <c r="X61" s="16"/>
      <c r="Y61" s="16"/>
      <c r="Z61" s="16"/>
      <c r="AA61" s="57"/>
      <c r="AB61" s="53"/>
      <c r="AC61" s="19"/>
      <c r="AD61" s="46"/>
      <c r="AE61" s="14"/>
    </row>
    <row r="62">
      <c r="A62" s="158"/>
      <c r="B62" s="159"/>
      <c r="C62" s="160"/>
      <c r="D62" s="41"/>
      <c r="E62" s="41"/>
      <c r="F62" s="41"/>
      <c r="G62" s="16"/>
      <c r="H62" s="16"/>
      <c r="I62" s="16"/>
      <c r="J62" s="16"/>
      <c r="K62" s="16"/>
      <c r="L62" s="53"/>
      <c r="M62" s="45"/>
      <c r="N62" s="45"/>
      <c r="O62" s="16"/>
      <c r="P62" s="16"/>
      <c r="Q62" s="55"/>
      <c r="R62" s="55"/>
      <c r="S62" s="16"/>
      <c r="T62" s="55"/>
      <c r="U62" s="16"/>
      <c r="V62" s="64"/>
      <c r="W62" s="64"/>
      <c r="X62" s="16"/>
      <c r="Y62" s="16"/>
      <c r="Z62" s="53"/>
      <c r="AA62" s="66"/>
      <c r="AB62" s="53"/>
      <c r="AC62" s="19"/>
      <c r="AD62" s="46"/>
      <c r="AE62" s="14"/>
    </row>
    <row r="63">
      <c r="A63" s="158"/>
      <c r="B63" s="159"/>
      <c r="C63" s="160"/>
      <c r="D63" s="41"/>
      <c r="E63" s="41"/>
      <c r="F63" s="41"/>
      <c r="G63" s="16"/>
      <c r="H63" s="16"/>
      <c r="I63" s="16"/>
      <c r="J63" s="16"/>
      <c r="K63" s="16"/>
      <c r="L63" s="53"/>
      <c r="M63" s="45"/>
      <c r="N63" s="45"/>
      <c r="O63" s="16"/>
      <c r="P63" s="16"/>
      <c r="Q63" s="55"/>
      <c r="R63" s="55"/>
      <c r="S63" s="16"/>
      <c r="T63" s="55"/>
      <c r="U63" s="16"/>
      <c r="V63" s="64"/>
      <c r="W63" s="64"/>
      <c r="X63" s="16"/>
      <c r="Y63" s="16"/>
      <c r="Z63" s="16"/>
      <c r="AA63" s="57"/>
      <c r="AB63" s="53"/>
      <c r="AC63" s="19"/>
      <c r="AD63" s="46"/>
      <c r="AE63" s="14"/>
    </row>
    <row r="64">
      <c r="A64" s="158"/>
      <c r="B64" s="159"/>
      <c r="C64" s="160"/>
      <c r="D64" s="41"/>
      <c r="E64" s="41"/>
      <c r="F64" s="41"/>
      <c r="G64" s="16"/>
      <c r="H64" s="16"/>
      <c r="I64" s="16"/>
      <c r="J64" s="16"/>
      <c r="K64" s="16"/>
      <c r="L64" s="53"/>
      <c r="M64" s="45"/>
      <c r="N64" s="45"/>
      <c r="O64" s="16"/>
      <c r="P64" s="16"/>
      <c r="Q64" s="55"/>
      <c r="R64" s="55"/>
      <c r="S64" s="16"/>
      <c r="T64" s="55"/>
      <c r="U64" s="16"/>
      <c r="V64" s="64"/>
      <c r="W64" s="64"/>
      <c r="X64" s="16"/>
      <c r="Y64" s="16"/>
      <c r="Z64" s="16"/>
      <c r="AA64" s="57"/>
      <c r="AB64" s="53"/>
      <c r="AC64" s="19"/>
      <c r="AD64" s="46"/>
      <c r="AE64" s="14"/>
    </row>
    <row r="65">
      <c r="A65" s="158"/>
      <c r="B65" s="159"/>
      <c r="C65" s="160"/>
      <c r="D65" s="41"/>
      <c r="E65" s="41"/>
      <c r="F65" s="41"/>
      <c r="G65" s="16"/>
      <c r="H65" s="16"/>
      <c r="I65" s="16"/>
      <c r="J65" s="16"/>
      <c r="K65" s="16"/>
      <c r="L65" s="53"/>
      <c r="M65" s="45"/>
      <c r="N65" s="45"/>
      <c r="O65" s="16"/>
      <c r="P65" s="16"/>
      <c r="Q65" s="55"/>
      <c r="R65" s="55"/>
      <c r="S65" s="16"/>
      <c r="T65" s="55"/>
      <c r="U65" s="16"/>
      <c r="V65" s="64"/>
      <c r="W65" s="64"/>
      <c r="X65" s="16"/>
      <c r="Y65" s="16"/>
      <c r="Z65" s="16"/>
      <c r="AA65" s="57"/>
      <c r="AB65" s="53"/>
      <c r="AC65" s="19"/>
      <c r="AD65" s="46"/>
      <c r="AE65" s="14"/>
    </row>
    <row r="66">
      <c r="A66" s="158"/>
      <c r="B66" s="159"/>
      <c r="C66" s="160"/>
      <c r="D66" s="41"/>
      <c r="E66" s="41"/>
      <c r="F66" s="41"/>
      <c r="G66" s="16"/>
      <c r="H66" s="16"/>
      <c r="I66" s="16"/>
      <c r="J66" s="16"/>
      <c r="K66" s="16"/>
      <c r="L66" s="53"/>
      <c r="M66" s="45"/>
      <c r="N66" s="45"/>
      <c r="O66" s="16"/>
      <c r="P66" s="16"/>
      <c r="Q66" s="55"/>
      <c r="R66" s="55"/>
      <c r="S66" s="16"/>
      <c r="T66" s="55"/>
      <c r="U66" s="16"/>
      <c r="V66" s="64"/>
      <c r="W66" s="64"/>
      <c r="X66" s="16"/>
      <c r="Y66" s="16"/>
      <c r="Z66" s="16"/>
      <c r="AA66" s="57"/>
      <c r="AB66" s="53"/>
      <c r="AC66" s="19"/>
      <c r="AD66" s="46"/>
      <c r="AE66" s="14"/>
    </row>
    <row r="67">
      <c r="A67" s="158"/>
      <c r="B67" s="159"/>
      <c r="C67" s="160"/>
      <c r="D67" s="41"/>
      <c r="E67" s="41"/>
      <c r="F67" s="41"/>
      <c r="G67" s="16"/>
      <c r="H67" s="16"/>
      <c r="I67" s="16"/>
      <c r="J67" s="16"/>
      <c r="K67" s="16"/>
      <c r="L67" s="53"/>
      <c r="M67" s="45"/>
      <c r="N67" s="45"/>
      <c r="O67" s="16"/>
      <c r="P67" s="16"/>
      <c r="Q67" s="55"/>
      <c r="R67" s="55"/>
      <c r="S67" s="16"/>
      <c r="T67" s="55"/>
      <c r="U67" s="16"/>
      <c r="V67" s="64"/>
      <c r="W67" s="57"/>
      <c r="X67" s="16"/>
      <c r="Y67" s="16"/>
      <c r="Z67" s="16"/>
      <c r="AA67" s="64"/>
      <c r="AB67" s="53"/>
      <c r="AC67" s="19"/>
      <c r="AD67" s="46"/>
      <c r="AE67" s="14"/>
    </row>
    <row r="68">
      <c r="A68" s="158"/>
      <c r="B68" s="159"/>
      <c r="C68" s="160"/>
      <c r="D68" s="41"/>
      <c r="E68" s="41"/>
      <c r="F68" s="41"/>
      <c r="G68" s="16"/>
      <c r="H68" s="16"/>
      <c r="I68" s="16"/>
      <c r="J68" s="16"/>
      <c r="K68" s="16"/>
      <c r="L68" s="53"/>
      <c r="M68" s="45"/>
      <c r="N68" s="45"/>
      <c r="O68" s="16"/>
      <c r="P68" s="16"/>
      <c r="Q68" s="55"/>
      <c r="R68" s="55"/>
      <c r="S68" s="53"/>
      <c r="T68" s="55"/>
      <c r="U68" s="16"/>
      <c r="V68" s="64"/>
      <c r="W68" s="57"/>
      <c r="X68" s="16"/>
      <c r="Y68" s="16"/>
      <c r="Z68" s="53"/>
      <c r="AA68" s="57"/>
      <c r="AB68" s="53"/>
      <c r="AC68" s="19"/>
      <c r="AD68" s="46"/>
      <c r="AE68" s="14"/>
    </row>
    <row r="69">
      <c r="A69" s="158"/>
      <c r="B69" s="159"/>
      <c r="C69" s="160"/>
      <c r="D69" s="41"/>
      <c r="E69" s="41"/>
      <c r="F69" s="41"/>
      <c r="G69" s="16"/>
      <c r="H69" s="16"/>
      <c r="I69" s="16"/>
      <c r="J69" s="16"/>
      <c r="K69" s="16"/>
      <c r="L69" s="53"/>
      <c r="M69" s="45"/>
      <c r="N69" s="45"/>
      <c r="O69" s="16"/>
      <c r="P69" s="16"/>
      <c r="Q69" s="55"/>
      <c r="R69" s="55"/>
      <c r="S69" s="16"/>
      <c r="T69" s="55"/>
      <c r="U69" s="16"/>
      <c r="V69" s="64"/>
      <c r="W69" s="64"/>
      <c r="X69" s="16"/>
      <c r="Y69" s="16"/>
      <c r="Z69" s="53"/>
      <c r="AA69" s="57"/>
      <c r="AB69" s="53"/>
      <c r="AC69" s="19"/>
      <c r="AD69" s="46"/>
      <c r="AE69" s="14"/>
    </row>
    <row r="70">
      <c r="A70" s="158"/>
      <c r="B70" s="159"/>
      <c r="C70" s="160"/>
      <c r="D70" s="41"/>
      <c r="E70" s="41"/>
      <c r="F70" s="41"/>
      <c r="G70" s="16"/>
      <c r="H70" s="16"/>
      <c r="I70" s="16"/>
      <c r="J70" s="16"/>
      <c r="K70" s="16"/>
      <c r="L70" s="53"/>
      <c r="M70" s="45"/>
      <c r="N70" s="45"/>
      <c r="O70" s="16"/>
      <c r="P70" s="16"/>
      <c r="Q70" s="55"/>
      <c r="R70" s="55"/>
      <c r="S70" s="16"/>
      <c r="T70" s="55"/>
      <c r="U70" s="16"/>
      <c r="V70" s="64"/>
      <c r="W70" s="57"/>
      <c r="X70" s="16"/>
      <c r="Y70" s="16"/>
      <c r="Z70" s="53"/>
      <c r="AA70" s="66"/>
      <c r="AB70" s="53"/>
      <c r="AC70" s="19"/>
      <c r="AD70" s="46"/>
      <c r="AE70" s="14"/>
    </row>
    <row r="71">
      <c r="A71" s="158"/>
      <c r="B71" s="159"/>
      <c r="C71" s="160"/>
      <c r="D71" s="41"/>
      <c r="E71" s="41"/>
      <c r="F71" s="41"/>
      <c r="G71" s="16"/>
      <c r="H71" s="16"/>
      <c r="I71" s="16"/>
      <c r="J71" s="16"/>
      <c r="K71" s="16"/>
      <c r="L71" s="53"/>
      <c r="M71" s="45"/>
      <c r="N71" s="45"/>
      <c r="O71" s="16"/>
      <c r="P71" s="16"/>
      <c r="Q71" s="55"/>
      <c r="R71" s="55"/>
      <c r="S71" s="16"/>
      <c r="T71" s="55"/>
      <c r="U71" s="16"/>
      <c r="V71" s="64"/>
      <c r="W71" s="64"/>
      <c r="X71" s="16"/>
      <c r="Y71" s="16"/>
      <c r="Z71" s="16"/>
      <c r="AA71" s="57"/>
      <c r="AB71" s="53"/>
      <c r="AC71" s="19"/>
      <c r="AD71" s="46"/>
      <c r="AE71" s="14"/>
    </row>
    <row r="72">
      <c r="A72" s="158"/>
      <c r="B72" s="159"/>
      <c r="C72" s="160"/>
      <c r="D72" s="41"/>
      <c r="E72" s="41"/>
      <c r="F72" s="41"/>
      <c r="G72" s="16"/>
      <c r="H72" s="16"/>
      <c r="I72" s="16"/>
      <c r="J72" s="16"/>
      <c r="K72" s="16"/>
      <c r="L72" s="53"/>
      <c r="M72" s="45"/>
      <c r="N72" s="45"/>
      <c r="O72" s="16"/>
      <c r="P72" s="16"/>
      <c r="Q72" s="55"/>
      <c r="R72" s="55"/>
      <c r="S72" s="16"/>
      <c r="T72" s="55"/>
      <c r="U72" s="16"/>
      <c r="V72" s="64"/>
      <c r="W72" s="64"/>
      <c r="X72" s="16"/>
      <c r="Y72" s="16"/>
      <c r="Z72" s="53"/>
      <c r="AA72" s="66"/>
      <c r="AB72" s="53"/>
      <c r="AC72" s="19"/>
      <c r="AD72" s="46"/>
      <c r="AE72" s="14"/>
    </row>
    <row r="73">
      <c r="A73" s="158"/>
      <c r="B73" s="159"/>
      <c r="C73" s="160"/>
      <c r="D73" s="41"/>
      <c r="E73" s="41"/>
      <c r="F73" s="41"/>
      <c r="G73" s="16"/>
      <c r="H73" s="16"/>
      <c r="I73" s="16"/>
      <c r="J73" s="16"/>
      <c r="K73" s="16"/>
      <c r="L73" s="53"/>
      <c r="M73" s="45"/>
      <c r="N73" s="45"/>
      <c r="O73" s="16"/>
      <c r="P73" s="16"/>
      <c r="Q73" s="55"/>
      <c r="R73" s="55"/>
      <c r="S73" s="16"/>
      <c r="T73" s="55"/>
      <c r="U73" s="16"/>
      <c r="V73" s="64"/>
      <c r="W73" s="57"/>
      <c r="X73" s="16"/>
      <c r="Y73" s="16"/>
      <c r="Z73" s="53"/>
      <c r="AA73" s="66"/>
      <c r="AB73" s="53"/>
      <c r="AC73" s="19"/>
      <c r="AD73" s="46"/>
      <c r="AE73" s="14"/>
    </row>
    <row r="74">
      <c r="A74" s="158"/>
      <c r="B74" s="159"/>
      <c r="C74" s="160"/>
      <c r="D74" s="41"/>
      <c r="E74" s="41"/>
      <c r="F74" s="41"/>
      <c r="G74" s="16"/>
      <c r="H74" s="16"/>
      <c r="I74" s="16"/>
      <c r="J74" s="16"/>
      <c r="K74" s="16"/>
      <c r="L74" s="53"/>
      <c r="M74" s="45"/>
      <c r="N74" s="45"/>
      <c r="O74" s="16"/>
      <c r="P74" s="16"/>
      <c r="Q74" s="55"/>
      <c r="R74" s="55"/>
      <c r="S74" s="16"/>
      <c r="T74" s="55"/>
      <c r="U74" s="16"/>
      <c r="V74" s="64"/>
      <c r="W74" s="57"/>
      <c r="X74" s="16"/>
      <c r="Y74" s="16"/>
      <c r="Z74" s="53"/>
      <c r="AA74" s="66"/>
      <c r="AB74" s="53"/>
      <c r="AC74" s="19"/>
      <c r="AD74" s="46"/>
      <c r="AE74" s="14"/>
    </row>
    <row r="75">
      <c r="A75" s="158"/>
      <c r="B75" s="159"/>
      <c r="C75" s="160"/>
      <c r="D75" s="41"/>
      <c r="E75" s="41"/>
      <c r="F75" s="41"/>
      <c r="G75" s="16"/>
      <c r="H75" s="16"/>
      <c r="I75" s="16"/>
      <c r="J75" s="16"/>
      <c r="K75" s="16"/>
      <c r="L75" s="53"/>
      <c r="M75" s="45"/>
      <c r="N75" s="45"/>
      <c r="O75" s="16"/>
      <c r="P75" s="16"/>
      <c r="Q75" s="55"/>
      <c r="R75" s="55"/>
      <c r="S75" s="16"/>
      <c r="T75" s="55"/>
      <c r="U75" s="16"/>
      <c r="V75" s="64"/>
      <c r="W75" s="64"/>
      <c r="X75" s="16"/>
      <c r="Y75" s="16"/>
      <c r="Z75" s="16"/>
      <c r="AA75" s="57"/>
      <c r="AB75" s="53"/>
      <c r="AC75" s="19"/>
      <c r="AD75" s="46"/>
      <c r="AE75" s="14"/>
    </row>
    <row r="76">
      <c r="A76" s="158"/>
      <c r="B76" s="159"/>
      <c r="C76" s="160"/>
      <c r="D76" s="41"/>
      <c r="E76" s="41"/>
      <c r="F76" s="41"/>
      <c r="G76" s="16"/>
      <c r="H76" s="16"/>
      <c r="I76" s="16"/>
      <c r="J76" s="16"/>
      <c r="K76" s="16"/>
      <c r="L76" s="53"/>
      <c r="M76" s="45"/>
      <c r="N76" s="45"/>
      <c r="O76" s="16"/>
      <c r="P76" s="16"/>
      <c r="Q76" s="55"/>
      <c r="R76" s="55"/>
      <c r="S76" s="16"/>
      <c r="T76" s="55"/>
      <c r="U76" s="16"/>
      <c r="V76" s="64"/>
      <c r="W76" s="64"/>
      <c r="X76" s="16"/>
      <c r="Y76" s="16"/>
      <c r="Z76" s="53"/>
      <c r="AA76" s="66"/>
      <c r="AB76" s="53"/>
      <c r="AC76" s="19"/>
      <c r="AD76" s="46"/>
      <c r="AE76" s="14"/>
    </row>
    <row r="77">
      <c r="A77" s="158"/>
      <c r="B77" s="159"/>
      <c r="C77" s="160"/>
      <c r="D77" s="41"/>
      <c r="E77" s="41"/>
      <c r="F77" s="41"/>
      <c r="G77" s="16"/>
      <c r="H77" s="16"/>
      <c r="I77" s="16"/>
      <c r="J77" s="16"/>
      <c r="K77" s="16"/>
      <c r="L77" s="53"/>
      <c r="M77" s="45"/>
      <c r="N77" s="45"/>
      <c r="O77" s="16"/>
      <c r="P77" s="16"/>
      <c r="Q77" s="55"/>
      <c r="R77" s="55"/>
      <c r="S77" s="16"/>
      <c r="T77" s="55"/>
      <c r="U77" s="16"/>
      <c r="V77" s="64"/>
      <c r="W77" s="64"/>
      <c r="X77" s="16"/>
      <c r="Y77" s="16"/>
      <c r="Z77" s="53"/>
      <c r="AA77" s="66"/>
      <c r="AB77" s="53"/>
      <c r="AC77" s="19"/>
      <c r="AD77" s="46"/>
      <c r="AE77" s="14"/>
    </row>
    <row r="78">
      <c r="A78" s="158"/>
      <c r="B78" s="159"/>
      <c r="C78" s="160"/>
      <c r="D78" s="41"/>
      <c r="E78" s="41"/>
      <c r="F78" s="41"/>
      <c r="G78" s="16"/>
      <c r="H78" s="16"/>
      <c r="I78" s="16"/>
      <c r="J78" s="16"/>
      <c r="K78" s="16"/>
      <c r="L78" s="53"/>
      <c r="M78" s="45"/>
      <c r="N78" s="45"/>
      <c r="O78" s="16"/>
      <c r="P78" s="16"/>
      <c r="Q78" s="55"/>
      <c r="R78" s="55"/>
      <c r="S78" s="16"/>
      <c r="T78" s="55"/>
      <c r="U78" s="16"/>
      <c r="V78" s="64"/>
      <c r="W78" s="64"/>
      <c r="X78" s="16"/>
      <c r="Y78" s="16"/>
      <c r="Z78" s="16"/>
      <c r="AA78" s="57"/>
      <c r="AB78" s="53"/>
      <c r="AC78" s="19"/>
      <c r="AD78" s="46"/>
      <c r="AE78" s="14"/>
    </row>
    <row r="79">
      <c r="A79" s="158"/>
      <c r="B79" s="159"/>
      <c r="C79" s="160"/>
      <c r="D79" s="41"/>
      <c r="E79" s="41"/>
      <c r="F79" s="41"/>
      <c r="G79" s="16"/>
      <c r="H79" s="16"/>
      <c r="I79" s="16"/>
      <c r="J79" s="16"/>
      <c r="K79" s="16"/>
      <c r="L79" s="53"/>
      <c r="M79" s="45"/>
      <c r="N79" s="45"/>
      <c r="O79" s="16"/>
      <c r="P79" s="16"/>
      <c r="Q79" s="55"/>
      <c r="R79" s="55"/>
      <c r="S79" s="16"/>
      <c r="T79" s="55"/>
      <c r="U79" s="16"/>
      <c r="V79" s="64"/>
      <c r="W79" s="64"/>
      <c r="X79" s="16"/>
      <c r="Y79" s="16"/>
      <c r="Z79" s="53"/>
      <c r="AA79" s="66"/>
      <c r="AB79" s="53"/>
      <c r="AC79" s="19"/>
      <c r="AD79" s="46"/>
      <c r="AE79" s="14"/>
    </row>
    <row r="80">
      <c r="A80" s="158"/>
      <c r="B80" s="159"/>
      <c r="C80" s="160"/>
      <c r="D80" s="41"/>
      <c r="E80" s="41"/>
      <c r="F80" s="41"/>
      <c r="G80" s="16"/>
      <c r="H80" s="16"/>
      <c r="I80" s="16"/>
      <c r="J80" s="16"/>
      <c r="K80" s="16"/>
      <c r="L80" s="53"/>
      <c r="M80" s="45"/>
      <c r="N80" s="45"/>
      <c r="O80" s="16"/>
      <c r="P80" s="16"/>
      <c r="Q80" s="55"/>
      <c r="R80" s="55"/>
      <c r="S80" s="16"/>
      <c r="T80" s="55"/>
      <c r="U80" s="16"/>
      <c r="V80" s="64"/>
      <c r="W80" s="64"/>
      <c r="X80" s="16"/>
      <c r="Y80" s="16"/>
      <c r="Z80" s="53"/>
      <c r="AA80" s="66"/>
      <c r="AB80" s="53"/>
      <c r="AC80" s="19"/>
      <c r="AD80" s="46"/>
      <c r="AE80" s="14"/>
    </row>
    <row r="81">
      <c r="A81" s="158"/>
      <c r="B81" s="159"/>
      <c r="C81" s="160"/>
      <c r="D81" s="41"/>
      <c r="E81" s="41"/>
      <c r="F81" s="41"/>
      <c r="G81" s="16"/>
      <c r="H81" s="16"/>
      <c r="I81" s="16"/>
      <c r="J81" s="16"/>
      <c r="K81" s="16"/>
      <c r="L81" s="53"/>
      <c r="M81" s="45"/>
      <c r="N81" s="45"/>
      <c r="O81" s="16"/>
      <c r="P81" s="16"/>
      <c r="Q81" s="55"/>
      <c r="R81" s="55"/>
      <c r="S81" s="16"/>
      <c r="T81" s="55"/>
      <c r="U81" s="16"/>
      <c r="V81" s="64"/>
      <c r="W81" s="64"/>
      <c r="X81" s="16"/>
      <c r="Y81" s="16"/>
      <c r="Z81" s="53"/>
      <c r="AA81" s="66"/>
      <c r="AB81" s="53"/>
      <c r="AC81" s="19"/>
      <c r="AD81" s="46"/>
      <c r="AE81" s="14"/>
    </row>
    <row r="82">
      <c r="A82" s="158"/>
      <c r="B82" s="159"/>
      <c r="C82" s="160"/>
      <c r="D82" s="41"/>
      <c r="E82" s="41"/>
      <c r="F82" s="41"/>
      <c r="G82" s="16"/>
      <c r="H82" s="16"/>
      <c r="I82" s="16"/>
      <c r="J82" s="16"/>
      <c r="K82" s="16"/>
      <c r="L82" s="53"/>
      <c r="M82" s="45"/>
      <c r="N82" s="45"/>
      <c r="O82" s="16"/>
      <c r="P82" s="16"/>
      <c r="Q82" s="55"/>
      <c r="R82" s="55"/>
      <c r="S82" s="16"/>
      <c r="T82" s="55"/>
      <c r="U82" s="16"/>
      <c r="V82" s="64"/>
      <c r="W82" s="64"/>
      <c r="X82" s="16"/>
      <c r="Y82" s="16"/>
      <c r="Z82" s="16"/>
      <c r="AA82" s="64"/>
      <c r="AB82" s="53"/>
      <c r="AC82" s="19"/>
      <c r="AD82" s="46"/>
      <c r="AE82" s="14"/>
    </row>
    <row r="83">
      <c r="A83" s="158"/>
      <c r="B83" s="159"/>
      <c r="C83" s="160"/>
      <c r="D83" s="41"/>
      <c r="E83" s="41"/>
      <c r="F83" s="41"/>
      <c r="G83" s="16"/>
      <c r="H83" s="16"/>
      <c r="I83" s="16"/>
      <c r="J83" s="16"/>
      <c r="K83" s="16"/>
      <c r="L83" s="53"/>
      <c r="M83" s="45"/>
      <c r="N83" s="45"/>
      <c r="O83" s="16"/>
      <c r="P83" s="16"/>
      <c r="Q83" s="55"/>
      <c r="R83" s="55"/>
      <c r="S83" s="16"/>
      <c r="T83" s="55"/>
      <c r="U83" s="16"/>
      <c r="V83" s="64"/>
      <c r="W83" s="64"/>
      <c r="X83" s="53"/>
      <c r="Y83" s="16"/>
      <c r="Z83" s="16"/>
      <c r="AA83" s="64"/>
      <c r="AB83" s="53"/>
      <c r="AC83" s="19"/>
      <c r="AD83" s="46"/>
      <c r="AE83" s="14"/>
    </row>
    <row r="84">
      <c r="A84" s="158"/>
      <c r="B84" s="159"/>
      <c r="C84" s="160"/>
      <c r="D84" s="41"/>
      <c r="E84" s="41"/>
      <c r="F84" s="41"/>
      <c r="G84" s="16"/>
      <c r="H84" s="16"/>
      <c r="I84" s="16"/>
      <c r="J84" s="16"/>
      <c r="K84" s="16"/>
      <c r="L84" s="53"/>
      <c r="M84" s="45"/>
      <c r="N84" s="45"/>
      <c r="O84" s="16"/>
      <c r="P84" s="16"/>
      <c r="Q84" s="55"/>
      <c r="R84" s="55"/>
      <c r="S84" s="16"/>
      <c r="T84" s="55"/>
      <c r="U84" s="16"/>
      <c r="V84" s="64"/>
      <c r="W84" s="64"/>
      <c r="X84" s="53"/>
      <c r="Y84" s="16"/>
      <c r="Z84" s="53"/>
      <c r="AA84" s="53"/>
      <c r="AB84" s="53"/>
      <c r="AC84" s="19"/>
      <c r="AD84" s="46"/>
      <c r="AE84" s="14"/>
    </row>
    <row r="85">
      <c r="A85" s="158"/>
      <c r="B85" s="159"/>
      <c r="C85" s="160"/>
      <c r="D85" s="41"/>
      <c r="E85" s="41"/>
      <c r="F85" s="41"/>
      <c r="G85" s="16"/>
      <c r="H85" s="16"/>
      <c r="I85" s="16"/>
      <c r="J85" s="16"/>
      <c r="K85" s="16"/>
      <c r="L85" s="53"/>
      <c r="M85" s="45"/>
      <c r="N85" s="45"/>
      <c r="O85" s="16"/>
      <c r="P85" s="16"/>
      <c r="Q85" s="55"/>
      <c r="R85" s="55"/>
      <c r="S85" s="16"/>
      <c r="T85" s="55"/>
      <c r="U85" s="16"/>
      <c r="V85" s="64"/>
      <c r="W85" s="64"/>
      <c r="X85" s="16"/>
      <c r="Y85" s="16"/>
      <c r="Z85" s="53"/>
      <c r="AA85" s="66"/>
      <c r="AB85" s="53"/>
      <c r="AC85" s="19"/>
      <c r="AD85" s="46"/>
      <c r="AE85" s="14"/>
    </row>
    <row r="86">
      <c r="A86" s="158"/>
      <c r="B86" s="159"/>
      <c r="C86" s="160"/>
      <c r="D86" s="41"/>
      <c r="E86" s="41"/>
      <c r="F86" s="41"/>
      <c r="G86" s="16"/>
      <c r="H86" s="16"/>
      <c r="I86" s="16"/>
      <c r="J86" s="16"/>
      <c r="K86" s="16"/>
      <c r="L86" s="53"/>
      <c r="M86" s="45"/>
      <c r="N86" s="45"/>
      <c r="O86" s="16"/>
      <c r="P86" s="16"/>
      <c r="Q86" s="55"/>
      <c r="R86" s="55"/>
      <c r="S86" s="16"/>
      <c r="T86" s="55"/>
      <c r="U86" s="16"/>
      <c r="V86" s="64"/>
      <c r="W86" s="64"/>
      <c r="X86" s="16"/>
      <c r="Y86" s="16"/>
      <c r="Z86" s="53"/>
      <c r="AA86" s="66"/>
      <c r="AB86" s="53"/>
      <c r="AC86" s="19"/>
      <c r="AD86" s="46"/>
      <c r="AE86" s="14"/>
    </row>
    <row r="87">
      <c r="A87" s="158"/>
      <c r="B87" s="159"/>
      <c r="C87" s="160"/>
      <c r="D87" s="41"/>
      <c r="E87" s="41"/>
      <c r="F87" s="41"/>
      <c r="G87" s="207"/>
      <c r="H87" s="207"/>
      <c r="I87" s="207"/>
      <c r="J87" s="207"/>
      <c r="K87" s="207"/>
      <c r="L87" s="209"/>
      <c r="M87" s="210"/>
      <c r="N87" s="210"/>
      <c r="O87" s="207"/>
      <c r="P87" s="207"/>
      <c r="Q87" s="211"/>
      <c r="R87" s="211"/>
      <c r="S87" s="207"/>
      <c r="T87" s="211"/>
      <c r="U87" s="207"/>
      <c r="V87" s="212"/>
      <c r="W87" s="212"/>
      <c r="X87" s="207"/>
      <c r="Y87" s="207"/>
      <c r="Z87" s="207"/>
      <c r="AA87" s="213"/>
      <c r="AB87" s="209"/>
      <c r="AC87" s="19"/>
      <c r="AD87" s="46"/>
      <c r="AE87" s="14"/>
    </row>
    <row r="88">
      <c r="A88" s="158"/>
      <c r="B88" s="159"/>
      <c r="C88" s="160"/>
      <c r="D88" s="41"/>
      <c r="E88" s="41"/>
      <c r="F88" s="41"/>
      <c r="G88" s="207"/>
      <c r="H88" s="207"/>
      <c r="I88" s="207"/>
      <c r="J88" s="207"/>
      <c r="K88" s="207"/>
      <c r="L88" s="209"/>
      <c r="M88" s="210"/>
      <c r="N88" s="210"/>
      <c r="O88" s="207"/>
      <c r="P88" s="207"/>
      <c r="Q88" s="211"/>
      <c r="R88" s="211"/>
      <c r="S88" s="207"/>
      <c r="T88" s="211"/>
      <c r="U88" s="207"/>
      <c r="V88" s="212"/>
      <c r="W88" s="212"/>
      <c r="X88" s="207"/>
      <c r="Y88" s="207"/>
      <c r="Z88" s="207"/>
      <c r="AA88" s="213"/>
      <c r="AB88" s="209"/>
      <c r="AC88" s="19"/>
      <c r="AD88" s="46"/>
      <c r="AE88" s="14"/>
    </row>
    <row r="89">
      <c r="A89" s="158"/>
      <c r="B89" s="159"/>
      <c r="C89" s="160"/>
      <c r="D89" s="41"/>
      <c r="E89" s="41"/>
      <c r="F89" s="41"/>
      <c r="G89" s="207"/>
      <c r="H89" s="207"/>
      <c r="I89" s="207"/>
      <c r="J89" s="207"/>
      <c r="K89" s="207"/>
      <c r="L89" s="209"/>
      <c r="M89" s="210"/>
      <c r="N89" s="210"/>
      <c r="O89" s="207"/>
      <c r="P89" s="207"/>
      <c r="Q89" s="211"/>
      <c r="R89" s="211"/>
      <c r="S89" s="207"/>
      <c r="T89" s="211"/>
      <c r="U89" s="207"/>
      <c r="V89" s="212"/>
      <c r="W89" s="212"/>
      <c r="X89" s="207"/>
      <c r="Y89" s="207"/>
      <c r="Z89" s="209"/>
      <c r="AA89" s="209"/>
      <c r="AB89" s="209"/>
      <c r="AC89" s="19"/>
      <c r="AD89" s="46"/>
      <c r="AE89" s="14"/>
    </row>
    <row r="90">
      <c r="A90" s="158"/>
      <c r="B90" s="159"/>
      <c r="C90" s="160"/>
      <c r="D90" s="41"/>
      <c r="E90" s="41"/>
      <c r="F90" s="41"/>
      <c r="G90" s="207"/>
      <c r="H90" s="207"/>
      <c r="I90" s="207"/>
      <c r="J90" s="207"/>
      <c r="K90" s="207"/>
      <c r="L90" s="209"/>
      <c r="M90" s="210"/>
      <c r="N90" s="210"/>
      <c r="O90" s="207"/>
      <c r="P90" s="207"/>
      <c r="Q90" s="211"/>
      <c r="R90" s="211"/>
      <c r="S90" s="207"/>
      <c r="T90" s="211"/>
      <c r="U90" s="207"/>
      <c r="V90" s="212"/>
      <c r="W90" s="212"/>
      <c r="X90" s="207"/>
      <c r="Y90" s="207"/>
      <c r="Z90" s="207"/>
      <c r="AA90" s="213"/>
      <c r="AB90" s="209"/>
      <c r="AC90" s="19"/>
      <c r="AD90" s="46"/>
      <c r="AE90" s="14"/>
    </row>
    <row r="91">
      <c r="A91" s="158"/>
      <c r="B91" s="159"/>
      <c r="C91" s="160"/>
      <c r="D91" s="41"/>
      <c r="E91" s="41"/>
      <c r="F91" s="41"/>
      <c r="G91" s="207"/>
      <c r="H91" s="207"/>
      <c r="I91" s="207"/>
      <c r="J91" s="207"/>
      <c r="K91" s="207"/>
      <c r="L91" s="209"/>
      <c r="M91" s="210"/>
      <c r="N91" s="210"/>
      <c r="O91" s="207"/>
      <c r="P91" s="207"/>
      <c r="Q91" s="211"/>
      <c r="R91" s="211"/>
      <c r="S91" s="207"/>
      <c r="T91" s="211"/>
      <c r="U91" s="207"/>
      <c r="V91" s="212"/>
      <c r="W91" s="212"/>
      <c r="X91" s="207"/>
      <c r="Y91" s="207"/>
      <c r="Z91" s="209"/>
      <c r="AA91" s="209"/>
      <c r="AB91" s="209"/>
      <c r="AC91" s="19"/>
      <c r="AD91" s="46"/>
      <c r="AE91" s="14"/>
    </row>
    <row r="92">
      <c r="A92" s="158"/>
      <c r="B92" s="159"/>
      <c r="C92" s="160"/>
      <c r="D92" s="41"/>
      <c r="E92" s="41"/>
      <c r="F92" s="41"/>
      <c r="G92" s="207"/>
      <c r="H92" s="207"/>
      <c r="I92" s="207"/>
      <c r="J92" s="207"/>
      <c r="K92" s="207"/>
      <c r="L92" s="209"/>
      <c r="M92" s="210"/>
      <c r="N92" s="210"/>
      <c r="O92" s="207"/>
      <c r="P92" s="207"/>
      <c r="Q92" s="211"/>
      <c r="R92" s="211"/>
      <c r="S92" s="207"/>
      <c r="T92" s="211"/>
      <c r="U92" s="207"/>
      <c r="V92" s="212"/>
      <c r="W92" s="212"/>
      <c r="X92" s="207"/>
      <c r="Y92" s="207"/>
      <c r="Z92" s="209"/>
      <c r="AA92" s="209"/>
      <c r="AB92" s="209"/>
      <c r="AC92" s="19"/>
      <c r="AD92" s="46"/>
      <c r="AE92" s="14"/>
    </row>
    <row r="93">
      <c r="A93" s="158"/>
      <c r="B93" s="159"/>
      <c r="C93" s="160"/>
      <c r="D93" s="41"/>
      <c r="E93" s="41"/>
      <c r="F93" s="41"/>
      <c r="G93" s="207"/>
      <c r="H93" s="207"/>
      <c r="I93" s="207"/>
      <c r="J93" s="207"/>
      <c r="K93" s="207"/>
      <c r="L93" s="209"/>
      <c r="M93" s="210"/>
      <c r="N93" s="210"/>
      <c r="O93" s="207"/>
      <c r="P93" s="207"/>
      <c r="Q93" s="211"/>
      <c r="R93" s="211"/>
      <c r="S93" s="207"/>
      <c r="T93" s="211"/>
      <c r="U93" s="207"/>
      <c r="V93" s="212"/>
      <c r="W93" s="212"/>
      <c r="X93" s="207"/>
      <c r="Y93" s="207"/>
      <c r="Z93" s="209"/>
      <c r="AA93" s="209"/>
      <c r="AB93" s="209"/>
      <c r="AC93" s="19"/>
      <c r="AD93" s="46"/>
      <c r="AE93" s="14"/>
    </row>
    <row r="94">
      <c r="A94" s="158"/>
      <c r="B94" s="159"/>
      <c r="C94" s="160"/>
      <c r="D94" s="41"/>
      <c r="E94" s="41"/>
      <c r="F94" s="41"/>
      <c r="G94" s="207"/>
      <c r="H94" s="207"/>
      <c r="I94" s="207"/>
      <c r="J94" s="207"/>
      <c r="K94" s="207"/>
      <c r="L94" s="209"/>
      <c r="M94" s="210"/>
      <c r="N94" s="210"/>
      <c r="O94" s="207"/>
      <c r="P94" s="207"/>
      <c r="Q94" s="211"/>
      <c r="R94" s="211"/>
      <c r="S94" s="207"/>
      <c r="T94" s="211"/>
      <c r="U94" s="207"/>
      <c r="V94" s="212"/>
      <c r="W94" s="212"/>
      <c r="X94" s="207"/>
      <c r="Y94" s="207"/>
      <c r="Z94" s="209"/>
      <c r="AA94" s="209"/>
      <c r="AB94" s="209"/>
      <c r="AC94" s="19"/>
      <c r="AD94" s="46"/>
      <c r="AE94" s="14"/>
    </row>
    <row r="95">
      <c r="A95" s="158"/>
      <c r="B95" s="159"/>
      <c r="C95" s="160"/>
      <c r="D95" s="41"/>
      <c r="E95" s="41"/>
      <c r="F95" s="41"/>
      <c r="G95" s="207"/>
      <c r="H95" s="207"/>
      <c r="I95" s="207"/>
      <c r="J95" s="207"/>
      <c r="K95" s="207"/>
      <c r="L95" s="209"/>
      <c r="M95" s="210"/>
      <c r="N95" s="210"/>
      <c r="O95" s="207"/>
      <c r="P95" s="207"/>
      <c r="Q95" s="211"/>
      <c r="R95" s="211"/>
      <c r="S95" s="207"/>
      <c r="T95" s="211"/>
      <c r="U95" s="207"/>
      <c r="V95" s="212"/>
      <c r="W95" s="212"/>
      <c r="X95" s="207"/>
      <c r="Y95" s="207"/>
      <c r="Z95" s="207"/>
      <c r="AA95" s="213"/>
      <c r="AB95" s="209"/>
      <c r="AC95" s="19"/>
      <c r="AD95" s="46"/>
      <c r="AE95" s="14"/>
    </row>
    <row r="96">
      <c r="A96" s="158"/>
      <c r="B96" s="159"/>
      <c r="C96" s="160"/>
      <c r="D96" s="41"/>
      <c r="E96" s="41"/>
      <c r="F96" s="41"/>
      <c r="G96" s="207"/>
      <c r="H96" s="207"/>
      <c r="I96" s="207"/>
      <c r="J96" s="207"/>
      <c r="K96" s="207"/>
      <c r="L96" s="209"/>
      <c r="M96" s="210"/>
      <c r="N96" s="210"/>
      <c r="O96" s="207"/>
      <c r="P96" s="207"/>
      <c r="Q96" s="211"/>
      <c r="R96" s="211"/>
      <c r="S96" s="207"/>
      <c r="T96" s="211"/>
      <c r="U96" s="207"/>
      <c r="V96" s="212"/>
      <c r="W96" s="212"/>
      <c r="X96" s="207"/>
      <c r="Y96" s="207"/>
      <c r="Z96" s="207"/>
      <c r="AA96" s="213"/>
      <c r="AB96" s="209"/>
      <c r="AC96" s="19"/>
      <c r="AD96" s="46"/>
      <c r="AE96" s="14"/>
    </row>
    <row r="97">
      <c r="A97" s="158"/>
      <c r="B97" s="159"/>
      <c r="C97" s="160"/>
      <c r="D97" s="41"/>
      <c r="E97" s="41"/>
      <c r="F97" s="41"/>
      <c r="G97" s="207"/>
      <c r="H97" s="207"/>
      <c r="I97" s="207"/>
      <c r="J97" s="207"/>
      <c r="K97" s="207"/>
      <c r="L97" s="209"/>
      <c r="M97" s="210"/>
      <c r="N97" s="210"/>
      <c r="O97" s="207"/>
      <c r="P97" s="207"/>
      <c r="Q97" s="211"/>
      <c r="R97" s="211"/>
      <c r="S97" s="207"/>
      <c r="T97" s="211"/>
      <c r="U97" s="207"/>
      <c r="V97" s="212"/>
      <c r="W97" s="212"/>
      <c r="X97" s="207"/>
      <c r="Y97" s="207"/>
      <c r="Z97" s="209"/>
      <c r="AA97" s="209"/>
      <c r="AB97" s="209"/>
      <c r="AC97" s="19"/>
      <c r="AD97" s="46"/>
      <c r="AE97" s="14"/>
    </row>
    <row r="98">
      <c r="A98" s="158"/>
      <c r="B98" s="159"/>
      <c r="C98" s="160"/>
      <c r="D98" s="41"/>
      <c r="E98" s="41"/>
      <c r="F98" s="41"/>
      <c r="G98" s="207"/>
      <c r="H98" s="207"/>
      <c r="I98" s="207"/>
      <c r="J98" s="207"/>
      <c r="K98" s="207"/>
      <c r="L98" s="209"/>
      <c r="M98" s="210"/>
      <c r="N98" s="210"/>
      <c r="O98" s="207"/>
      <c r="P98" s="207"/>
      <c r="Q98" s="211"/>
      <c r="R98" s="211"/>
      <c r="S98" s="207"/>
      <c r="T98" s="211"/>
      <c r="U98" s="207"/>
      <c r="V98" s="212"/>
      <c r="W98" s="212"/>
      <c r="X98" s="207"/>
      <c r="Y98" s="207"/>
      <c r="Z98" s="209"/>
      <c r="AA98" s="209"/>
      <c r="AB98" s="209"/>
      <c r="AC98" s="19"/>
      <c r="AD98" s="46"/>
      <c r="AE98" s="14"/>
    </row>
    <row r="99">
      <c r="A99" s="158"/>
      <c r="B99" s="159"/>
      <c r="C99" s="160"/>
      <c r="D99" s="41"/>
      <c r="E99" s="41"/>
      <c r="F99" s="41"/>
      <c r="G99" s="207"/>
      <c r="H99" s="207"/>
      <c r="I99" s="207"/>
      <c r="J99" s="207"/>
      <c r="K99" s="207"/>
      <c r="L99" s="209"/>
      <c r="M99" s="210"/>
      <c r="N99" s="210"/>
      <c r="O99" s="207"/>
      <c r="P99" s="207"/>
      <c r="Q99" s="211"/>
      <c r="R99" s="211"/>
      <c r="S99" s="207"/>
      <c r="T99" s="211"/>
      <c r="U99" s="207"/>
      <c r="V99" s="212"/>
      <c r="W99" s="212"/>
      <c r="X99" s="207"/>
      <c r="Y99" s="207"/>
      <c r="Z99" s="207"/>
      <c r="AA99" s="213"/>
      <c r="AB99" s="209"/>
      <c r="AC99" s="19"/>
      <c r="AD99" s="46"/>
      <c r="AE99" s="14"/>
    </row>
    <row r="100">
      <c r="A100" s="158"/>
      <c r="B100" s="159"/>
      <c r="C100" s="160"/>
      <c r="D100" s="41"/>
      <c r="E100" s="41"/>
      <c r="F100" s="41"/>
      <c r="G100" s="207"/>
      <c r="H100" s="207"/>
      <c r="I100" s="207"/>
      <c r="J100" s="207"/>
      <c r="K100" s="207"/>
      <c r="L100" s="209"/>
      <c r="M100" s="210"/>
      <c r="N100" s="210"/>
      <c r="O100" s="207"/>
      <c r="P100" s="207"/>
      <c r="Q100" s="211"/>
      <c r="R100" s="211"/>
      <c r="S100" s="207"/>
      <c r="T100" s="211"/>
      <c r="U100" s="207"/>
      <c r="V100" s="212"/>
      <c r="W100" s="212"/>
      <c r="X100" s="207"/>
      <c r="Y100" s="207"/>
      <c r="Z100" s="207"/>
      <c r="AA100" s="213"/>
      <c r="AB100" s="209"/>
      <c r="AC100" s="19"/>
      <c r="AD100" s="46"/>
      <c r="AE100" s="14"/>
    </row>
    <row r="101">
      <c r="A101" s="158"/>
      <c r="B101" s="159"/>
      <c r="C101" s="160"/>
      <c r="D101" s="41"/>
      <c r="E101" s="41"/>
      <c r="F101" s="41"/>
      <c r="G101" s="207"/>
      <c r="H101" s="207"/>
      <c r="I101" s="207"/>
      <c r="J101" s="207"/>
      <c r="K101" s="207"/>
      <c r="L101" s="209"/>
      <c r="M101" s="210"/>
      <c r="N101" s="210"/>
      <c r="O101" s="207"/>
      <c r="P101" s="207"/>
      <c r="Q101" s="211"/>
      <c r="R101" s="211"/>
      <c r="S101" s="207"/>
      <c r="T101" s="211"/>
      <c r="U101" s="207"/>
      <c r="V101" s="212"/>
      <c r="W101" s="212"/>
      <c r="X101" s="207"/>
      <c r="Y101" s="207"/>
      <c r="Z101" s="209"/>
      <c r="AA101" s="209"/>
      <c r="AB101" s="209"/>
      <c r="AC101" s="19"/>
      <c r="AD101" s="46"/>
      <c r="AE101" s="14"/>
    </row>
    <row r="102">
      <c r="A102" s="158"/>
      <c r="B102" s="159"/>
      <c r="C102" s="160"/>
      <c r="D102" s="41"/>
      <c r="E102" s="41"/>
      <c r="F102" s="41"/>
      <c r="G102" s="207"/>
      <c r="H102" s="207"/>
      <c r="I102" s="207"/>
      <c r="J102" s="207"/>
      <c r="K102" s="207"/>
      <c r="L102" s="209"/>
      <c r="M102" s="210"/>
      <c r="N102" s="210"/>
      <c r="O102" s="207"/>
      <c r="P102" s="207"/>
      <c r="Q102" s="211"/>
      <c r="R102" s="211"/>
      <c r="S102" s="207"/>
      <c r="T102" s="211"/>
      <c r="U102" s="207"/>
      <c r="V102" s="212"/>
      <c r="W102" s="212"/>
      <c r="X102" s="207"/>
      <c r="Y102" s="207"/>
      <c r="Z102" s="209"/>
      <c r="AA102" s="209"/>
      <c r="AB102" s="209"/>
      <c r="AC102" s="19"/>
      <c r="AD102" s="46"/>
      <c r="AE102" s="14"/>
    </row>
    <row r="103">
      <c r="A103" s="158"/>
      <c r="B103" s="159"/>
      <c r="C103" s="160"/>
      <c r="D103" s="41"/>
      <c r="E103" s="41"/>
      <c r="F103" s="41"/>
      <c r="G103" s="207"/>
      <c r="H103" s="207"/>
      <c r="I103" s="207"/>
      <c r="J103" s="207"/>
      <c r="K103" s="207"/>
      <c r="L103" s="209"/>
      <c r="M103" s="210"/>
      <c r="N103" s="210"/>
      <c r="O103" s="207"/>
      <c r="P103" s="207"/>
      <c r="Q103" s="211"/>
      <c r="R103" s="211"/>
      <c r="S103" s="207"/>
      <c r="T103" s="211"/>
      <c r="U103" s="207"/>
      <c r="V103" s="212"/>
      <c r="W103" s="212"/>
      <c r="X103" s="207"/>
      <c r="Y103" s="207"/>
      <c r="Z103" s="207"/>
      <c r="AA103" s="213"/>
      <c r="AB103" s="209"/>
      <c r="AC103" s="19"/>
      <c r="AD103" s="46"/>
      <c r="AE103" s="14"/>
    </row>
    <row r="104">
      <c r="A104" s="158"/>
      <c r="B104" s="159"/>
      <c r="C104" s="160"/>
      <c r="D104" s="41"/>
      <c r="E104" s="41"/>
      <c r="F104" s="41"/>
      <c r="G104" s="207"/>
      <c r="H104" s="207"/>
      <c r="I104" s="207"/>
      <c r="J104" s="207"/>
      <c r="K104" s="207"/>
      <c r="L104" s="209"/>
      <c r="M104" s="210"/>
      <c r="N104" s="210"/>
      <c r="O104" s="207"/>
      <c r="P104" s="207"/>
      <c r="Q104" s="211"/>
      <c r="R104" s="211"/>
      <c r="S104" s="207"/>
      <c r="T104" s="211"/>
      <c r="U104" s="207"/>
      <c r="V104" s="212"/>
      <c r="W104" s="212"/>
      <c r="X104" s="207"/>
      <c r="Y104" s="207"/>
      <c r="Z104" s="207"/>
      <c r="AA104" s="213"/>
      <c r="AB104" s="209"/>
      <c r="AC104" s="19"/>
      <c r="AD104" s="46"/>
      <c r="AE104" s="14"/>
    </row>
    <row r="105">
      <c r="A105" s="158"/>
      <c r="B105" s="159"/>
      <c r="C105" s="160"/>
      <c r="D105" s="41"/>
      <c r="E105" s="41"/>
      <c r="F105" s="41"/>
      <c r="G105" s="207"/>
      <c r="H105" s="207"/>
      <c r="I105" s="207"/>
      <c r="J105" s="207"/>
      <c r="K105" s="207"/>
      <c r="L105" s="209"/>
      <c r="M105" s="210"/>
      <c r="N105" s="210"/>
      <c r="O105" s="207"/>
      <c r="P105" s="207"/>
      <c r="Q105" s="211"/>
      <c r="R105" s="211"/>
      <c r="S105" s="207"/>
      <c r="T105" s="211"/>
      <c r="U105" s="207"/>
      <c r="V105" s="212"/>
      <c r="W105" s="212"/>
      <c r="X105" s="207"/>
      <c r="Y105" s="207"/>
      <c r="Z105" s="209"/>
      <c r="AA105" s="209"/>
      <c r="AB105" s="209"/>
      <c r="AC105" s="19"/>
      <c r="AD105" s="46"/>
      <c r="AE105" s="14"/>
    </row>
    <row r="106">
      <c r="A106" s="158"/>
      <c r="B106" s="159"/>
      <c r="C106" s="160"/>
      <c r="D106" s="41"/>
      <c r="E106" s="41"/>
      <c r="F106" s="41"/>
      <c r="G106" s="207"/>
      <c r="H106" s="207"/>
      <c r="I106" s="207"/>
      <c r="J106" s="207"/>
      <c r="K106" s="207"/>
      <c r="L106" s="209"/>
      <c r="M106" s="210"/>
      <c r="N106" s="210"/>
      <c r="O106" s="207"/>
      <c r="P106" s="207"/>
      <c r="Q106" s="211"/>
      <c r="R106" s="211"/>
      <c r="S106" s="207"/>
      <c r="T106" s="211"/>
      <c r="U106" s="207"/>
      <c r="V106" s="212"/>
      <c r="W106" s="212"/>
      <c r="X106" s="207"/>
      <c r="Y106" s="207"/>
      <c r="Z106" s="207"/>
      <c r="AA106" s="213"/>
      <c r="AB106" s="209"/>
      <c r="AC106" s="19"/>
      <c r="AD106" s="46"/>
      <c r="AE106" s="14"/>
    </row>
    <row r="107">
      <c r="A107" s="158"/>
      <c r="B107" s="159"/>
      <c r="C107" s="160"/>
      <c r="D107" s="41"/>
      <c r="E107" s="41"/>
      <c r="F107" s="41"/>
      <c r="G107" s="207"/>
      <c r="H107" s="207"/>
      <c r="I107" s="207"/>
      <c r="J107" s="207"/>
      <c r="K107" s="207"/>
      <c r="L107" s="209"/>
      <c r="M107" s="210"/>
      <c r="N107" s="210"/>
      <c r="O107" s="207"/>
      <c r="P107" s="207"/>
      <c r="Q107" s="211"/>
      <c r="R107" s="211"/>
      <c r="S107" s="207"/>
      <c r="T107" s="211"/>
      <c r="U107" s="207"/>
      <c r="V107" s="212"/>
      <c r="W107" s="212"/>
      <c r="X107" s="207"/>
      <c r="Y107" s="207"/>
      <c r="Z107" s="209"/>
      <c r="AA107" s="209"/>
      <c r="AB107" s="209"/>
      <c r="AC107" s="19"/>
      <c r="AD107" s="46"/>
      <c r="AE107" s="14"/>
    </row>
    <row r="108">
      <c r="A108" s="158"/>
      <c r="B108" s="159"/>
      <c r="C108" s="160"/>
      <c r="D108" s="41"/>
      <c r="E108" s="41"/>
      <c r="F108" s="41"/>
      <c r="G108" s="207"/>
      <c r="H108" s="207"/>
      <c r="I108" s="207"/>
      <c r="J108" s="207"/>
      <c r="K108" s="207"/>
      <c r="L108" s="209"/>
      <c r="M108" s="210"/>
      <c r="N108" s="210"/>
      <c r="O108" s="207"/>
      <c r="P108" s="207"/>
      <c r="Q108" s="211"/>
      <c r="R108" s="211"/>
      <c r="S108" s="207"/>
      <c r="T108" s="211"/>
      <c r="U108" s="207"/>
      <c r="V108" s="212"/>
      <c r="W108" s="212"/>
      <c r="X108" s="207"/>
      <c r="Y108" s="207"/>
      <c r="Z108" s="207"/>
      <c r="AA108" s="213"/>
      <c r="AB108" s="209"/>
      <c r="AC108" s="19"/>
      <c r="AD108" s="46"/>
      <c r="AE108" s="14"/>
    </row>
    <row r="109">
      <c r="A109" s="158"/>
      <c r="B109" s="159"/>
      <c r="C109" s="160"/>
      <c r="D109" s="41"/>
      <c r="E109" s="41"/>
      <c r="F109" s="41"/>
      <c r="G109" s="207"/>
      <c r="H109" s="207"/>
      <c r="I109" s="207"/>
      <c r="J109" s="207"/>
      <c r="K109" s="207"/>
      <c r="L109" s="209"/>
      <c r="M109" s="210"/>
      <c r="N109" s="210"/>
      <c r="O109" s="207"/>
      <c r="P109" s="207"/>
      <c r="Q109" s="211"/>
      <c r="R109" s="211"/>
      <c r="S109" s="207"/>
      <c r="T109" s="211"/>
      <c r="U109" s="207"/>
      <c r="V109" s="212"/>
      <c r="W109" s="212"/>
      <c r="X109" s="207"/>
      <c r="Y109" s="207"/>
      <c r="Z109" s="209"/>
      <c r="AA109" s="209"/>
      <c r="AB109" s="209"/>
      <c r="AC109" s="19"/>
      <c r="AD109" s="46"/>
      <c r="AE109" s="14"/>
    </row>
    <row r="110">
      <c r="A110" s="158"/>
      <c r="B110" s="159"/>
      <c r="C110" s="160"/>
      <c r="D110" s="41"/>
      <c r="E110" s="41"/>
      <c r="F110" s="41"/>
      <c r="G110" s="207"/>
      <c r="H110" s="207"/>
      <c r="I110" s="207"/>
      <c r="J110" s="207"/>
      <c r="K110" s="207"/>
      <c r="L110" s="209"/>
      <c r="M110" s="210"/>
      <c r="N110" s="210"/>
      <c r="O110" s="207"/>
      <c r="P110" s="207"/>
      <c r="Q110" s="211"/>
      <c r="R110" s="211"/>
      <c r="S110" s="207"/>
      <c r="T110" s="211"/>
      <c r="U110" s="207"/>
      <c r="V110" s="212"/>
      <c r="W110" s="212"/>
      <c r="X110" s="207"/>
      <c r="Y110" s="207"/>
      <c r="Z110" s="209"/>
      <c r="AA110" s="209"/>
      <c r="AB110" s="209"/>
      <c r="AC110" s="19"/>
      <c r="AD110" s="46"/>
      <c r="AE110" s="14"/>
    </row>
    <row r="111">
      <c r="A111" s="158"/>
      <c r="B111" s="159"/>
      <c r="C111" s="160"/>
      <c r="D111" s="41"/>
      <c r="E111" s="41"/>
      <c r="F111" s="41"/>
      <c r="G111" s="207"/>
      <c r="H111" s="207"/>
      <c r="I111" s="207"/>
      <c r="J111" s="207"/>
      <c r="K111" s="207"/>
      <c r="L111" s="209"/>
      <c r="M111" s="210"/>
      <c r="N111" s="210"/>
      <c r="O111" s="207"/>
      <c r="P111" s="207"/>
      <c r="Q111" s="211"/>
      <c r="R111" s="211"/>
      <c r="S111" s="207"/>
      <c r="T111" s="211"/>
      <c r="U111" s="207"/>
      <c r="V111" s="212"/>
      <c r="W111" s="212"/>
      <c r="X111" s="207"/>
      <c r="Y111" s="207"/>
      <c r="Z111" s="209"/>
      <c r="AA111" s="209"/>
      <c r="AB111" s="209"/>
      <c r="AC111" s="19"/>
      <c r="AD111" s="46"/>
      <c r="AE111" s="14"/>
    </row>
    <row r="112">
      <c r="A112" s="158"/>
      <c r="B112" s="159"/>
      <c r="C112" s="160"/>
      <c r="D112" s="41"/>
      <c r="E112" s="41"/>
      <c r="F112" s="41"/>
      <c r="G112" s="207"/>
      <c r="H112" s="207"/>
      <c r="I112" s="207"/>
      <c r="J112" s="207"/>
      <c r="K112" s="207"/>
      <c r="L112" s="209"/>
      <c r="M112" s="210"/>
      <c r="N112" s="210"/>
      <c r="O112" s="207"/>
      <c r="P112" s="207"/>
      <c r="Q112" s="211"/>
      <c r="R112" s="211"/>
      <c r="S112" s="207"/>
      <c r="T112" s="211"/>
      <c r="U112" s="207"/>
      <c r="V112" s="212"/>
      <c r="W112" s="212"/>
      <c r="X112" s="207"/>
      <c r="Y112" s="207"/>
      <c r="Z112" s="209"/>
      <c r="AA112" s="209"/>
      <c r="AB112" s="209"/>
      <c r="AC112" s="19"/>
      <c r="AD112" s="46"/>
      <c r="AE112" s="14"/>
    </row>
    <row r="113">
      <c r="A113" s="158"/>
      <c r="B113" s="159"/>
      <c r="C113" s="160"/>
      <c r="D113" s="41"/>
      <c r="E113" s="41"/>
      <c r="F113" s="41"/>
      <c r="G113" s="207"/>
      <c r="H113" s="207"/>
      <c r="I113" s="207"/>
      <c r="J113" s="207"/>
      <c r="K113" s="207"/>
      <c r="L113" s="209"/>
      <c r="M113" s="210"/>
      <c r="N113" s="210"/>
      <c r="O113" s="207"/>
      <c r="P113" s="207"/>
      <c r="Q113" s="211"/>
      <c r="R113" s="211"/>
      <c r="S113" s="207"/>
      <c r="T113" s="211"/>
      <c r="U113" s="207"/>
      <c r="V113" s="212"/>
      <c r="W113" s="212"/>
      <c r="X113" s="207"/>
      <c r="Y113" s="207"/>
      <c r="Z113" s="209"/>
      <c r="AA113" s="209"/>
      <c r="AB113" s="209"/>
      <c r="AC113" s="19"/>
      <c r="AD113" s="46"/>
      <c r="AE113" s="14"/>
    </row>
    <row r="114">
      <c r="A114" s="158"/>
      <c r="B114" s="159"/>
      <c r="C114" s="160"/>
      <c r="D114" s="41"/>
      <c r="E114" s="41"/>
      <c r="F114" s="41"/>
      <c r="G114" s="207"/>
      <c r="H114" s="207"/>
      <c r="I114" s="207"/>
      <c r="J114" s="207"/>
      <c r="K114" s="207"/>
      <c r="L114" s="209"/>
      <c r="M114" s="210"/>
      <c r="N114" s="210"/>
      <c r="O114" s="207"/>
      <c r="P114" s="207"/>
      <c r="Q114" s="211"/>
      <c r="R114" s="211"/>
      <c r="S114" s="207"/>
      <c r="T114" s="211"/>
      <c r="U114" s="207"/>
      <c r="V114" s="212"/>
      <c r="W114" s="212"/>
      <c r="X114" s="207"/>
      <c r="Y114" s="207"/>
      <c r="Z114" s="209"/>
      <c r="AA114" s="209"/>
      <c r="AB114" s="209"/>
      <c r="AC114" s="19"/>
      <c r="AD114" s="46"/>
      <c r="AE114" s="14"/>
    </row>
    <row r="115">
      <c r="A115" s="158"/>
      <c r="B115" s="159"/>
      <c r="C115" s="160"/>
      <c r="D115" s="41"/>
      <c r="E115" s="41"/>
      <c r="F115" s="41"/>
      <c r="G115" s="207"/>
      <c r="H115" s="207"/>
      <c r="I115" s="207"/>
      <c r="J115" s="207"/>
      <c r="K115" s="207"/>
      <c r="L115" s="209"/>
      <c r="M115" s="210"/>
      <c r="N115" s="210"/>
      <c r="O115" s="207"/>
      <c r="P115" s="207"/>
      <c r="Q115" s="211"/>
      <c r="R115" s="211"/>
      <c r="S115" s="207"/>
      <c r="T115" s="211"/>
      <c r="U115" s="207"/>
      <c r="V115" s="212"/>
      <c r="W115" s="212"/>
      <c r="X115" s="207"/>
      <c r="Y115" s="207"/>
      <c r="Z115" s="207"/>
      <c r="AA115" s="213"/>
      <c r="AB115" s="209"/>
      <c r="AC115" s="19"/>
      <c r="AD115" s="46"/>
      <c r="AE115" s="14"/>
    </row>
    <row r="116">
      <c r="A116" s="158"/>
      <c r="B116" s="159"/>
      <c r="C116" s="160"/>
      <c r="D116" s="41"/>
      <c r="E116" s="41"/>
      <c r="F116" s="41"/>
      <c r="G116" s="207"/>
      <c r="H116" s="207"/>
      <c r="I116" s="207"/>
      <c r="J116" s="207"/>
      <c r="K116" s="207"/>
      <c r="L116" s="209"/>
      <c r="M116" s="210"/>
      <c r="N116" s="210"/>
      <c r="O116" s="207"/>
      <c r="P116" s="207"/>
      <c r="Q116" s="211"/>
      <c r="R116" s="211"/>
      <c r="S116" s="207"/>
      <c r="T116" s="211"/>
      <c r="U116" s="207"/>
      <c r="V116" s="212"/>
      <c r="W116" s="212"/>
      <c r="X116" s="207"/>
      <c r="Y116" s="207"/>
      <c r="Z116" s="207"/>
      <c r="AA116" s="213"/>
      <c r="AB116" s="209"/>
      <c r="AC116" s="19"/>
      <c r="AD116" s="46"/>
      <c r="AE116" s="14"/>
    </row>
    <row r="117">
      <c r="A117" s="158"/>
      <c r="B117" s="159"/>
      <c r="C117" s="160"/>
      <c r="D117" s="41"/>
      <c r="E117" s="41"/>
      <c r="F117" s="41"/>
      <c r="G117" s="207"/>
      <c r="H117" s="207"/>
      <c r="I117" s="207"/>
      <c r="J117" s="207"/>
      <c r="K117" s="207"/>
      <c r="L117" s="209"/>
      <c r="M117" s="210"/>
      <c r="N117" s="210"/>
      <c r="O117" s="207"/>
      <c r="P117" s="207"/>
      <c r="Q117" s="211"/>
      <c r="R117" s="211"/>
      <c r="S117" s="207"/>
      <c r="T117" s="211"/>
      <c r="U117" s="207"/>
      <c r="V117" s="212"/>
      <c r="W117" s="212"/>
      <c r="X117" s="207"/>
      <c r="Y117" s="207"/>
      <c r="Z117" s="207"/>
      <c r="AA117" s="213"/>
      <c r="AB117" s="209"/>
      <c r="AC117" s="19"/>
      <c r="AD117" s="46"/>
      <c r="AE117" s="14"/>
    </row>
    <row r="118">
      <c r="A118" s="158"/>
      <c r="B118" s="159"/>
      <c r="C118" s="160"/>
      <c r="D118" s="41"/>
      <c r="E118" s="41"/>
      <c r="F118" s="41"/>
      <c r="G118" s="207"/>
      <c r="H118" s="207"/>
      <c r="I118" s="207"/>
      <c r="J118" s="207"/>
      <c r="K118" s="207"/>
      <c r="L118" s="209"/>
      <c r="M118" s="210"/>
      <c r="N118" s="210"/>
      <c r="O118" s="207"/>
      <c r="P118" s="207"/>
      <c r="Q118" s="211"/>
      <c r="R118" s="211"/>
      <c r="S118" s="207"/>
      <c r="T118" s="211"/>
      <c r="U118" s="207"/>
      <c r="V118" s="212"/>
      <c r="W118" s="212"/>
      <c r="X118" s="207"/>
      <c r="Y118" s="207"/>
      <c r="Z118" s="209"/>
      <c r="AA118" s="209"/>
      <c r="AB118" s="209"/>
      <c r="AC118" s="19"/>
      <c r="AD118" s="46"/>
      <c r="AE118" s="14"/>
    </row>
    <row r="119">
      <c r="A119" s="158"/>
      <c r="B119" s="159"/>
      <c r="C119" s="160"/>
      <c r="D119" s="41"/>
      <c r="E119" s="41"/>
      <c r="F119" s="41"/>
      <c r="G119" s="207"/>
      <c r="H119" s="207"/>
      <c r="I119" s="207"/>
      <c r="J119" s="207"/>
      <c r="K119" s="207"/>
      <c r="L119" s="209"/>
      <c r="M119" s="210"/>
      <c r="N119" s="210"/>
      <c r="O119" s="207"/>
      <c r="P119" s="207"/>
      <c r="Q119" s="211"/>
      <c r="R119" s="211"/>
      <c r="S119" s="207"/>
      <c r="T119" s="211"/>
      <c r="U119" s="207"/>
      <c r="V119" s="212"/>
      <c r="W119" s="212"/>
      <c r="X119" s="207"/>
      <c r="Y119" s="207"/>
      <c r="Z119" s="209"/>
      <c r="AA119" s="209"/>
      <c r="AB119" s="209"/>
      <c r="AC119" s="19"/>
      <c r="AD119" s="46"/>
      <c r="AE119" s="14"/>
    </row>
    <row r="120">
      <c r="A120" s="158"/>
      <c r="B120" s="159"/>
      <c r="C120" s="160"/>
      <c r="D120" s="41"/>
      <c r="E120" s="41"/>
      <c r="F120" s="41"/>
      <c r="G120" s="207"/>
      <c r="H120" s="207"/>
      <c r="I120" s="207"/>
      <c r="J120" s="207"/>
      <c r="K120" s="207"/>
      <c r="L120" s="209"/>
      <c r="M120" s="210"/>
      <c r="N120" s="210"/>
      <c r="O120" s="207"/>
      <c r="P120" s="207"/>
      <c r="Q120" s="211"/>
      <c r="R120" s="211"/>
      <c r="S120" s="207"/>
      <c r="T120" s="211"/>
      <c r="U120" s="207"/>
      <c r="V120" s="212"/>
      <c r="W120" s="212"/>
      <c r="X120" s="207"/>
      <c r="Y120" s="207"/>
      <c r="Z120" s="209"/>
      <c r="AA120" s="209"/>
      <c r="AB120" s="209"/>
      <c r="AC120" s="19"/>
      <c r="AD120" s="46"/>
      <c r="AE120" s="14"/>
    </row>
    <row r="121">
      <c r="A121" s="158"/>
      <c r="B121" s="159"/>
      <c r="C121" s="160"/>
      <c r="D121" s="41"/>
      <c r="E121" s="41"/>
      <c r="F121" s="41"/>
      <c r="G121" s="207"/>
      <c r="H121" s="207"/>
      <c r="I121" s="207"/>
      <c r="J121" s="207"/>
      <c r="K121" s="207"/>
      <c r="L121" s="209"/>
      <c r="M121" s="210"/>
      <c r="N121" s="210"/>
      <c r="O121" s="207"/>
      <c r="P121" s="207"/>
      <c r="Q121" s="211"/>
      <c r="R121" s="211"/>
      <c r="S121" s="207"/>
      <c r="T121" s="211"/>
      <c r="U121" s="207"/>
      <c r="V121" s="212"/>
      <c r="W121" s="212"/>
      <c r="X121" s="207"/>
      <c r="Y121" s="207"/>
      <c r="Z121" s="207"/>
      <c r="AA121" s="213"/>
      <c r="AB121" s="209"/>
      <c r="AC121" s="19"/>
      <c r="AD121" s="46"/>
      <c r="AE121" s="14"/>
    </row>
    <row r="122">
      <c r="A122" s="158"/>
      <c r="B122" s="159"/>
      <c r="C122" s="160"/>
      <c r="D122" s="41"/>
      <c r="E122" s="41"/>
      <c r="F122" s="41"/>
      <c r="G122" s="207"/>
      <c r="H122" s="207"/>
      <c r="I122" s="207"/>
      <c r="J122" s="207"/>
      <c r="K122" s="207"/>
      <c r="L122" s="209"/>
      <c r="M122" s="210"/>
      <c r="N122" s="210"/>
      <c r="O122" s="207"/>
      <c r="P122" s="207"/>
      <c r="Q122" s="211"/>
      <c r="R122" s="211"/>
      <c r="S122" s="207"/>
      <c r="T122" s="211"/>
      <c r="U122" s="207"/>
      <c r="V122" s="212"/>
      <c r="W122" s="212"/>
      <c r="X122" s="207"/>
      <c r="Y122" s="207"/>
      <c r="Z122" s="207"/>
      <c r="AA122" s="213"/>
      <c r="AB122" s="209"/>
      <c r="AC122" s="19"/>
      <c r="AD122" s="46"/>
      <c r="AE122" s="14"/>
    </row>
    <row r="123">
      <c r="A123" s="158"/>
      <c r="B123" s="159"/>
      <c r="C123" s="160"/>
      <c r="D123" s="41"/>
      <c r="E123" s="41"/>
      <c r="F123" s="41"/>
      <c r="G123" s="207"/>
      <c r="H123" s="207"/>
      <c r="I123" s="207"/>
      <c r="J123" s="207"/>
      <c r="K123" s="207"/>
      <c r="L123" s="209"/>
      <c r="M123" s="210"/>
      <c r="N123" s="210"/>
      <c r="O123" s="207"/>
      <c r="P123" s="207"/>
      <c r="Q123" s="211"/>
      <c r="R123" s="211"/>
      <c r="S123" s="207"/>
      <c r="T123" s="211"/>
      <c r="U123" s="207"/>
      <c r="V123" s="212"/>
      <c r="W123" s="212"/>
      <c r="X123" s="207"/>
      <c r="Y123" s="207"/>
      <c r="Z123" s="209"/>
      <c r="AA123" s="209"/>
      <c r="AB123" s="209"/>
      <c r="AC123" s="19"/>
      <c r="AD123" s="46"/>
      <c r="AE123" s="14"/>
    </row>
    <row r="124">
      <c r="A124" s="158"/>
      <c r="B124" s="159"/>
      <c r="C124" s="160"/>
      <c r="D124" s="41"/>
      <c r="E124" s="41"/>
      <c r="F124" s="41"/>
      <c r="G124" s="207"/>
      <c r="H124" s="207"/>
      <c r="I124" s="207"/>
      <c r="J124" s="207"/>
      <c r="K124" s="207"/>
      <c r="L124" s="209"/>
      <c r="M124" s="210"/>
      <c r="N124" s="210"/>
      <c r="O124" s="207"/>
      <c r="P124" s="207"/>
      <c r="Q124" s="211"/>
      <c r="R124" s="211"/>
      <c r="S124" s="207"/>
      <c r="T124" s="211"/>
      <c r="U124" s="207"/>
      <c r="V124" s="212"/>
      <c r="W124" s="212"/>
      <c r="X124" s="207"/>
      <c r="Y124" s="207"/>
      <c r="Z124" s="209"/>
      <c r="AA124" s="212"/>
      <c r="AB124" s="209"/>
      <c r="AC124" s="19"/>
      <c r="AD124" s="46"/>
      <c r="AE124" s="14"/>
    </row>
    <row r="125">
      <c r="A125" s="158"/>
      <c r="B125" s="159"/>
      <c r="C125" s="160"/>
      <c r="D125" s="41"/>
      <c r="E125" s="41"/>
      <c r="F125" s="41"/>
      <c r="G125" s="207"/>
      <c r="H125" s="207"/>
      <c r="I125" s="207"/>
      <c r="J125" s="207"/>
      <c r="K125" s="207"/>
      <c r="L125" s="209"/>
      <c r="M125" s="210"/>
      <c r="N125" s="210"/>
      <c r="O125" s="207"/>
      <c r="P125" s="207"/>
      <c r="Q125" s="211"/>
      <c r="R125" s="211"/>
      <c r="S125" s="207"/>
      <c r="T125" s="211"/>
      <c r="U125" s="207"/>
      <c r="V125" s="212"/>
      <c r="W125" s="212"/>
      <c r="X125" s="209"/>
      <c r="Y125" s="207"/>
      <c r="Z125" s="209"/>
      <c r="AA125" s="209"/>
      <c r="AB125" s="209"/>
      <c r="AC125" s="19"/>
      <c r="AD125" s="46"/>
      <c r="AE125" s="14"/>
    </row>
    <row r="126">
      <c r="A126" s="158"/>
      <c r="B126" s="159"/>
      <c r="C126" s="160"/>
      <c r="D126" s="41"/>
      <c r="E126" s="41"/>
      <c r="F126" s="41"/>
      <c r="G126" s="207"/>
      <c r="H126" s="207"/>
      <c r="I126" s="207"/>
      <c r="J126" s="207"/>
      <c r="K126" s="207"/>
      <c r="L126" s="209"/>
      <c r="M126" s="210"/>
      <c r="N126" s="210"/>
      <c r="O126" s="207"/>
      <c r="P126" s="207"/>
      <c r="Q126" s="211"/>
      <c r="R126" s="211"/>
      <c r="S126" s="207"/>
      <c r="T126" s="211"/>
      <c r="U126" s="207"/>
      <c r="V126" s="212"/>
      <c r="W126" s="212"/>
      <c r="X126" s="207"/>
      <c r="Y126" s="207"/>
      <c r="Z126" s="207"/>
      <c r="AA126" s="213"/>
      <c r="AB126" s="209"/>
      <c r="AC126" s="19"/>
      <c r="AD126" s="46"/>
      <c r="AE126" s="14"/>
    </row>
    <row r="127">
      <c r="A127" s="158"/>
      <c r="B127" s="159"/>
      <c r="C127" s="160"/>
      <c r="D127" s="41"/>
      <c r="E127" s="41"/>
      <c r="F127" s="41"/>
      <c r="G127" s="207"/>
      <c r="H127" s="207"/>
      <c r="I127" s="207"/>
      <c r="J127" s="207"/>
      <c r="K127" s="207"/>
      <c r="L127" s="209"/>
      <c r="M127" s="210"/>
      <c r="N127" s="210"/>
      <c r="O127" s="207"/>
      <c r="P127" s="207"/>
      <c r="Q127" s="211"/>
      <c r="R127" s="211"/>
      <c r="S127" s="207"/>
      <c r="T127" s="211"/>
      <c r="U127" s="207"/>
      <c r="V127" s="212"/>
      <c r="W127" s="212"/>
      <c r="X127" s="207"/>
      <c r="Y127" s="207"/>
      <c r="Z127" s="207"/>
      <c r="AA127" s="213"/>
      <c r="AB127" s="209"/>
      <c r="AC127" s="19"/>
      <c r="AD127" s="46"/>
      <c r="AE127" s="14"/>
    </row>
    <row r="128">
      <c r="A128" s="158"/>
      <c r="B128" s="159"/>
      <c r="C128" s="160"/>
      <c r="D128" s="41"/>
      <c r="E128" s="41"/>
      <c r="F128" s="41"/>
      <c r="G128" s="207"/>
      <c r="H128" s="207"/>
      <c r="I128" s="207"/>
      <c r="J128" s="207"/>
      <c r="K128" s="207"/>
      <c r="L128" s="209"/>
      <c r="M128" s="210"/>
      <c r="N128" s="210"/>
      <c r="O128" s="207"/>
      <c r="P128" s="207"/>
      <c r="Q128" s="211"/>
      <c r="R128" s="211"/>
      <c r="S128" s="207"/>
      <c r="T128" s="211"/>
      <c r="U128" s="207"/>
      <c r="V128" s="212"/>
      <c r="W128" s="212"/>
      <c r="X128" s="207"/>
      <c r="Y128" s="207"/>
      <c r="Z128" s="209"/>
      <c r="AA128" s="209"/>
      <c r="AB128" s="209"/>
      <c r="AC128" s="19"/>
      <c r="AD128" s="46"/>
      <c r="AE128" s="14"/>
    </row>
    <row r="129">
      <c r="A129" s="158"/>
      <c r="B129" s="159"/>
      <c r="C129" s="160"/>
      <c r="D129" s="41"/>
      <c r="E129" s="41"/>
      <c r="F129" s="41"/>
      <c r="G129" s="207"/>
      <c r="H129" s="207"/>
      <c r="I129" s="207"/>
      <c r="J129" s="207"/>
      <c r="K129" s="207"/>
      <c r="L129" s="209"/>
      <c r="M129" s="210"/>
      <c r="N129" s="210"/>
      <c r="O129" s="207"/>
      <c r="P129" s="207"/>
      <c r="Q129" s="211"/>
      <c r="R129" s="211"/>
      <c r="S129" s="207"/>
      <c r="T129" s="211"/>
      <c r="U129" s="207"/>
      <c r="V129" s="212"/>
      <c r="W129" s="212"/>
      <c r="X129" s="207"/>
      <c r="Y129" s="207"/>
      <c r="Z129" s="209"/>
      <c r="AA129" s="209"/>
      <c r="AB129" s="209"/>
      <c r="AC129" s="19"/>
      <c r="AD129" s="46"/>
      <c r="AE129" s="14"/>
    </row>
    <row r="130">
      <c r="A130" s="158"/>
      <c r="B130" s="159"/>
      <c r="C130" s="160"/>
      <c r="D130" s="41"/>
      <c r="E130" s="41"/>
      <c r="F130" s="41"/>
      <c r="G130" s="207"/>
      <c r="H130" s="207"/>
      <c r="I130" s="207"/>
      <c r="J130" s="207"/>
      <c r="K130" s="207"/>
      <c r="L130" s="209"/>
      <c r="M130" s="210"/>
      <c r="N130" s="210"/>
      <c r="O130" s="207"/>
      <c r="P130" s="207"/>
      <c r="Q130" s="211"/>
      <c r="R130" s="211"/>
      <c r="S130" s="207"/>
      <c r="T130" s="211"/>
      <c r="U130" s="207"/>
      <c r="V130" s="212"/>
      <c r="W130" s="212"/>
      <c r="X130" s="207"/>
      <c r="Y130" s="207"/>
      <c r="Z130" s="209"/>
      <c r="AA130" s="209"/>
      <c r="AB130" s="209"/>
      <c r="AC130" s="19"/>
      <c r="AD130" s="46"/>
      <c r="AE130" s="14"/>
    </row>
    <row r="131">
      <c r="A131" s="158"/>
      <c r="B131" s="159"/>
      <c r="C131" s="160"/>
      <c r="D131" s="41"/>
      <c r="E131" s="41"/>
      <c r="F131" s="41"/>
      <c r="G131" s="207"/>
      <c r="H131" s="207"/>
      <c r="I131" s="207"/>
      <c r="J131" s="207"/>
      <c r="K131" s="207"/>
      <c r="L131" s="209"/>
      <c r="M131" s="210"/>
      <c r="N131" s="210"/>
      <c r="O131" s="207"/>
      <c r="P131" s="207"/>
      <c r="Q131" s="211"/>
      <c r="R131" s="211"/>
      <c r="S131" s="207"/>
      <c r="T131" s="211"/>
      <c r="U131" s="207"/>
      <c r="V131" s="212"/>
      <c r="W131" s="212"/>
      <c r="X131" s="207"/>
      <c r="Y131" s="207"/>
      <c r="Z131" s="207"/>
      <c r="AA131" s="212"/>
      <c r="AB131" s="209"/>
      <c r="AC131" s="19"/>
      <c r="AD131" s="46"/>
      <c r="AE131" s="14"/>
    </row>
    <row r="132">
      <c r="A132" s="158"/>
      <c r="B132" s="159"/>
      <c r="C132" s="160"/>
      <c r="D132" s="41"/>
      <c r="E132" s="41"/>
      <c r="F132" s="41"/>
      <c r="G132" s="207"/>
      <c r="H132" s="207"/>
      <c r="I132" s="207"/>
      <c r="J132" s="207"/>
      <c r="K132" s="207"/>
      <c r="L132" s="209"/>
      <c r="M132" s="210"/>
      <c r="N132" s="210"/>
      <c r="O132" s="207"/>
      <c r="P132" s="207"/>
      <c r="Q132" s="211"/>
      <c r="R132" s="211"/>
      <c r="S132" s="207"/>
      <c r="T132" s="211"/>
      <c r="U132" s="207"/>
      <c r="V132" s="212"/>
      <c r="W132" s="212"/>
      <c r="X132" s="207"/>
      <c r="Y132" s="207"/>
      <c r="Z132" s="209"/>
      <c r="AA132" s="209"/>
      <c r="AB132" s="209"/>
      <c r="AC132" s="19"/>
      <c r="AD132" s="46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59" t="s">
        <v>71</v>
      </c>
      <c r="B1" s="9"/>
      <c r="C1" s="12"/>
      <c r="D1" s="15"/>
      <c r="E1" s="12"/>
      <c r="F1" s="12"/>
      <c r="G1" s="12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7"/>
      <c r="B2" s="28"/>
      <c r="C2" s="12"/>
      <c r="D2" s="15"/>
      <c r="E2" s="12"/>
      <c r="F2" s="12"/>
      <c r="G2" s="12"/>
      <c r="H2" s="18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76" t="s">
        <v>16</v>
      </c>
      <c r="B3" s="76" t="s">
        <v>2</v>
      </c>
      <c r="C3" s="77" t="s">
        <v>17</v>
      </c>
      <c r="D3" s="79" t="s">
        <v>18</v>
      </c>
      <c r="E3" s="77" t="s">
        <v>19</v>
      </c>
      <c r="F3" s="80" t="s">
        <v>20</v>
      </c>
      <c r="G3" s="77" t="s">
        <v>22</v>
      </c>
      <c r="H3" s="76" t="s">
        <v>23</v>
      </c>
      <c r="I3" s="76" t="s">
        <v>24</v>
      </c>
      <c r="J3" s="76" t="s">
        <v>25</v>
      </c>
      <c r="K3" s="76" t="s">
        <v>28</v>
      </c>
      <c r="L3" s="76" t="s">
        <v>30</v>
      </c>
      <c r="M3" s="76" t="s">
        <v>33</v>
      </c>
      <c r="N3" s="76" t="s">
        <v>36</v>
      </c>
      <c r="O3" s="76" t="s">
        <v>39</v>
      </c>
      <c r="P3" s="76" t="s">
        <v>42</v>
      </c>
      <c r="Q3" s="76" t="s">
        <v>44</v>
      </c>
      <c r="R3" s="76" t="s">
        <v>46</v>
      </c>
      <c r="S3" s="76" t="s">
        <v>49</v>
      </c>
      <c r="T3" s="76" t="s">
        <v>23</v>
      </c>
      <c r="U3" s="76" t="s">
        <v>24</v>
      </c>
      <c r="V3" s="76" t="s">
        <v>25</v>
      </c>
      <c r="W3" s="76" t="s">
        <v>28</v>
      </c>
      <c r="X3" s="76" t="s">
        <v>30</v>
      </c>
      <c r="Y3" s="76" t="s">
        <v>33</v>
      </c>
      <c r="Z3" s="86" t="s">
        <v>36</v>
      </c>
      <c r="AA3" s="76" t="s">
        <v>39</v>
      </c>
      <c r="AB3" s="76" t="s">
        <v>42</v>
      </c>
      <c r="AC3" s="76" t="s">
        <v>44</v>
      </c>
      <c r="AD3" s="76" t="s">
        <v>46</v>
      </c>
      <c r="AE3" s="76" t="s">
        <v>49</v>
      </c>
      <c r="AF3" s="88" t="s">
        <v>23</v>
      </c>
      <c r="AG3" s="88" t="s">
        <v>24</v>
      </c>
      <c r="AH3" s="88" t="s">
        <v>25</v>
      </c>
      <c r="AI3" s="88" t="s">
        <v>28</v>
      </c>
      <c r="AJ3" s="88" t="s">
        <v>30</v>
      </c>
      <c r="AK3" s="88" t="s">
        <v>33</v>
      </c>
      <c r="AL3" s="88" t="s">
        <v>36</v>
      </c>
      <c r="AM3" s="88" t="s">
        <v>39</v>
      </c>
      <c r="AN3" s="88" t="s">
        <v>42</v>
      </c>
      <c r="AO3" s="88" t="s">
        <v>44</v>
      </c>
      <c r="AP3" s="88" t="s">
        <v>46</v>
      </c>
      <c r="AQ3" s="88" t="s">
        <v>49</v>
      </c>
      <c r="AR3" s="88" t="s">
        <v>23</v>
      </c>
      <c r="AS3" s="88" t="s">
        <v>24</v>
      </c>
      <c r="AT3" s="88" t="s">
        <v>25</v>
      </c>
      <c r="AU3" s="88" t="s">
        <v>28</v>
      </c>
      <c r="AV3" s="88" t="s">
        <v>30</v>
      </c>
      <c r="AW3" s="88" t="s">
        <v>33</v>
      </c>
      <c r="AX3" s="88" t="s">
        <v>36</v>
      </c>
      <c r="AY3" s="88" t="s">
        <v>39</v>
      </c>
      <c r="AZ3" s="88" t="s">
        <v>42</v>
      </c>
      <c r="BA3" s="88" t="s">
        <v>44</v>
      </c>
      <c r="BB3" s="88" t="s">
        <v>46</v>
      </c>
      <c r="BC3" s="88" t="s">
        <v>49</v>
      </c>
      <c r="BD3" s="93" t="s">
        <v>23</v>
      </c>
      <c r="BE3" s="93" t="s">
        <v>24</v>
      </c>
      <c r="BF3" s="93" t="s">
        <v>25</v>
      </c>
      <c r="BG3" s="93" t="s">
        <v>28</v>
      </c>
      <c r="BH3" s="93" t="s">
        <v>30</v>
      </c>
      <c r="BI3" s="93" t="s">
        <v>33</v>
      </c>
      <c r="BJ3" s="93" t="s">
        <v>36</v>
      </c>
      <c r="BK3" s="93" t="s">
        <v>39</v>
      </c>
      <c r="BL3" s="93" t="s">
        <v>42</v>
      </c>
      <c r="BM3" s="93" t="s">
        <v>44</v>
      </c>
      <c r="BN3" s="93" t="s">
        <v>46</v>
      </c>
      <c r="BO3" s="93" t="s">
        <v>49</v>
      </c>
      <c r="BP3" s="93" t="s">
        <v>23</v>
      </c>
      <c r="BQ3" s="93" t="s">
        <v>24</v>
      </c>
      <c r="BR3" s="93" t="s">
        <v>25</v>
      </c>
      <c r="BS3" s="93" t="s">
        <v>28</v>
      </c>
      <c r="BT3" s="93" t="s">
        <v>30</v>
      </c>
      <c r="BU3" s="93" t="s">
        <v>33</v>
      </c>
      <c r="BV3" s="93" t="s">
        <v>36</v>
      </c>
      <c r="BW3" s="93" t="s">
        <v>39</v>
      </c>
      <c r="BX3" s="93" t="s">
        <v>42</v>
      </c>
      <c r="BY3" s="93" t="s">
        <v>44</v>
      </c>
      <c r="BZ3" s="93" t="s">
        <v>46</v>
      </c>
      <c r="CA3" s="93" t="s">
        <v>49</v>
      </c>
      <c r="CB3" s="95" t="s">
        <v>58</v>
      </c>
      <c r="CC3" s="96"/>
    </row>
    <row r="4">
      <c r="A4" s="51" t="s">
        <v>101</v>
      </c>
      <c r="B4" s="51">
        <f>VLOOKUP(A4,SILOMS!C:F,4,0)</f>
        <v>2736</v>
      </c>
      <c r="C4" s="58">
        <f>VLOOKUP(A4,SILOMS!O:Q,3,0)</f>
        <v>166.3472222</v>
      </c>
      <c r="D4" s="60">
        <f>IF(C4*24&lt;1500,1500-(C4*24),IF(C4*24&lt;3000,3000-(C4*24),4200-(C4*24)))
</f>
        <v>207.6666667</v>
      </c>
      <c r="E4" s="51">
        <f>VLOOKUP(B4,'Hora por anv'!B:D,3,0)</f>
        <v>55.52851064</v>
      </c>
      <c r="F4" s="65">
        <f>E4*'Hora por anv'!$H$1</f>
        <v>260.984</v>
      </c>
      <c r="G4" s="67">
        <f t="shared" ref="G4:G42" si="1">D4/E4</f>
        <v>3.739820576</v>
      </c>
      <c r="H4" s="68">
        <v>1.0</v>
      </c>
      <c r="I4" s="68">
        <v>1.0</v>
      </c>
      <c r="J4" s="68">
        <v>1.0</v>
      </c>
      <c r="K4" s="68"/>
      <c r="L4" s="68"/>
      <c r="M4" s="71"/>
      <c r="N4" s="71"/>
      <c r="O4" s="72"/>
      <c r="Q4" s="73"/>
      <c r="R4" s="106"/>
      <c r="S4" s="72"/>
      <c r="T4" s="75"/>
      <c r="U4" s="75"/>
      <c r="V4" s="75"/>
      <c r="W4" s="75"/>
      <c r="X4" s="75"/>
      <c r="Y4" s="75"/>
      <c r="Z4" s="109"/>
      <c r="AA4" s="75"/>
      <c r="AB4" s="75"/>
      <c r="AC4" s="75"/>
      <c r="AD4" s="75"/>
      <c r="AE4" s="78" t="s">
        <v>51</v>
      </c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83"/>
      <c r="BE4" s="83"/>
      <c r="BF4" s="83"/>
      <c r="BG4" s="83"/>
      <c r="BH4" s="83"/>
      <c r="BI4" s="83"/>
      <c r="BJ4" s="83"/>
      <c r="BK4" s="83"/>
      <c r="BL4" s="83"/>
      <c r="BM4" s="83"/>
      <c r="BN4" s="83"/>
      <c r="BO4" s="83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07" t="s">
        <v>123</v>
      </c>
      <c r="CC4" s="118" t="s">
        <v>124</v>
      </c>
    </row>
    <row r="5" hidden="1">
      <c r="A5" s="51" t="s">
        <v>59</v>
      </c>
      <c r="B5" s="51" t="b">
        <f>VLOOKUP(A5,SILOMS!C:F,4,0)</f>
        <v>0</v>
      </c>
      <c r="C5" s="58">
        <f>VLOOKUP(A5,SILOMS!O:Q,3,0)</f>
        <v>185.4131944</v>
      </c>
      <c r="D5" s="60">
        <f>IF(C5*24&lt;1500,1500-(C5*24),IF(C5*24&lt;3000,3000-(C5*24),4450-(C5*24)))
</f>
        <v>0.08333333333</v>
      </c>
      <c r="E5" s="51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8" t="s">
        <v>77</v>
      </c>
      <c r="I5" s="68" t="s">
        <v>77</v>
      </c>
      <c r="J5" s="68" t="s">
        <v>77</v>
      </c>
      <c r="K5" s="68" t="s">
        <v>77</v>
      </c>
      <c r="L5" s="68" t="s">
        <v>77</v>
      </c>
      <c r="M5" s="71"/>
      <c r="N5" s="71"/>
      <c r="O5" s="72"/>
      <c r="Q5" s="73" t="s">
        <v>84</v>
      </c>
      <c r="R5" s="120"/>
      <c r="S5" s="72"/>
      <c r="T5" s="75"/>
      <c r="U5" s="75"/>
      <c r="V5" s="75"/>
      <c r="W5" s="75"/>
      <c r="X5" s="75"/>
      <c r="Y5" s="78" t="s">
        <v>51</v>
      </c>
      <c r="Z5" s="75"/>
      <c r="AA5" s="75"/>
      <c r="AB5" s="75"/>
      <c r="AC5" s="75"/>
      <c r="AD5" s="75"/>
      <c r="AE5" s="75"/>
      <c r="AF5" s="82"/>
      <c r="AG5" s="82"/>
      <c r="AH5" s="83"/>
      <c r="AI5" s="82"/>
      <c r="AJ5" s="82"/>
      <c r="AK5" s="82"/>
      <c r="AL5" s="82"/>
      <c r="AM5" s="82"/>
      <c r="AN5" s="82"/>
      <c r="AO5" s="82"/>
      <c r="AP5" s="82"/>
      <c r="AQ5" s="8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83"/>
      <c r="BE5" s="83"/>
      <c r="BF5" s="83"/>
      <c r="BG5" s="83"/>
      <c r="BH5" s="83"/>
      <c r="BI5" s="83"/>
      <c r="BJ5" s="83"/>
      <c r="BK5" s="83"/>
      <c r="BL5" s="83"/>
      <c r="BM5" s="83"/>
      <c r="BN5" s="83"/>
      <c r="BO5" s="83"/>
      <c r="BP5" s="112"/>
      <c r="BQ5" s="112"/>
      <c r="BR5" s="112"/>
      <c r="BS5" s="112"/>
      <c r="BT5" s="112"/>
      <c r="BU5" s="112"/>
      <c r="BV5" s="112"/>
      <c r="BW5" s="112"/>
      <c r="BX5" s="112"/>
      <c r="BY5" s="112"/>
      <c r="BZ5" s="112"/>
      <c r="CA5" s="112"/>
      <c r="CB5" s="84" t="s">
        <v>86</v>
      </c>
      <c r="CC5" s="85" t="s">
        <v>88</v>
      </c>
    </row>
    <row r="6">
      <c r="A6" s="51" t="s">
        <v>113</v>
      </c>
      <c r="B6" s="51">
        <f>VLOOKUP(A6,SILOMS!C:F,4,0)</f>
        <v>2743</v>
      </c>
      <c r="C6" s="58">
        <f>VLOOKUP(A6,SILOMS!O:Q,3,0)</f>
        <v>183.8715278</v>
      </c>
      <c r="D6" s="60">
        <f>IF(C6*24&lt;1500,1500-(C6*24),IF(C6*24&lt;3000,3000-(C6*24),4500-(C6*24)))
</f>
        <v>87.08333333</v>
      </c>
      <c r="E6" s="51">
        <f>VLOOKUP(B6,'Hora por anv'!B:D,3,0)</f>
        <v>95.14042553</v>
      </c>
      <c r="F6" s="65">
        <f>E6*'Hora por anv'!$H$1</f>
        <v>447.16</v>
      </c>
      <c r="G6" s="67">
        <f t="shared" si="1"/>
        <v>0.9153136834</v>
      </c>
      <c r="H6" s="68">
        <v>1.0</v>
      </c>
      <c r="I6" s="68">
        <v>1.0</v>
      </c>
      <c r="J6" s="68">
        <v>1.0</v>
      </c>
      <c r="K6" s="68"/>
      <c r="L6" s="68"/>
      <c r="M6" s="71"/>
      <c r="N6" s="71"/>
      <c r="O6" s="72"/>
      <c r="Q6" s="73" t="s">
        <v>84</v>
      </c>
      <c r="R6" s="72"/>
      <c r="S6" s="72"/>
      <c r="T6" s="75"/>
      <c r="U6" s="75"/>
      <c r="V6" s="75"/>
      <c r="W6" s="75"/>
      <c r="X6" s="75"/>
      <c r="Y6" s="75"/>
      <c r="Z6" s="75"/>
      <c r="AB6" s="78" t="s">
        <v>51</v>
      </c>
      <c r="AC6" s="75"/>
      <c r="AD6" s="75"/>
      <c r="AE6" s="75"/>
      <c r="AF6" s="82"/>
      <c r="AG6" s="82"/>
      <c r="AH6" s="82"/>
      <c r="AI6" s="82"/>
      <c r="AJ6" s="82"/>
      <c r="AK6" s="83"/>
      <c r="AL6" s="82"/>
      <c r="AM6" s="82"/>
      <c r="AN6" s="82"/>
      <c r="AO6" s="82"/>
      <c r="AP6" s="82"/>
      <c r="AQ6" s="82"/>
      <c r="AR6" s="112"/>
      <c r="AS6" s="112"/>
      <c r="AT6" s="112"/>
      <c r="AU6" s="112"/>
      <c r="AV6" s="112"/>
      <c r="AW6" s="112"/>
      <c r="AX6" s="112"/>
      <c r="AY6" s="112"/>
      <c r="AZ6" s="112"/>
      <c r="BA6" s="112"/>
      <c r="BB6" s="112"/>
      <c r="BC6" s="112"/>
      <c r="BD6" s="83"/>
      <c r="BE6" s="83"/>
      <c r="BF6" s="83"/>
      <c r="BG6" s="83"/>
      <c r="BH6" s="83"/>
      <c r="BI6" s="83"/>
      <c r="BJ6" s="83"/>
      <c r="BK6" s="83"/>
      <c r="BL6" s="83"/>
      <c r="BM6" s="83"/>
      <c r="BN6" s="83"/>
      <c r="BO6" s="83"/>
      <c r="BP6" s="112"/>
      <c r="BQ6" s="112"/>
      <c r="BR6" s="112"/>
      <c r="BS6" s="112"/>
      <c r="BT6" s="112"/>
      <c r="BU6" s="112"/>
      <c r="BV6" s="112"/>
      <c r="BW6" s="112"/>
      <c r="BX6" s="112"/>
      <c r="BY6" s="112"/>
      <c r="BZ6" s="112"/>
      <c r="CA6" s="112"/>
      <c r="CB6" s="119" t="s">
        <v>147</v>
      </c>
      <c r="CC6" s="119" t="s">
        <v>128</v>
      </c>
    </row>
    <row r="7">
      <c r="A7" s="51" t="s">
        <v>21</v>
      </c>
      <c r="B7" s="51">
        <f>VLOOKUP(A7,SILOMS!C:F,4,0)</f>
        <v>2741</v>
      </c>
      <c r="C7" s="58">
        <f>VLOOKUP(A7,SILOMS!O:Q,3,0)</f>
        <v>161.9444444</v>
      </c>
      <c r="D7" s="60">
        <f>IF(C7*24&lt;1500,1500-(C7*24),IF(C7*24&lt;3000,3000-(C7*24),4000-(C7*24)))
</f>
        <v>113.3333333</v>
      </c>
      <c r="E7" s="51">
        <f>VLOOKUP(B7,'Hora por anv'!B:D,3,0)</f>
        <v>55.52851064</v>
      </c>
      <c r="F7" s="65">
        <f>E7*'Hora por anv'!$H$1</f>
        <v>260.984</v>
      </c>
      <c r="G7" s="67">
        <f t="shared" si="1"/>
        <v>2.040993573</v>
      </c>
      <c r="H7" s="68" t="s">
        <v>77</v>
      </c>
      <c r="I7" s="68" t="s">
        <v>77</v>
      </c>
      <c r="J7" s="68" t="s">
        <v>77</v>
      </c>
      <c r="K7" s="104" t="s">
        <v>77</v>
      </c>
      <c r="L7" s="104" t="s">
        <v>77</v>
      </c>
      <c r="M7" s="71"/>
      <c r="N7" s="71"/>
      <c r="O7" s="72"/>
      <c r="Q7" s="73" t="s">
        <v>84</v>
      </c>
      <c r="R7" s="72"/>
      <c r="S7" s="72"/>
      <c r="T7" s="75"/>
      <c r="U7" s="75"/>
      <c r="V7" s="75"/>
      <c r="W7" s="75"/>
      <c r="X7" s="75"/>
      <c r="Y7" s="75"/>
      <c r="Z7" s="109"/>
      <c r="AA7" s="75"/>
      <c r="AC7" s="78" t="s">
        <v>51</v>
      </c>
      <c r="AD7" s="75"/>
      <c r="AE7" s="75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112"/>
      <c r="AS7" s="112"/>
      <c r="AT7" s="112"/>
      <c r="AU7" s="112"/>
      <c r="AV7" s="112"/>
      <c r="AW7" s="112"/>
      <c r="AX7" s="112"/>
      <c r="AY7" s="112"/>
      <c r="AZ7" s="112"/>
      <c r="BA7" s="112"/>
      <c r="BB7" s="112"/>
      <c r="BC7" s="112"/>
      <c r="BD7" s="83"/>
      <c r="BE7" s="83"/>
      <c r="BF7" s="83"/>
      <c r="BG7" s="83"/>
      <c r="BH7" s="83"/>
      <c r="BI7" s="83"/>
      <c r="BJ7" s="83"/>
      <c r="BK7" s="83"/>
      <c r="BL7" s="83"/>
      <c r="BM7" s="83"/>
      <c r="BN7" s="83"/>
      <c r="BO7" s="83"/>
      <c r="BP7" s="112"/>
      <c r="BQ7" s="112"/>
      <c r="BR7" s="112"/>
      <c r="BS7" s="112"/>
      <c r="BT7" s="112"/>
      <c r="BU7" s="112"/>
      <c r="BV7" s="112"/>
      <c r="BW7" s="112"/>
      <c r="BX7" s="112"/>
      <c r="BY7" s="112"/>
      <c r="BZ7" s="112"/>
      <c r="CA7" s="112"/>
      <c r="CB7" s="107" t="s">
        <v>112</v>
      </c>
      <c r="CC7" s="84" t="s">
        <v>162</v>
      </c>
    </row>
    <row r="8">
      <c r="A8" s="51" t="s">
        <v>98</v>
      </c>
      <c r="B8" s="51">
        <f>VLOOKUP(A8,SILOMS!C:F,4,0)</f>
        <v>2740</v>
      </c>
      <c r="C8" s="58">
        <f>VLOOKUP(A8,SILOMS!O:Q,3,0)</f>
        <v>137.5729167</v>
      </c>
      <c r="D8" s="60">
        <f>IF(C8*24&lt;1500,1500-(C8*24),IF(C8*24&lt;3441,3441-(C8*24),4250-(C8*24)))
</f>
        <v>139.25</v>
      </c>
      <c r="E8" s="51">
        <f>VLOOKUP(B8,'Hora por anv'!B:D,3,0)</f>
        <v>55.52851064</v>
      </c>
      <c r="F8" s="65">
        <f>E8*'Hora por anv'!$H$1</f>
        <v>260.984</v>
      </c>
      <c r="G8" s="67">
        <f t="shared" si="1"/>
        <v>2.50772078</v>
      </c>
      <c r="H8" s="68">
        <v>1.0</v>
      </c>
      <c r="I8" s="68">
        <v>1.0</v>
      </c>
      <c r="J8" s="68">
        <v>1.0</v>
      </c>
      <c r="K8" s="68"/>
      <c r="L8" s="68"/>
      <c r="M8" s="71"/>
      <c r="N8" s="71"/>
      <c r="O8" s="72"/>
      <c r="Q8" s="72"/>
      <c r="R8" s="72"/>
      <c r="S8" s="72"/>
      <c r="T8" s="75"/>
      <c r="U8" s="75"/>
      <c r="V8" s="75"/>
      <c r="W8" s="75"/>
      <c r="X8" s="75">
        <v>17.3</v>
      </c>
      <c r="Y8" s="75">
        <v>16.0</v>
      </c>
      <c r="Z8" s="109"/>
      <c r="AA8" s="121"/>
      <c r="AB8" s="75"/>
      <c r="AC8" s="75"/>
      <c r="AD8" s="144" t="s">
        <v>139</v>
      </c>
      <c r="AE8" s="75">
        <v>16.3</v>
      </c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12"/>
      <c r="AS8" s="112"/>
      <c r="AT8" s="112"/>
      <c r="AU8" s="112"/>
      <c r="AV8" s="112"/>
      <c r="AW8" s="78" t="s">
        <v>51</v>
      </c>
      <c r="AX8" s="112"/>
      <c r="AZ8" s="112"/>
      <c r="BA8" s="112"/>
      <c r="BB8" s="112"/>
      <c r="BC8" s="112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3"/>
      <c r="BP8" s="112"/>
      <c r="BQ8" s="112"/>
      <c r="BR8" s="112"/>
      <c r="BS8" s="112"/>
      <c r="BT8" s="112"/>
      <c r="BU8" s="112"/>
      <c r="BV8" s="112"/>
      <c r="BW8" s="112"/>
      <c r="BX8" s="112"/>
      <c r="BY8" s="112"/>
      <c r="BZ8" s="112"/>
      <c r="CA8" s="112"/>
      <c r="CB8" s="124" t="s">
        <v>142</v>
      </c>
      <c r="CC8" s="98" t="s">
        <v>143</v>
      </c>
    </row>
    <row r="9">
      <c r="A9" s="51" t="s">
        <v>132</v>
      </c>
      <c r="B9" s="51">
        <f>VLOOKUP(A9,SILOMS!C:F,4,0)</f>
        <v>2709</v>
      </c>
      <c r="C9" s="58">
        <f>VLOOKUP(A9,SILOMS!O:Q,3,0)</f>
        <v>114.8020833</v>
      </c>
      <c r="D9" s="60">
        <f>IF(C9*24&lt;1500,1500-(C9*24),IF(C9*24&lt;2903,2903-(C9*24),4000-(C9*24)))
</f>
        <v>147.75</v>
      </c>
      <c r="E9" s="51">
        <f>VLOOKUP(B9,'Hora por anv'!B:D,3,0)</f>
        <v>51.37446809</v>
      </c>
      <c r="F9" s="65">
        <f>E9*'Hora por anv'!$H$1</f>
        <v>241.46</v>
      </c>
      <c r="G9" s="67">
        <f t="shared" si="1"/>
        <v>2.875942185</v>
      </c>
      <c r="H9" s="68">
        <v>1.0</v>
      </c>
      <c r="I9" s="68">
        <v>1.0</v>
      </c>
      <c r="J9" s="68">
        <v>1.0</v>
      </c>
      <c r="K9" s="68"/>
      <c r="L9" s="68"/>
      <c r="M9" s="71"/>
      <c r="N9" s="71"/>
      <c r="O9" s="72"/>
      <c r="Q9" s="73" t="s">
        <v>84</v>
      </c>
      <c r="R9" s="72"/>
      <c r="S9" s="72"/>
      <c r="T9" s="75"/>
      <c r="U9" s="112"/>
      <c r="V9" s="75"/>
      <c r="W9" s="75"/>
      <c r="X9" s="75">
        <v>34.2</v>
      </c>
      <c r="Y9" s="75">
        <v>22.0</v>
      </c>
      <c r="Z9" s="109"/>
      <c r="AA9" s="75"/>
      <c r="AB9" s="75"/>
      <c r="AC9" s="75"/>
      <c r="AD9" s="144" t="s">
        <v>139</v>
      </c>
      <c r="AE9" s="75">
        <v>27.1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12"/>
      <c r="AS9" s="112"/>
      <c r="AT9" s="112"/>
      <c r="AU9" s="112"/>
      <c r="AV9" s="112"/>
      <c r="AW9" s="112"/>
      <c r="AX9" s="112"/>
      <c r="AY9" s="112"/>
      <c r="AZ9" s="112"/>
      <c r="BA9" s="112"/>
      <c r="BB9" s="112"/>
      <c r="BC9" s="112"/>
      <c r="BD9" s="83"/>
      <c r="BE9" s="83"/>
      <c r="BF9" s="82"/>
      <c r="BG9" s="83"/>
      <c r="BH9" s="83"/>
      <c r="BI9" s="83"/>
      <c r="BJ9" s="83"/>
      <c r="BK9" s="83"/>
      <c r="BL9" s="83"/>
      <c r="BM9" s="83"/>
      <c r="BN9" s="83"/>
      <c r="BO9" s="83"/>
      <c r="BP9" s="112"/>
      <c r="BQ9" s="112"/>
      <c r="BR9" s="112"/>
      <c r="BS9" s="112"/>
      <c r="BT9" s="112"/>
      <c r="BU9" s="112"/>
      <c r="BV9" s="112"/>
      <c r="BW9" s="112"/>
      <c r="BX9" s="112"/>
      <c r="BY9" s="112"/>
      <c r="BZ9" s="112"/>
      <c r="CA9" s="112"/>
      <c r="CB9" s="119" t="s">
        <v>175</v>
      </c>
      <c r="CC9" s="84" t="s">
        <v>165</v>
      </c>
    </row>
    <row r="10">
      <c r="A10" s="51" t="s">
        <v>125</v>
      </c>
      <c r="B10" s="51">
        <f>VLOOKUP(A10,SILOMS!C:F,4,0)</f>
        <v>2722</v>
      </c>
      <c r="C10" s="58">
        <f>VLOOKUP(A10,SILOMS!O:Q,3,0)</f>
        <v>173.2673611</v>
      </c>
      <c r="D10" s="60">
        <f>IF(C10*24&lt;1500,1500-(C10*24),IF(C10*24&lt;3000,3000-(C10*24),4400-(C10*24)))
</f>
        <v>241.5833333</v>
      </c>
      <c r="E10" s="51">
        <f>VLOOKUP(B10,'Hora por anv'!B:D,3,0)</f>
        <v>59.24680851</v>
      </c>
      <c r="F10" s="65">
        <f>E10*'Hora por anv'!$H$1</f>
        <v>278.46</v>
      </c>
      <c r="G10" s="67">
        <f t="shared" si="1"/>
        <v>4.077575475</v>
      </c>
      <c r="H10" s="68">
        <v>1.0</v>
      </c>
      <c r="I10" s="68">
        <v>1.0</v>
      </c>
      <c r="J10" s="68">
        <v>1.0</v>
      </c>
      <c r="K10" s="68"/>
      <c r="L10" s="68"/>
      <c r="M10" s="71"/>
      <c r="N10" s="71"/>
      <c r="O10" s="72"/>
      <c r="Q10" s="73" t="s">
        <v>84</v>
      </c>
      <c r="R10" s="72"/>
      <c r="S10" s="72"/>
      <c r="T10" s="75"/>
      <c r="U10" s="75"/>
      <c r="V10" s="75"/>
      <c r="W10" s="75"/>
      <c r="X10" s="75"/>
      <c r="Y10" s="75"/>
      <c r="Z10" s="109"/>
      <c r="AA10" s="75"/>
      <c r="AB10" s="75"/>
      <c r="AC10" s="75"/>
      <c r="AD10" s="75"/>
      <c r="AE10" s="153" t="s">
        <v>51</v>
      </c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12"/>
      <c r="AS10" s="112"/>
      <c r="AT10" s="112"/>
      <c r="AU10" s="112"/>
      <c r="AV10" s="112"/>
      <c r="AW10" s="112"/>
      <c r="AX10" s="112"/>
      <c r="AY10" s="112"/>
      <c r="AZ10" s="112"/>
      <c r="BA10" s="112"/>
      <c r="BB10" s="112"/>
      <c r="BC10" s="112"/>
      <c r="BD10" s="83"/>
      <c r="BE10" s="83"/>
      <c r="BF10" s="83"/>
      <c r="BG10" s="83"/>
      <c r="BH10" s="83"/>
      <c r="BI10" s="83"/>
      <c r="BJ10" s="83"/>
      <c r="BK10" s="83"/>
      <c r="BL10" s="83"/>
      <c r="BM10" s="83"/>
      <c r="BN10" s="83"/>
      <c r="BO10" s="83"/>
      <c r="BP10" s="112"/>
      <c r="BQ10" s="112"/>
      <c r="BR10" s="112"/>
      <c r="BS10" s="112"/>
      <c r="BT10" s="112"/>
      <c r="BU10" s="112"/>
      <c r="BV10" s="112"/>
      <c r="BW10" s="112"/>
      <c r="BX10" s="112"/>
      <c r="BY10" s="112"/>
      <c r="BZ10" s="112"/>
      <c r="CA10" s="112"/>
      <c r="CB10" s="108"/>
      <c r="CC10" s="118" t="s">
        <v>172</v>
      </c>
    </row>
    <row r="11">
      <c r="A11" s="51" t="s">
        <v>81</v>
      </c>
      <c r="B11" s="51">
        <f>VLOOKUP(A11,SILOMS!C:F,4,0)</f>
        <v>2719</v>
      </c>
      <c r="C11" s="58">
        <f>VLOOKUP(A11,SILOMS!O:Q,3,0)</f>
        <v>180.9548611</v>
      </c>
      <c r="D11" s="60">
        <f>IF(C11*24&lt;1500,1500-(C11*24),IF(C11*24&lt;3000,3000-(C11*24),4700-(C11*24)))
</f>
        <v>357.0833333</v>
      </c>
      <c r="E11" s="51">
        <f>VLOOKUP(B11,'Hora por anv'!B:D,3,0)</f>
        <v>59.24680851</v>
      </c>
      <c r="F11" s="65">
        <f>E11*'Hora por anv'!$H$1</f>
        <v>278.46</v>
      </c>
      <c r="G11" s="67">
        <f t="shared" si="1"/>
        <v>6.027047571</v>
      </c>
      <c r="H11" s="68">
        <v>1.0</v>
      </c>
      <c r="I11" s="68">
        <v>1.0</v>
      </c>
      <c r="J11" s="68">
        <v>1.0</v>
      </c>
      <c r="K11" s="68"/>
      <c r="L11" s="68"/>
      <c r="M11" s="71"/>
      <c r="N11" s="71"/>
      <c r="O11" s="72"/>
      <c r="Q11" s="94" t="s">
        <v>99</v>
      </c>
      <c r="R11" s="72"/>
      <c r="S11" s="72"/>
      <c r="T11" s="75"/>
      <c r="U11" s="75"/>
      <c r="V11" s="75"/>
      <c r="W11" s="75"/>
      <c r="X11" s="75"/>
      <c r="Y11" s="75"/>
      <c r="Z11" s="109"/>
      <c r="AA11" s="109">
        <f>(D11-F11)/42.71</f>
        <v>1.840864747</v>
      </c>
      <c r="AB11" s="75"/>
      <c r="AC11" s="75"/>
      <c r="AD11" s="75"/>
      <c r="AE11" s="75"/>
      <c r="AF11" s="82"/>
      <c r="AG11" s="78" t="s">
        <v>167</v>
      </c>
      <c r="AI11" s="82"/>
      <c r="AJ11" s="82"/>
      <c r="AK11" s="82"/>
      <c r="AL11" s="82"/>
      <c r="AM11" s="82"/>
      <c r="AN11" s="82"/>
      <c r="AO11" s="82"/>
      <c r="AP11" s="82"/>
      <c r="AQ11" s="82"/>
      <c r="AR11" s="112"/>
      <c r="AS11" s="112"/>
      <c r="AT11" s="112"/>
      <c r="AU11" s="112"/>
      <c r="AV11" s="112"/>
      <c r="AW11" s="112"/>
      <c r="AX11" s="112"/>
      <c r="AY11" s="112"/>
      <c r="AZ11" s="112"/>
      <c r="BA11" s="112"/>
      <c r="BB11" s="112"/>
      <c r="BC11" s="112"/>
      <c r="BD11" s="83"/>
      <c r="BE11" s="82"/>
      <c r="BF11" s="83"/>
      <c r="BG11" s="83"/>
      <c r="BH11" s="83"/>
      <c r="BI11" s="83"/>
      <c r="BJ11" s="83"/>
      <c r="BK11" s="83"/>
      <c r="BL11" s="83"/>
      <c r="BM11" s="83"/>
      <c r="BN11" s="83"/>
      <c r="BO11" s="83"/>
      <c r="BP11" s="112"/>
      <c r="BQ11" s="112"/>
      <c r="BR11" s="112"/>
      <c r="BS11" s="112"/>
      <c r="BT11" s="112"/>
      <c r="BU11" s="112"/>
      <c r="BV11" s="112"/>
      <c r="BW11" s="112"/>
      <c r="BX11" s="112"/>
      <c r="BY11" s="112"/>
      <c r="BZ11" s="112"/>
      <c r="CA11" s="112"/>
      <c r="CB11" s="108"/>
      <c r="CC11" s="98" t="s">
        <v>168</v>
      </c>
    </row>
    <row r="12">
      <c r="A12" s="51" t="s">
        <v>76</v>
      </c>
      <c r="B12" s="51">
        <f>VLOOKUP(A12,SILOMS!C:F,4,0)</f>
        <v>2723</v>
      </c>
      <c r="C12" s="58">
        <f>VLOOKUP(A12,SILOMS!O:Q,3,0)</f>
        <v>117.9444444</v>
      </c>
      <c r="D12" s="60">
        <f>IF(C12*24&lt;1500,1500-(C12*24),IF(C12*24&lt;3239,3239-(C12*24),4000-(C12*24)))
</f>
        <v>408.3333333</v>
      </c>
      <c r="E12" s="51">
        <f>VLOOKUP(B12,'Hora por anv'!B:D,3,0)</f>
        <v>61.24042553</v>
      </c>
      <c r="F12" s="65">
        <f>E12*'Hora por anv'!$H$1</f>
        <v>287.83</v>
      </c>
      <c r="G12" s="67">
        <f t="shared" si="1"/>
        <v>6.667708949</v>
      </c>
      <c r="H12" s="68">
        <v>1.0</v>
      </c>
      <c r="I12" s="68">
        <v>1.0</v>
      </c>
      <c r="J12" s="68">
        <v>1.0</v>
      </c>
      <c r="K12" s="68"/>
      <c r="L12" s="68"/>
      <c r="M12" s="71"/>
      <c r="N12" s="71"/>
      <c r="O12" s="72"/>
      <c r="Q12" s="73" t="s">
        <v>84</v>
      </c>
      <c r="R12" s="72"/>
      <c r="S12" s="72"/>
      <c r="T12" s="75"/>
      <c r="U12" s="75"/>
      <c r="V12" s="75"/>
      <c r="W12" s="75"/>
      <c r="X12" s="121">
        <v>17.5</v>
      </c>
      <c r="Y12" s="75">
        <v>14.5</v>
      </c>
      <c r="Z12" s="109"/>
      <c r="AA12" s="109">
        <f>(D12-F12)/38.75</f>
        <v>3.109763441</v>
      </c>
      <c r="AB12" s="109"/>
      <c r="AC12" s="109"/>
      <c r="AD12" s="109"/>
      <c r="AE12" s="109"/>
      <c r="AF12" s="82"/>
      <c r="AG12" s="82"/>
      <c r="AH12" s="144" t="s">
        <v>139</v>
      </c>
      <c r="AI12" s="82"/>
      <c r="AJ12" s="82"/>
      <c r="AK12" s="82"/>
      <c r="AL12" s="82"/>
      <c r="AM12" s="82"/>
      <c r="AN12" s="82"/>
      <c r="AO12" s="82"/>
      <c r="AP12" s="82"/>
      <c r="AQ12" s="82"/>
      <c r="AR12" s="112"/>
      <c r="AS12" s="112"/>
      <c r="AT12" s="112"/>
      <c r="AU12" s="112"/>
      <c r="AV12" s="112"/>
      <c r="AW12" s="112"/>
      <c r="AX12" s="78" t="s">
        <v>51</v>
      </c>
      <c r="AY12" s="112"/>
      <c r="AZ12" s="112"/>
      <c r="BA12" s="112"/>
      <c r="BB12" s="112"/>
      <c r="BC12" s="112"/>
      <c r="BD12" s="83"/>
      <c r="BE12" s="82"/>
      <c r="BF12" s="83"/>
      <c r="BG12" s="83"/>
      <c r="BH12" s="83"/>
      <c r="BI12" s="83"/>
      <c r="BJ12" s="83"/>
      <c r="BK12" s="83"/>
      <c r="BL12" s="83"/>
      <c r="BM12" s="83"/>
      <c r="BN12" s="83"/>
      <c r="BO12" s="83"/>
      <c r="BP12" s="112"/>
      <c r="BQ12" s="112"/>
      <c r="BR12" s="112"/>
      <c r="BS12" s="112"/>
      <c r="BT12" s="112"/>
      <c r="BU12" s="112"/>
      <c r="BV12" s="112"/>
      <c r="BW12" s="112"/>
      <c r="BX12" s="112"/>
      <c r="BY12" s="112"/>
      <c r="BZ12" s="112"/>
      <c r="CA12" s="112"/>
      <c r="CB12" s="107" t="s">
        <v>176</v>
      </c>
      <c r="CC12" s="118" t="s">
        <v>177</v>
      </c>
    </row>
    <row r="13">
      <c r="A13" s="51" t="s">
        <v>74</v>
      </c>
      <c r="B13" s="51">
        <f>VLOOKUP(A13,SILOMS!C:F,4,0)</f>
        <v>2703</v>
      </c>
      <c r="C13" s="58">
        <f>VLOOKUP(A13,SILOMS!O:Q,3,0)</f>
        <v>174.4305556</v>
      </c>
      <c r="D13" s="60">
        <f>IF(C13*24&lt;1500,1500-(C13*24),IF(C13*24&lt;3000,3000-(C13*24),4500-(C13*24)))
</f>
        <v>313.6666667</v>
      </c>
      <c r="E13" s="51">
        <f>VLOOKUP(B13,'Hora por anv'!B:D,3,0)</f>
        <v>42.09219858</v>
      </c>
      <c r="F13" s="65">
        <f>E13*'Hora por anv'!$H$1</f>
        <v>197.8333333</v>
      </c>
      <c r="G13" s="67">
        <f t="shared" si="1"/>
        <v>7.451895535</v>
      </c>
      <c r="H13" s="68">
        <v>1.0</v>
      </c>
      <c r="I13" s="68">
        <v>1.0</v>
      </c>
      <c r="J13" s="68">
        <v>1.0</v>
      </c>
      <c r="K13" s="68"/>
      <c r="L13" s="68"/>
      <c r="M13" s="71"/>
      <c r="N13" s="71"/>
      <c r="O13" s="72"/>
      <c r="Q13" s="94" t="s">
        <v>99</v>
      </c>
      <c r="R13" s="72"/>
      <c r="S13" s="72"/>
      <c r="T13" s="75"/>
      <c r="U13" s="75"/>
      <c r="V13" s="75"/>
      <c r="W13" s="75"/>
      <c r="X13" s="75"/>
      <c r="Y13" s="75"/>
      <c r="Z13" s="109"/>
      <c r="AA13" s="109">
        <f>(D13-F13)/42.48</f>
        <v>2.726773384</v>
      </c>
      <c r="AB13" s="109"/>
      <c r="AC13" s="109"/>
      <c r="AD13" s="109"/>
      <c r="AE13" s="109"/>
      <c r="AF13" s="82"/>
      <c r="AG13" s="82"/>
      <c r="AH13" s="78" t="s">
        <v>51</v>
      </c>
      <c r="AI13" s="82"/>
      <c r="AJ13" s="82"/>
      <c r="AL13" s="82"/>
      <c r="AM13" s="82"/>
      <c r="AN13" s="82"/>
      <c r="AO13" s="82"/>
      <c r="AP13" s="82"/>
      <c r="AQ13" s="82"/>
      <c r="AR13" s="112"/>
      <c r="AS13" s="112"/>
      <c r="AT13" s="112"/>
      <c r="AU13" s="112"/>
      <c r="AV13" s="112"/>
      <c r="AW13" s="112"/>
      <c r="AX13" s="112"/>
      <c r="AY13" s="112"/>
      <c r="AZ13" s="112"/>
      <c r="BA13" s="112"/>
      <c r="BB13" s="112"/>
      <c r="BC13" s="112"/>
      <c r="BD13" s="83"/>
      <c r="BE13" s="83"/>
      <c r="BF13" s="83"/>
      <c r="BG13" s="83"/>
      <c r="BH13" s="83"/>
      <c r="BI13" s="83"/>
      <c r="BJ13" s="83"/>
      <c r="BK13" s="83"/>
      <c r="BL13" s="83"/>
      <c r="BM13" s="83"/>
      <c r="BN13" s="83"/>
      <c r="BO13" s="83"/>
      <c r="BP13" s="112"/>
      <c r="BQ13" s="112"/>
      <c r="BR13" s="112"/>
      <c r="BS13" s="112"/>
      <c r="BT13" s="112"/>
      <c r="BU13" s="112"/>
      <c r="BV13" s="112"/>
      <c r="BW13" s="112"/>
      <c r="BX13" s="112"/>
      <c r="BY13" s="112"/>
      <c r="BZ13" s="112"/>
      <c r="CA13" s="112"/>
      <c r="CB13" s="119" t="s">
        <v>179</v>
      </c>
      <c r="CC13" s="154" t="s">
        <v>180</v>
      </c>
    </row>
    <row r="14">
      <c r="A14" s="51" t="s">
        <v>82</v>
      </c>
      <c r="B14" s="51">
        <f>VLOOKUP(A14,SILOMS!C:F,4,0)</f>
        <v>2742</v>
      </c>
      <c r="C14" s="58">
        <f>VLOOKUP(A14,SILOMS!O:Q,3,0)</f>
        <v>32.93402778</v>
      </c>
      <c r="D14" s="60">
        <f t="shared" ref="D14:D15" si="2">IF(C14*24&lt;1500,1500-(C14*24),IF(C14*24&lt;3000,3000-(C14*24),4000-(C14*24)))
</f>
        <v>709.5833333</v>
      </c>
      <c r="E14" s="51">
        <f>VLOOKUP(B14,'Hora por anv'!B:D,3,0)</f>
        <v>56.75531915</v>
      </c>
      <c r="F14" s="65">
        <f>E14*'Hora por anv'!$H$1</f>
        <v>266.75</v>
      </c>
      <c r="G14" s="67">
        <f t="shared" si="1"/>
        <v>12.50249922</v>
      </c>
      <c r="H14" s="161" t="s">
        <v>77</v>
      </c>
      <c r="I14" s="161" t="s">
        <v>77</v>
      </c>
      <c r="J14" s="161" t="s">
        <v>77</v>
      </c>
      <c r="K14" s="161" t="s">
        <v>77</v>
      </c>
      <c r="L14" s="161" t="s">
        <v>77</v>
      </c>
      <c r="M14" s="162"/>
      <c r="N14" s="162"/>
      <c r="O14" s="162"/>
      <c r="P14" s="74"/>
      <c r="Q14" s="120"/>
      <c r="R14" s="120"/>
      <c r="S14" s="120"/>
      <c r="T14" s="112"/>
      <c r="U14" s="112"/>
      <c r="V14" s="112"/>
      <c r="W14" s="112"/>
      <c r="X14" s="112">
        <v>28.1</v>
      </c>
      <c r="Y14" s="75">
        <v>27.0</v>
      </c>
      <c r="Z14" s="109"/>
      <c r="AA14" s="176">
        <f>(D14-F14)/46.25</f>
        <v>9.574774775</v>
      </c>
      <c r="AB14" s="109"/>
      <c r="AC14" s="109"/>
      <c r="AD14" s="109"/>
      <c r="AE14" s="109"/>
      <c r="AF14" s="83"/>
      <c r="AG14" s="83"/>
      <c r="AH14" s="83"/>
      <c r="AI14" s="83"/>
      <c r="AJ14" s="83"/>
      <c r="AK14" s="83"/>
      <c r="AL14" s="83"/>
      <c r="AM14" s="83"/>
      <c r="AN14" s="177"/>
      <c r="AO14" s="178" t="s">
        <v>139</v>
      </c>
      <c r="AP14" s="82"/>
      <c r="AQ14" s="83"/>
      <c r="AR14" s="112"/>
      <c r="AS14" s="112"/>
      <c r="AT14" s="112"/>
      <c r="AU14" s="112"/>
      <c r="AV14" s="112"/>
      <c r="AW14" s="112"/>
      <c r="AX14" s="112"/>
      <c r="AY14" s="112"/>
      <c r="AZ14" s="112"/>
      <c r="BA14" s="112"/>
      <c r="BB14" s="112"/>
      <c r="BC14" s="112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144" t="s">
        <v>139</v>
      </c>
      <c r="BP14" s="112"/>
      <c r="BQ14" s="112"/>
      <c r="BR14" s="112"/>
      <c r="BS14" s="112"/>
      <c r="BT14" s="112"/>
      <c r="BU14" s="112"/>
      <c r="BV14" s="112"/>
      <c r="BW14" s="112"/>
      <c r="BX14" s="112"/>
      <c r="BY14" s="112"/>
      <c r="BZ14" s="112"/>
      <c r="CA14" s="112"/>
      <c r="CB14" s="179" t="s">
        <v>209</v>
      </c>
      <c r="CC14" s="108"/>
    </row>
    <row r="15" hidden="1">
      <c r="A15" s="51" t="s">
        <v>160</v>
      </c>
      <c r="B15" s="51" t="b">
        <f>VLOOKUP(A15,SILOMS!C:F,4,0)</f>
        <v>0</v>
      </c>
      <c r="C15" s="58">
        <f>VLOOKUP(A15,SILOMS!O:Q,3,0)</f>
        <v>128.9722222</v>
      </c>
      <c r="D15" s="60">
        <f t="shared" si="2"/>
        <v>904.6666667</v>
      </c>
      <c r="E15" s="51" t="str">
        <f>VLOOKUP(B15,'Hora por anv'!B:D,3,0)</f>
        <v>#N/A</v>
      </c>
      <c r="F15" s="65" t="str">
        <f>E15*'Hora por anv'!$H$1</f>
        <v>#N/A</v>
      </c>
      <c r="G15" s="67" t="str">
        <f t="shared" si="1"/>
        <v>#N/A</v>
      </c>
      <c r="H15" s="68">
        <v>1.0</v>
      </c>
      <c r="I15" s="68">
        <v>1.0</v>
      </c>
      <c r="J15" s="68">
        <v>1.0</v>
      </c>
      <c r="K15" s="68"/>
      <c r="L15" s="68"/>
      <c r="M15" s="162"/>
      <c r="N15" s="71"/>
      <c r="O15" s="128"/>
      <c r="P15" s="166" t="s">
        <v>139</v>
      </c>
      <c r="Q15" s="73" t="s">
        <v>84</v>
      </c>
      <c r="R15" s="72"/>
      <c r="S15" s="72"/>
      <c r="T15" s="75"/>
      <c r="U15" s="75"/>
      <c r="V15" s="75"/>
      <c r="W15" s="75"/>
      <c r="X15" s="75"/>
      <c r="Y15" s="75"/>
      <c r="Z15" s="109" t="str">
        <f>(D15-F15)/41.36</f>
        <v>#N/A</v>
      </c>
      <c r="AA15" s="184" t="s">
        <v>211</v>
      </c>
      <c r="AB15" s="172"/>
      <c r="AC15" s="172"/>
      <c r="AD15" s="173"/>
      <c r="AE15" s="75"/>
      <c r="AF15" s="82"/>
      <c r="AG15" s="145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112"/>
      <c r="AS15" s="112"/>
      <c r="AT15" s="112"/>
      <c r="AU15" s="78"/>
      <c r="AV15" s="112"/>
      <c r="AW15" s="112"/>
      <c r="AX15" s="112"/>
      <c r="AY15" s="112"/>
      <c r="AZ15" s="112"/>
      <c r="BA15" s="112"/>
      <c r="BB15" s="112"/>
      <c r="BC15" s="112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112"/>
      <c r="BQ15" s="112"/>
      <c r="BR15" s="112"/>
      <c r="BS15" s="112"/>
      <c r="BT15" s="112"/>
      <c r="BU15" s="112"/>
      <c r="BV15" s="112"/>
      <c r="BW15" s="112"/>
      <c r="BX15" s="112"/>
      <c r="BY15" s="112"/>
      <c r="BZ15" s="112"/>
      <c r="CA15" s="112"/>
      <c r="CB15" s="71" t="s">
        <v>186</v>
      </c>
      <c r="CC15" s="119"/>
    </row>
    <row r="16" hidden="1">
      <c r="A16" s="51" t="s">
        <v>144</v>
      </c>
      <c r="B16" s="51" t="b">
        <f>VLOOKUP(A16,SILOMS!C:F,4,0)</f>
        <v>0</v>
      </c>
      <c r="C16" s="58">
        <f>VLOOKUP(A16,SILOMS!O:Q,3,0)</f>
        <v>118.0347222</v>
      </c>
      <c r="D16" s="60">
        <f>IF(C16*24&lt;1500,1500-(C16*24),IF(C16*24&lt;2832,2832-(C16*24),4000-(C16*24)))
</f>
        <v>1167.166667</v>
      </c>
      <c r="E16" s="51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71"/>
      <c r="N16" s="71"/>
      <c r="O16" s="72"/>
      <c r="Q16" s="73" t="s">
        <v>84</v>
      </c>
      <c r="R16" s="128"/>
      <c r="S16" s="72"/>
      <c r="T16" s="75"/>
      <c r="U16" s="75"/>
      <c r="V16" s="75"/>
      <c r="W16" s="75"/>
      <c r="X16" s="75">
        <v>19.2</v>
      </c>
      <c r="Y16" s="144" t="s">
        <v>139</v>
      </c>
      <c r="Z16" s="197" t="str">
        <f>(D16-F16)/31.86</f>
        <v>#N/A</v>
      </c>
      <c r="AA16" s="198" t="s">
        <v>213</v>
      </c>
      <c r="AB16" s="172"/>
      <c r="AC16" s="173"/>
      <c r="AD16" s="75"/>
      <c r="AE16" s="75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112"/>
      <c r="AS16" s="112"/>
      <c r="AT16" s="112"/>
      <c r="AU16" s="112"/>
      <c r="AV16" s="112"/>
      <c r="AW16" s="112"/>
      <c r="AX16" s="112"/>
      <c r="AY16" s="112"/>
      <c r="AZ16" s="112"/>
      <c r="BA16" s="112"/>
      <c r="BB16" s="112"/>
      <c r="BC16" s="78"/>
      <c r="BD16" s="83"/>
      <c r="BE16" s="83"/>
      <c r="BF16" s="83"/>
      <c r="BG16" s="83"/>
      <c r="BH16" s="83"/>
      <c r="BI16" s="83"/>
      <c r="BJ16" s="83"/>
      <c r="BK16" s="83"/>
      <c r="BL16" s="83"/>
      <c r="BM16" s="83"/>
      <c r="BN16" s="83"/>
      <c r="BO16" s="83"/>
      <c r="BP16" s="112"/>
      <c r="BQ16" s="112"/>
      <c r="BR16" s="112"/>
      <c r="BS16" s="112"/>
      <c r="BT16" s="112"/>
      <c r="BU16" s="112"/>
      <c r="BV16" s="112"/>
      <c r="BW16" s="112"/>
      <c r="BX16" s="112"/>
      <c r="BY16" s="112"/>
      <c r="BZ16" s="112"/>
      <c r="CA16" s="112"/>
      <c r="CB16" s="132"/>
      <c r="CC16" s="119" t="s">
        <v>215</v>
      </c>
    </row>
    <row r="17">
      <c r="A17" s="157" t="s">
        <v>106</v>
      </c>
      <c r="B17" s="51">
        <f>VLOOKUP(A17,SILOMS!C:F,4,0)</f>
        <v>2739</v>
      </c>
      <c r="C17" s="58">
        <f>VLOOKUP(A17,SILOMS!O:Q,3,0)</f>
        <v>52.10763889</v>
      </c>
      <c r="D17" s="60">
        <f>IF(C17*24&lt;1500,1500-(C17*24),IF(C17*24&lt;3000,3000-(C17*24),4000-(C17*24)))
</f>
        <v>249.4166667</v>
      </c>
      <c r="E17" s="51">
        <f>VLOOKUP(B17,'Hora por anv'!B:D,3,0)</f>
        <v>17.77163121</v>
      </c>
      <c r="F17" s="65">
        <f>E17*'Hora por anv'!$H$1</f>
        <v>83.52666667</v>
      </c>
      <c r="G17" s="67">
        <f t="shared" si="1"/>
        <v>14.03453987</v>
      </c>
      <c r="H17" s="68">
        <v>1.0</v>
      </c>
      <c r="I17" s="68">
        <v>1.0</v>
      </c>
      <c r="J17" s="68">
        <v>1.0</v>
      </c>
      <c r="K17" s="68"/>
      <c r="L17" s="68"/>
      <c r="M17" s="71"/>
      <c r="N17" s="71"/>
      <c r="O17" s="72"/>
      <c r="Q17" s="73" t="s">
        <v>84</v>
      </c>
      <c r="R17" s="72"/>
      <c r="S17" s="72"/>
      <c r="T17" s="75"/>
      <c r="U17" s="75"/>
      <c r="V17" s="75"/>
      <c r="W17" s="75"/>
      <c r="X17" s="75">
        <v>57.1</v>
      </c>
      <c r="Y17" s="75">
        <v>47.0</v>
      </c>
      <c r="Z17" s="109"/>
      <c r="AA17" s="109">
        <f>(D17-F17)/33.81</f>
        <v>4.906536528</v>
      </c>
      <c r="AB17" s="109"/>
      <c r="AC17" s="109"/>
      <c r="AD17" s="109"/>
      <c r="AE17" s="109"/>
      <c r="AF17" s="82"/>
      <c r="AG17" s="82"/>
      <c r="AH17" s="82"/>
      <c r="AI17" s="82"/>
      <c r="AJ17" s="82"/>
      <c r="AK17" s="144" t="s">
        <v>139</v>
      </c>
      <c r="AL17" s="82"/>
      <c r="AM17" s="156"/>
      <c r="AN17" s="82"/>
      <c r="AO17" s="82"/>
      <c r="AP17" s="82"/>
      <c r="AQ17" s="82"/>
      <c r="AR17" s="112"/>
      <c r="AS17" s="112"/>
      <c r="AT17" s="112"/>
      <c r="AU17" s="112"/>
      <c r="AV17" s="112"/>
      <c r="AW17" s="112"/>
      <c r="AX17" s="112"/>
      <c r="AY17" s="112"/>
      <c r="AZ17" s="112"/>
      <c r="BA17" s="112"/>
      <c r="BB17" s="112"/>
      <c r="BC17" s="112"/>
      <c r="BD17" s="83"/>
      <c r="BE17" s="83"/>
      <c r="BF17" s="83"/>
      <c r="BG17" s="83"/>
      <c r="BH17" s="83"/>
      <c r="BI17" s="83"/>
      <c r="BJ17" s="83"/>
      <c r="BK17" s="83"/>
      <c r="BL17" s="83"/>
      <c r="BM17" s="83"/>
      <c r="BN17" s="83"/>
      <c r="BO17" s="83"/>
      <c r="BP17" s="112"/>
      <c r="BQ17" s="112"/>
      <c r="BR17" s="112"/>
      <c r="BS17" s="112"/>
      <c r="BT17" s="112"/>
      <c r="BU17" s="112"/>
      <c r="BV17" s="112"/>
      <c r="BW17" s="112"/>
      <c r="BX17" s="112"/>
      <c r="BY17" s="112"/>
      <c r="BZ17" s="112"/>
      <c r="CA17" s="112"/>
      <c r="CB17" s="108"/>
      <c r="CC17" s="154" t="s">
        <v>162</v>
      </c>
    </row>
    <row r="18">
      <c r="A18" s="51" t="s">
        <v>95</v>
      </c>
      <c r="B18" s="51">
        <f>VLOOKUP(A18,SILOMS!C:F,4,0)</f>
        <v>2704</v>
      </c>
      <c r="C18" s="58">
        <f>VLOOKUP(A18,SILOMS!O:Q,3,0)</f>
        <v>203.0694444</v>
      </c>
      <c r="D18" s="60">
        <f>IF(C18*24&lt;1500,1500-(C18*24),IF(C18*24&lt;3000,3000-(C18*24),5000-(C18*24)))
</f>
        <v>126.3333333</v>
      </c>
      <c r="E18" s="51">
        <f>VLOOKUP(B18,'Hora por anv'!B:D,3,0)</f>
        <v>8.35106383</v>
      </c>
      <c r="F18" s="65">
        <f>E18*'Hora por anv'!$H$1</f>
        <v>39.25</v>
      </c>
      <c r="G18" s="67">
        <f t="shared" si="1"/>
        <v>15.12781316</v>
      </c>
      <c r="H18" s="68">
        <v>1.0</v>
      </c>
      <c r="I18" s="68">
        <v>1.0</v>
      </c>
      <c r="J18" s="68">
        <v>1.0</v>
      </c>
      <c r="K18" s="68"/>
      <c r="L18" s="144" t="s">
        <v>139</v>
      </c>
      <c r="M18" s="71"/>
      <c r="N18" s="71"/>
      <c r="O18" s="78" t="s">
        <v>51</v>
      </c>
      <c r="Q18" s="73" t="s">
        <v>84</v>
      </c>
      <c r="R18" s="72"/>
      <c r="S18" s="72"/>
      <c r="T18" s="75"/>
      <c r="U18" s="75"/>
      <c r="V18" s="75"/>
      <c r="W18" s="75"/>
      <c r="X18" s="75"/>
      <c r="Y18" s="75"/>
      <c r="Z18" s="109"/>
      <c r="AA18" s="109">
        <f>(D18-F18)/14.32</f>
        <v>6.081238361</v>
      </c>
      <c r="AB18" s="109"/>
      <c r="AC18" s="109"/>
      <c r="AD18" s="109"/>
      <c r="AE18" s="109"/>
      <c r="AF18" s="145"/>
      <c r="AG18" s="82"/>
      <c r="AH18" s="82"/>
      <c r="AI18" s="82"/>
      <c r="AJ18" s="82"/>
      <c r="AK18" s="82"/>
      <c r="AL18" s="78" t="s">
        <v>51</v>
      </c>
      <c r="AM18" s="82"/>
      <c r="AN18" s="82"/>
      <c r="AO18" s="82"/>
      <c r="AP18" s="82"/>
      <c r="AQ18" s="82"/>
      <c r="AR18" s="112"/>
      <c r="AS18" s="112"/>
      <c r="AT18" s="112"/>
      <c r="AU18" s="112"/>
      <c r="AV18" s="112"/>
      <c r="AW18" s="112"/>
      <c r="AX18" s="112"/>
      <c r="AY18" s="112"/>
      <c r="AZ18" s="112"/>
      <c r="BA18" s="112"/>
      <c r="BB18" s="112"/>
      <c r="BC18" s="112"/>
      <c r="BD18" s="83"/>
      <c r="BE18" s="83"/>
      <c r="BF18" s="83"/>
      <c r="BG18" s="83"/>
      <c r="BH18" s="83"/>
      <c r="BI18" s="83"/>
      <c r="BJ18" s="83"/>
      <c r="BK18" s="83"/>
      <c r="BL18" s="83"/>
      <c r="BM18" s="83"/>
      <c r="BN18" s="83"/>
      <c r="BO18" s="83"/>
      <c r="BP18" s="112"/>
      <c r="BQ18" s="112"/>
      <c r="BR18" s="112"/>
      <c r="BS18" s="112"/>
      <c r="BT18" s="112"/>
      <c r="BU18" s="112"/>
      <c r="BV18" s="112"/>
      <c r="BW18" s="112"/>
      <c r="BX18" s="112"/>
      <c r="BY18" s="112"/>
      <c r="BZ18" s="112"/>
      <c r="CA18" s="112"/>
      <c r="CB18" s="108"/>
      <c r="CC18" s="118" t="s">
        <v>187</v>
      </c>
    </row>
    <row r="19">
      <c r="A19" s="51" t="s">
        <v>133</v>
      </c>
      <c r="B19" s="51">
        <f>VLOOKUP(A19,SILOMS!C:F,4,0)</f>
        <v>2720</v>
      </c>
      <c r="C19" s="58">
        <f>VLOOKUP(A19,SILOMS!O:Q,3,0)</f>
        <v>133.7222222</v>
      </c>
      <c r="D19" s="60">
        <f>IF(C19*24&lt;1500,1500-(C19*24),IF(C19*24&lt;2764.75,2764.75-(C19*24),4000-(C19*24)))
</f>
        <v>790.6666667</v>
      </c>
      <c r="E19" s="51">
        <f>VLOOKUP(B19,'Hora por anv'!B:D,3,0)</f>
        <v>51.37446809</v>
      </c>
      <c r="F19" s="65">
        <f>E19*'Hora por anv'!$H$1</f>
        <v>241.46</v>
      </c>
      <c r="G19" s="67">
        <f t="shared" si="1"/>
        <v>15.39026478</v>
      </c>
      <c r="H19" s="68">
        <v>1.0</v>
      </c>
      <c r="I19" s="68">
        <v>1.0</v>
      </c>
      <c r="J19" s="68">
        <v>1.0</v>
      </c>
      <c r="K19" s="68" t="s">
        <v>77</v>
      </c>
      <c r="L19" s="68" t="s">
        <v>77</v>
      </c>
      <c r="M19" s="71"/>
      <c r="N19" s="71"/>
      <c r="O19" s="72"/>
      <c r="Q19" s="73" t="s">
        <v>84</v>
      </c>
      <c r="R19" s="72"/>
      <c r="S19" s="72"/>
      <c r="T19" s="75"/>
      <c r="U19" s="75"/>
      <c r="V19" s="75"/>
      <c r="W19" s="75"/>
      <c r="X19" s="75"/>
      <c r="Y19" s="75"/>
      <c r="Z19" s="109"/>
      <c r="AA19" s="109">
        <f>(D19-F19)/40.42</f>
        <v>13.58749794</v>
      </c>
      <c r="AB19" s="109"/>
      <c r="AC19" s="109"/>
      <c r="AD19" s="109"/>
      <c r="AE19" s="109"/>
      <c r="AF19" s="82"/>
      <c r="AG19" s="145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112"/>
      <c r="AS19" s="78" t="s">
        <v>51</v>
      </c>
      <c r="AT19" s="112"/>
      <c r="AU19" s="112"/>
      <c r="AV19" s="112"/>
      <c r="AW19" s="112"/>
      <c r="AX19" s="112"/>
      <c r="AY19" s="112"/>
      <c r="AZ19" s="112"/>
      <c r="BA19" s="112"/>
      <c r="BB19" s="112"/>
      <c r="BC19" s="112"/>
      <c r="BD19" s="83"/>
      <c r="BE19" s="83"/>
      <c r="BF19" s="83"/>
      <c r="BG19" s="83"/>
      <c r="BH19" s="83"/>
      <c r="BI19" s="83"/>
      <c r="BJ19" s="83"/>
      <c r="BK19" s="83"/>
      <c r="BL19" s="83"/>
      <c r="BM19" s="83"/>
      <c r="BN19" s="83"/>
      <c r="BO19" s="83"/>
      <c r="BP19" s="112"/>
      <c r="BQ19" s="112"/>
      <c r="BR19" s="112"/>
      <c r="BS19" s="112"/>
      <c r="BT19" s="112"/>
      <c r="BU19" s="112"/>
      <c r="BV19" s="112"/>
      <c r="BW19" s="112"/>
      <c r="BX19" s="112"/>
      <c r="BY19" s="112"/>
      <c r="BZ19" s="112"/>
      <c r="CA19" s="112"/>
      <c r="CB19" s="119" t="s">
        <v>223</v>
      </c>
      <c r="CC19" s="119" t="s">
        <v>190</v>
      </c>
    </row>
    <row r="20">
      <c r="A20" s="51" t="s">
        <v>67</v>
      </c>
      <c r="B20" s="51">
        <f>VLOOKUP(A20,SILOMS!C:F,4,0)</f>
        <v>2708</v>
      </c>
      <c r="C20" s="58">
        <f>VLOOKUP(A20,SILOMS!O:Q,3,0)</f>
        <v>95.65625</v>
      </c>
      <c r="D20" s="60">
        <f t="shared" ref="D20:D21" si="3">IF(C20*24&lt;1500,1500-(C20*24),IF(C20*24&lt;3000,3000-(C20*24),4000-(C20*24)))
</f>
        <v>704.25</v>
      </c>
      <c r="E20" s="51">
        <f>VLOOKUP(B20,'Hora por anv'!B:D,3,0)</f>
        <v>42.09219858</v>
      </c>
      <c r="F20" s="65">
        <f>E20*'Hora por anv'!$H$1</f>
        <v>197.8333333</v>
      </c>
      <c r="G20" s="67">
        <f t="shared" si="1"/>
        <v>16.7311289</v>
      </c>
      <c r="H20" s="68">
        <v>1.0</v>
      </c>
      <c r="I20" s="68">
        <v>1.0</v>
      </c>
      <c r="J20" s="68">
        <v>1.0</v>
      </c>
      <c r="K20" s="68"/>
      <c r="L20" s="68"/>
      <c r="M20" s="71"/>
      <c r="N20" s="71"/>
      <c r="O20" s="72"/>
      <c r="Q20" s="73" t="s">
        <v>84</v>
      </c>
      <c r="R20" s="72"/>
      <c r="S20" s="72"/>
      <c r="T20" s="75"/>
      <c r="U20" s="75"/>
      <c r="V20" s="75"/>
      <c r="W20" s="75"/>
      <c r="X20" s="75">
        <v>22.5</v>
      </c>
      <c r="Y20" s="75">
        <v>25.0</v>
      </c>
      <c r="Z20" s="109"/>
      <c r="AA20" s="109">
        <f>(D20-F20)/42.48</f>
        <v>11.9212963</v>
      </c>
      <c r="AB20" s="109"/>
      <c r="AC20" s="109"/>
      <c r="AD20" s="109"/>
      <c r="AE20" s="109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3"/>
      <c r="AR20" s="144" t="s">
        <v>139</v>
      </c>
      <c r="AS20" s="112"/>
      <c r="AT20" s="112"/>
      <c r="AU20" s="112"/>
      <c r="AW20" s="112"/>
      <c r="AX20" s="112"/>
      <c r="AY20" s="112"/>
      <c r="AZ20" s="112"/>
      <c r="BA20" s="112"/>
      <c r="BB20" s="112"/>
      <c r="BC20" s="112"/>
      <c r="BD20" s="83"/>
      <c r="BE20" s="83"/>
      <c r="BF20" s="83"/>
      <c r="BG20" s="83"/>
      <c r="BH20" s="83"/>
      <c r="BI20" s="83"/>
      <c r="BJ20" s="83"/>
      <c r="BK20" s="83"/>
      <c r="BL20" s="83"/>
      <c r="BM20" s="83"/>
      <c r="BN20" s="83"/>
      <c r="BO20" s="83"/>
      <c r="BP20" s="112"/>
      <c r="BQ20" s="112"/>
      <c r="BR20" s="112"/>
      <c r="BS20" s="78" t="s">
        <v>51</v>
      </c>
      <c r="BT20" s="112"/>
      <c r="BU20" s="112"/>
      <c r="BV20" s="112"/>
      <c r="BW20" s="112"/>
      <c r="BX20" s="112"/>
      <c r="BY20" s="112"/>
      <c r="BZ20" s="112"/>
      <c r="CA20" s="112"/>
      <c r="CB20" s="132"/>
      <c r="CC20" s="118"/>
    </row>
    <row r="21">
      <c r="A21" s="51" t="s">
        <v>130</v>
      </c>
      <c r="B21" s="51">
        <f>VLOOKUP(A21,SILOMS!C:F,4,0)</f>
        <v>2737</v>
      </c>
      <c r="C21" s="58">
        <f>VLOOKUP(A21,SILOMS!O:Q,3,0)</f>
        <v>15.71875</v>
      </c>
      <c r="D21" s="60">
        <f t="shared" si="3"/>
        <v>1122.75</v>
      </c>
      <c r="E21" s="51">
        <f>VLOOKUP(B21,'Hora por anv'!B:D,3,0)</f>
        <v>55.52851064</v>
      </c>
      <c r="F21" s="65">
        <f>E21*'Hora por anv'!$H$1</f>
        <v>260.984</v>
      </c>
      <c r="G21" s="67">
        <f t="shared" si="1"/>
        <v>20.21934295</v>
      </c>
      <c r="H21" s="161" t="s">
        <v>77</v>
      </c>
      <c r="I21" s="161" t="s">
        <v>77</v>
      </c>
      <c r="J21" s="161" t="s">
        <v>77</v>
      </c>
      <c r="K21" s="161" t="s">
        <v>77</v>
      </c>
      <c r="L21" s="161" t="s">
        <v>77</v>
      </c>
      <c r="M21" s="162"/>
      <c r="N21" s="162"/>
      <c r="O21" s="162"/>
      <c r="P21" s="74"/>
      <c r="Q21" s="120"/>
      <c r="R21" s="120"/>
      <c r="S21" s="120"/>
      <c r="T21" s="112"/>
      <c r="U21" s="112"/>
      <c r="V21" s="112"/>
      <c r="W21" s="112"/>
      <c r="X21" s="112"/>
      <c r="Y21" s="112">
        <v>30.0</v>
      </c>
      <c r="Z21" s="109"/>
      <c r="AA21" s="109">
        <f>(D21-F21)/49.63</f>
        <v>17.36381221</v>
      </c>
      <c r="AB21" s="109"/>
      <c r="AC21" s="109"/>
      <c r="AD21" s="109"/>
      <c r="AE21" s="109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12"/>
      <c r="AS21" s="112"/>
      <c r="AT21" s="112"/>
      <c r="AU21" s="112"/>
      <c r="AV21" s="112"/>
      <c r="AW21" s="144" t="s">
        <v>139</v>
      </c>
      <c r="AX21" s="112"/>
      <c r="AY21" s="112"/>
      <c r="AZ21" s="112"/>
      <c r="BA21" s="112"/>
      <c r="BC21" s="112"/>
      <c r="BD21" s="83"/>
      <c r="BE21" s="83"/>
      <c r="BF21" s="83"/>
      <c r="BG21" s="83"/>
      <c r="BH21" s="83"/>
      <c r="BI21" s="83"/>
      <c r="BJ21" s="83"/>
      <c r="BK21" s="83"/>
      <c r="BL21" s="83"/>
      <c r="BM21" s="83"/>
      <c r="BN21" s="83"/>
      <c r="BO21" s="83"/>
      <c r="BP21" s="112"/>
      <c r="BQ21" s="112"/>
      <c r="BR21" s="112"/>
      <c r="BS21" s="112"/>
      <c r="BT21" s="112"/>
      <c r="BU21" s="112"/>
      <c r="BV21" s="112"/>
      <c r="BW21" s="112"/>
      <c r="BX21" s="112"/>
      <c r="BY21" s="112"/>
      <c r="BZ21" s="112"/>
      <c r="CA21" s="112"/>
      <c r="CB21" s="107" t="s">
        <v>227</v>
      </c>
      <c r="CC21" s="108"/>
    </row>
    <row r="22">
      <c r="A22" s="51" t="s">
        <v>90</v>
      </c>
      <c r="B22" s="51">
        <f>VLOOKUP(A22,SILOMS!C:F,4,0)</f>
        <v>2733</v>
      </c>
      <c r="C22" s="58">
        <f>VLOOKUP(A22,SILOMS!O:Q,3,0)</f>
        <v>172.3298611</v>
      </c>
      <c r="D22" s="60">
        <f>IF(C22*24&lt;1500,1500-(C22*24),IF(C22*24&lt;4034,4034-(C22*24),4500-(C22*24)))
</f>
        <v>364.0833333</v>
      </c>
      <c r="E22" s="51">
        <f>VLOOKUP(B22,'Hora por anv'!B:D,3,0)</f>
        <v>17.77163121</v>
      </c>
      <c r="F22" s="65">
        <f>E22*'Hora por anv'!$H$1</f>
        <v>83.52666667</v>
      </c>
      <c r="G22" s="67">
        <f t="shared" si="1"/>
        <v>20.48677069</v>
      </c>
      <c r="H22" s="68">
        <v>1.0</v>
      </c>
      <c r="I22" s="68">
        <v>1.0</v>
      </c>
      <c r="J22" s="68">
        <v>1.0</v>
      </c>
      <c r="K22" s="68"/>
      <c r="L22" s="68"/>
      <c r="M22" s="71"/>
      <c r="N22" s="71"/>
      <c r="O22" s="72"/>
      <c r="Q22" s="94" t="s">
        <v>99</v>
      </c>
      <c r="R22" s="72"/>
      <c r="S22" s="72"/>
      <c r="T22" s="75"/>
      <c r="U22" s="75"/>
      <c r="V22" s="75"/>
      <c r="W22" s="75"/>
      <c r="X22" s="222" t="s">
        <v>228</v>
      </c>
      <c r="Y22" s="75"/>
      <c r="Z22" s="109"/>
      <c r="AA22" s="109">
        <f>(D22-F22)/33.81</f>
        <v>8.298038056</v>
      </c>
      <c r="AB22" s="109"/>
      <c r="AC22" s="109"/>
      <c r="AD22" s="109"/>
      <c r="AE22" s="109"/>
      <c r="AF22" s="82"/>
      <c r="AG22" s="82"/>
      <c r="AH22" s="82"/>
      <c r="AI22" s="82"/>
      <c r="AJ22" s="82"/>
      <c r="AK22" s="82"/>
      <c r="AL22" s="82"/>
      <c r="AN22" s="78" t="s">
        <v>51</v>
      </c>
      <c r="AO22" s="82"/>
      <c r="AP22" s="82"/>
      <c r="AQ22" s="82"/>
      <c r="AR22" s="112"/>
      <c r="AS22" s="112"/>
      <c r="AT22" s="112"/>
      <c r="AU22" s="112"/>
      <c r="AV22" s="112"/>
      <c r="AW22" s="112"/>
      <c r="AX22" s="112"/>
      <c r="AY22" s="112"/>
      <c r="AZ22" s="112"/>
      <c r="BA22" s="112"/>
      <c r="BB22" s="112"/>
      <c r="BC22" s="112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112"/>
      <c r="BQ22" s="112"/>
      <c r="BR22" s="112"/>
      <c r="BS22" s="112"/>
      <c r="BT22" s="112"/>
      <c r="BU22" s="112"/>
      <c r="BV22" s="112"/>
      <c r="BW22" s="112"/>
      <c r="BX22" s="112"/>
      <c r="BY22" s="112"/>
      <c r="BZ22" s="112"/>
      <c r="CA22" s="112"/>
      <c r="CB22" s="84" t="s">
        <v>102</v>
      </c>
      <c r="CC22" s="98" t="s">
        <v>103</v>
      </c>
    </row>
    <row r="23" hidden="1">
      <c r="A23" s="51" t="s">
        <v>85</v>
      </c>
      <c r="B23" s="51" t="b">
        <f>VLOOKUP(A23,SILOMS!C:F,4,0)</f>
        <v>0</v>
      </c>
      <c r="C23" s="181">
        <f>VLOOKUP(A23,SILOMS!O:Q,3,0)</f>
        <v>2.465277778</v>
      </c>
      <c r="D23" s="60">
        <f t="shared" ref="D23:D29" si="4">IF(C23*24&lt;1500,1500-(C23*24),IF(C23*24&lt;3000,3000-(C23*24),4000-(C23*24)))
</f>
        <v>1440.833333</v>
      </c>
      <c r="E23" s="51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161"/>
      <c r="I23" s="161"/>
      <c r="J23" s="161"/>
      <c r="K23" s="161"/>
      <c r="L23" s="161"/>
      <c r="M23" s="162"/>
      <c r="N23" s="162"/>
      <c r="O23" s="162"/>
      <c r="P23" s="74"/>
      <c r="Q23" s="120"/>
      <c r="R23" s="120"/>
      <c r="S23" s="120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12"/>
      <c r="AS23" s="112"/>
      <c r="AT23" s="112"/>
      <c r="AU23" s="112"/>
      <c r="AV23" s="112"/>
      <c r="AW23" s="112"/>
      <c r="AX23" s="112"/>
      <c r="AY23" s="112"/>
      <c r="AZ23" s="112"/>
      <c r="BA23" s="112"/>
      <c r="BB23" s="112"/>
      <c r="BC23" s="112"/>
      <c r="BD23" s="83"/>
      <c r="BE23" s="144" t="s">
        <v>139</v>
      </c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112"/>
      <c r="BQ23" s="112"/>
      <c r="BR23" s="112"/>
      <c r="BS23" s="112"/>
      <c r="BT23" s="112"/>
      <c r="BU23" s="112"/>
      <c r="BV23" s="112"/>
      <c r="BW23" s="112"/>
      <c r="BX23" s="112"/>
      <c r="BY23" s="112"/>
      <c r="BZ23" s="112"/>
      <c r="CA23" s="112"/>
      <c r="CB23" s="154"/>
      <c r="CC23" s="108"/>
    </row>
    <row r="24" hidden="1">
      <c r="A24" s="51" t="s">
        <v>137</v>
      </c>
      <c r="B24" s="51" t="b">
        <f>VLOOKUP(A24,SILOMS!C:F,4,0)</f>
        <v>0</v>
      </c>
      <c r="C24" s="58">
        <f>VLOOKUP(A24,SILOMS!O:Q,3,0)</f>
        <v>11.13194444</v>
      </c>
      <c r="D24" s="60">
        <f t="shared" si="4"/>
        <v>1232.833333</v>
      </c>
      <c r="E24" s="51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161" t="s">
        <v>77</v>
      </c>
      <c r="I24" s="161" t="s">
        <v>77</v>
      </c>
      <c r="J24" s="161" t="s">
        <v>77</v>
      </c>
      <c r="K24" s="161" t="s">
        <v>77</v>
      </c>
      <c r="L24" s="161" t="s">
        <v>77</v>
      </c>
      <c r="M24" s="162"/>
      <c r="N24" s="162"/>
      <c r="O24" s="162"/>
      <c r="P24" s="120"/>
      <c r="Q24" s="73" t="s">
        <v>84</v>
      </c>
      <c r="R24" s="120"/>
      <c r="S24" s="120"/>
      <c r="T24" s="112"/>
      <c r="U24" s="112"/>
      <c r="V24" s="112"/>
      <c r="W24" s="112"/>
      <c r="X24" s="112"/>
      <c r="Y24" s="226" t="s">
        <v>232</v>
      </c>
      <c r="Z24" s="172"/>
      <c r="AA24" s="172"/>
      <c r="AB24" s="172"/>
      <c r="AC24" s="172"/>
      <c r="AD24" s="172"/>
      <c r="AE24" s="17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112"/>
      <c r="AS24" s="112"/>
      <c r="AT24" s="112"/>
      <c r="AU24" s="112"/>
      <c r="AV24" s="112"/>
      <c r="AW24" s="112"/>
      <c r="AX24" s="112"/>
      <c r="AY24" s="112"/>
      <c r="AZ24" s="112"/>
      <c r="BA24" s="112"/>
      <c r="BB24" s="112"/>
      <c r="BC24" s="112"/>
      <c r="BD24" s="83"/>
      <c r="BE24" s="83"/>
      <c r="BF24" s="83"/>
      <c r="BG24" s="83"/>
      <c r="BH24" s="83"/>
      <c r="BI24" s="83"/>
      <c r="BJ24" s="83"/>
      <c r="BK24" s="144" t="s">
        <v>139</v>
      </c>
      <c r="BL24" s="83"/>
      <c r="BM24" s="83"/>
      <c r="BN24" s="83"/>
      <c r="BO24" s="83"/>
      <c r="BP24" s="112"/>
      <c r="BQ24" s="112"/>
      <c r="BR24" s="112"/>
      <c r="BS24" s="112"/>
      <c r="BT24" s="112"/>
      <c r="BU24" s="112"/>
      <c r="BV24" s="112"/>
      <c r="BW24" s="112"/>
      <c r="BX24" s="112"/>
      <c r="BY24" s="112"/>
      <c r="BZ24" s="112"/>
      <c r="CA24" s="112"/>
      <c r="CB24" s="152" t="s">
        <v>233</v>
      </c>
      <c r="CC24" s="154"/>
    </row>
    <row r="25">
      <c r="A25" s="51" t="s">
        <v>89</v>
      </c>
      <c r="B25" s="51">
        <f>VLOOKUP(A25,SILOMS!C:F,4,0)</f>
        <v>2702</v>
      </c>
      <c r="C25" s="58">
        <f>VLOOKUP(A25,SILOMS!O:Q,3,0)</f>
        <v>23.03472222</v>
      </c>
      <c r="D25" s="60">
        <f t="shared" si="4"/>
        <v>947.1666667</v>
      </c>
      <c r="E25" s="51">
        <f>VLOOKUP(B25,'Hora por anv'!B:D,3,0)</f>
        <v>42.09219858</v>
      </c>
      <c r="F25" s="65">
        <f>E25*'Hora por anv'!$H$1</f>
        <v>197.8333333</v>
      </c>
      <c r="G25" s="67">
        <f t="shared" si="1"/>
        <v>22.5021904</v>
      </c>
      <c r="H25" s="161">
        <v>1.0</v>
      </c>
      <c r="I25" s="161">
        <v>1.0</v>
      </c>
      <c r="J25" s="161">
        <v>1.0</v>
      </c>
      <c r="K25" s="161"/>
      <c r="L25" s="161"/>
      <c r="M25" s="162"/>
      <c r="N25" s="162"/>
      <c r="O25" s="162"/>
      <c r="P25" s="216"/>
      <c r="Q25" s="73" t="s">
        <v>84</v>
      </c>
      <c r="R25" s="120"/>
      <c r="S25" s="120"/>
      <c r="T25" s="112"/>
      <c r="U25" s="112"/>
      <c r="V25" s="112"/>
      <c r="W25" s="227" t="s">
        <v>235</v>
      </c>
      <c r="X25" s="75"/>
      <c r="Y25" s="75">
        <v>38.0</v>
      </c>
      <c r="Z25" s="109"/>
      <c r="AA25" s="109">
        <f>(D25-F25)/42.48</f>
        <v>17.63967357</v>
      </c>
      <c r="AB25" s="109"/>
      <c r="AC25" s="109"/>
      <c r="AD25" s="109"/>
      <c r="AE25" s="109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00"/>
      <c r="AQ25" s="83"/>
      <c r="AR25" s="112"/>
      <c r="AS25" s="112"/>
      <c r="AT25" s="112"/>
      <c r="AU25" s="112"/>
      <c r="AV25" s="112"/>
      <c r="AW25" s="144" t="s">
        <v>139</v>
      </c>
      <c r="AX25" s="112"/>
      <c r="AY25" s="112"/>
      <c r="AZ25" s="112"/>
      <c r="BA25" s="112"/>
      <c r="BB25" s="112"/>
      <c r="BC25" s="112"/>
      <c r="BD25" s="83"/>
      <c r="BE25" s="83"/>
      <c r="BF25" s="83"/>
      <c r="BG25" s="83"/>
      <c r="BH25" s="83"/>
      <c r="BI25" s="83"/>
      <c r="BJ25" s="83"/>
      <c r="BK25" s="83"/>
      <c r="BL25" s="83"/>
      <c r="BM25" s="83"/>
      <c r="BN25" s="83"/>
      <c r="BO25" s="83"/>
      <c r="BP25" s="112"/>
      <c r="BQ25" s="112"/>
      <c r="BR25" s="112"/>
      <c r="BS25" s="112"/>
      <c r="BT25" s="112"/>
      <c r="BU25" s="112"/>
      <c r="BV25" s="112"/>
      <c r="BW25" s="112"/>
      <c r="BX25" s="112"/>
      <c r="BY25" s="112"/>
      <c r="BZ25" s="112"/>
      <c r="CA25" s="112"/>
      <c r="CB25" s="119" t="s">
        <v>237</v>
      </c>
      <c r="CC25" s="119"/>
    </row>
    <row r="26">
      <c r="A26" s="51" t="s">
        <v>57</v>
      </c>
      <c r="B26" s="51">
        <f>VLOOKUP(A26,SILOMS!C:F,4,0)</f>
        <v>2738</v>
      </c>
      <c r="C26" s="181">
        <f>VLOOKUP(A26,SILOMS!O:Q,3,0)</f>
        <v>4.170138889</v>
      </c>
      <c r="D26" s="60">
        <f t="shared" si="4"/>
        <v>1399.916667</v>
      </c>
      <c r="E26" s="51">
        <f>VLOOKUP(B26,'Hora por anv'!B:D,3,0)</f>
        <v>55.52851064</v>
      </c>
      <c r="F26" s="65">
        <f>E26*'Hora por anv'!$H$1</f>
        <v>260.984</v>
      </c>
      <c r="G26" s="67">
        <f t="shared" si="1"/>
        <v>25.21077282</v>
      </c>
      <c r="H26" s="161" t="s">
        <v>77</v>
      </c>
      <c r="I26" s="161" t="s">
        <v>77</v>
      </c>
      <c r="J26" s="161" t="s">
        <v>77</v>
      </c>
      <c r="K26" s="161" t="s">
        <v>77</v>
      </c>
      <c r="L26" s="161" t="s">
        <v>77</v>
      </c>
      <c r="M26" s="162"/>
      <c r="N26" s="162"/>
      <c r="O26" s="162"/>
      <c r="P26" s="120"/>
      <c r="Q26" s="120"/>
      <c r="R26" s="120"/>
      <c r="S26" s="120"/>
      <c r="T26" s="112"/>
      <c r="U26" s="112"/>
      <c r="V26" s="112"/>
      <c r="W26" s="112"/>
      <c r="X26" s="112"/>
      <c r="Y26" s="112"/>
      <c r="Z26" s="109"/>
      <c r="AA26" s="109">
        <f>(D26-F26)/49.63</f>
        <v>22.94847203</v>
      </c>
      <c r="AB26" s="109"/>
      <c r="AC26" s="109"/>
      <c r="AD26" s="109"/>
      <c r="AE26" s="109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12"/>
      <c r="AS26" s="112"/>
      <c r="AT26" s="112"/>
      <c r="AU26" s="112"/>
      <c r="AV26" s="112"/>
      <c r="AW26" s="112"/>
      <c r="AX26" s="112"/>
      <c r="AY26" s="112"/>
      <c r="AZ26" s="112"/>
      <c r="BA26" s="112"/>
      <c r="BB26" s="112"/>
      <c r="BC26" s="144" t="s">
        <v>139</v>
      </c>
      <c r="BD26" s="144" t="s">
        <v>139</v>
      </c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112"/>
      <c r="BQ26" s="112"/>
      <c r="BR26" s="112"/>
      <c r="BS26" s="112"/>
      <c r="BT26" s="112"/>
      <c r="BU26" s="112"/>
      <c r="BV26" s="112"/>
      <c r="BW26" s="112"/>
      <c r="BX26" s="112"/>
      <c r="BY26" s="112"/>
      <c r="BZ26" s="112"/>
      <c r="CA26" s="112"/>
      <c r="CB26" s="225"/>
      <c r="CC26" s="108"/>
    </row>
    <row r="27" hidden="1">
      <c r="A27" s="203" t="s">
        <v>115</v>
      </c>
      <c r="B27" s="51" t="b">
        <f>VLOOKUP(A27,SILOMS!C:F,4,0)</f>
        <v>0</v>
      </c>
      <c r="C27" s="181">
        <f>VLOOKUP(A27,SILOMS!O:Q,3,0)</f>
        <v>0</v>
      </c>
      <c r="D27" s="60">
        <f t="shared" si="4"/>
        <v>1500</v>
      </c>
      <c r="E27" s="51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04"/>
      <c r="I27" s="204"/>
      <c r="J27" s="204"/>
      <c r="K27" s="204"/>
      <c r="L27" s="204"/>
      <c r="M27" s="204"/>
      <c r="N27" s="204"/>
      <c r="O27" s="204"/>
      <c r="P27" s="132"/>
      <c r="Q27" s="205"/>
      <c r="R27" s="204"/>
      <c r="S27" s="204"/>
      <c r="T27" s="204"/>
      <c r="U27" s="204"/>
      <c r="V27" s="204"/>
      <c r="W27" s="112"/>
      <c r="X27" s="242" t="s">
        <v>240</v>
      </c>
      <c r="Y27" s="172"/>
      <c r="Z27" s="172"/>
      <c r="AA27" s="172"/>
      <c r="AB27" s="172"/>
      <c r="AC27" s="172"/>
      <c r="AD27" s="172"/>
      <c r="AE27" s="17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112"/>
      <c r="AS27" s="112"/>
      <c r="AT27" s="112"/>
      <c r="AU27" s="112"/>
      <c r="AV27" s="112"/>
      <c r="AW27" s="112"/>
      <c r="AX27" s="112"/>
      <c r="AY27" s="112"/>
      <c r="AZ27" s="112"/>
      <c r="BA27" s="112"/>
      <c r="BB27" s="112"/>
      <c r="BC27" s="112"/>
      <c r="BD27" s="83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112"/>
      <c r="BQ27" s="112"/>
      <c r="BR27" s="112"/>
      <c r="BS27" s="112"/>
      <c r="BT27" s="112"/>
      <c r="BU27" s="112"/>
      <c r="BV27" s="112"/>
      <c r="BW27" s="112"/>
      <c r="BX27" s="112"/>
      <c r="BY27" s="112"/>
      <c r="BZ27" s="112"/>
      <c r="CA27" s="112"/>
      <c r="CB27" s="154"/>
      <c r="CC27" s="201"/>
    </row>
    <row r="28" hidden="1">
      <c r="A28" s="51" t="s">
        <v>92</v>
      </c>
      <c r="B28" s="51" t="b">
        <f>VLOOKUP(A28,SILOMS!C:F,4,0)</f>
        <v>0</v>
      </c>
      <c r="C28" s="58">
        <f>VLOOKUP(A28,SILOMS!O:Q,3,0)</f>
        <v>208.2083333</v>
      </c>
      <c r="D28" s="60">
        <f t="shared" si="4"/>
        <v>-997</v>
      </c>
      <c r="E28" s="51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61" t="s">
        <v>77</v>
      </c>
      <c r="I28" s="161" t="s">
        <v>77</v>
      </c>
      <c r="J28" s="161" t="s">
        <v>77</v>
      </c>
      <c r="K28" s="161" t="s">
        <v>77</v>
      </c>
      <c r="L28" s="161" t="s">
        <v>77</v>
      </c>
      <c r="M28" s="162"/>
      <c r="N28" s="162"/>
      <c r="O28" s="162"/>
      <c r="P28" s="120"/>
      <c r="Q28" s="120"/>
      <c r="R28" s="120"/>
      <c r="S28" s="120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112"/>
      <c r="AS28" s="112"/>
      <c r="AT28" s="112"/>
      <c r="AU28" s="112"/>
      <c r="AV28" s="112"/>
      <c r="AW28" s="112"/>
      <c r="AX28" s="112"/>
      <c r="AY28" s="112"/>
      <c r="AZ28" s="112"/>
      <c r="BA28" s="112"/>
      <c r="BB28" s="112"/>
      <c r="BC28" s="112"/>
      <c r="BD28" s="83"/>
      <c r="BE28" s="83"/>
      <c r="BF28" s="83"/>
      <c r="BG28" s="83"/>
      <c r="BH28" s="83"/>
      <c r="BI28" s="83"/>
      <c r="BJ28" s="83"/>
      <c r="BK28" s="83"/>
      <c r="BL28" s="83"/>
      <c r="BM28" s="83"/>
      <c r="BN28" s="83"/>
      <c r="BO28" s="83"/>
      <c r="BP28" s="112"/>
      <c r="BQ28" s="112"/>
      <c r="BR28" s="112"/>
      <c r="BS28" s="112"/>
      <c r="BT28" s="112"/>
      <c r="BU28" s="112"/>
      <c r="BV28" s="112"/>
      <c r="BW28" s="112"/>
      <c r="BX28" s="112"/>
      <c r="BY28" s="112"/>
      <c r="BZ28" s="112"/>
      <c r="CA28" s="112"/>
      <c r="CB28" s="154"/>
      <c r="CC28" s="108"/>
    </row>
    <row r="29" hidden="1">
      <c r="A29" s="157" t="s">
        <v>104</v>
      </c>
      <c r="B29" s="51" t="b">
        <f>VLOOKUP(A29,SILOMS!C:F,4,0)</f>
        <v>0</v>
      </c>
      <c r="C29" s="58">
        <f>VLOOKUP(A29,SILOMS!O:Q,3,0)</f>
        <v>120.3923611</v>
      </c>
      <c r="D29" s="60">
        <f t="shared" si="4"/>
        <v>110.5833333</v>
      </c>
      <c r="E29" s="51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61" t="s">
        <v>77</v>
      </c>
      <c r="I29" s="161" t="s">
        <v>77</v>
      </c>
      <c r="J29" s="161" t="s">
        <v>77</v>
      </c>
      <c r="K29" s="161" t="s">
        <v>77</v>
      </c>
      <c r="L29" s="161" t="s">
        <v>77</v>
      </c>
      <c r="M29" s="162"/>
      <c r="N29" s="162"/>
      <c r="O29" s="162"/>
      <c r="P29" s="120"/>
      <c r="Q29" s="120"/>
      <c r="R29" s="120"/>
      <c r="S29" s="120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83"/>
      <c r="AG29" s="200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112"/>
      <c r="AS29" s="112"/>
      <c r="AT29" s="112"/>
      <c r="AU29" s="112"/>
      <c r="AV29" s="112"/>
      <c r="AW29" s="112"/>
      <c r="AX29" s="112"/>
      <c r="AY29" s="112"/>
      <c r="AZ29" s="112"/>
      <c r="BA29" s="112"/>
      <c r="BB29" s="112"/>
      <c r="BC29" s="112"/>
      <c r="BD29" s="83"/>
      <c r="BE29" s="83"/>
      <c r="BF29" s="83"/>
      <c r="BG29" s="83"/>
      <c r="BH29" s="83"/>
      <c r="BI29" s="83"/>
      <c r="BJ29" s="83"/>
      <c r="BK29" s="83"/>
      <c r="BL29" s="83"/>
      <c r="BM29" s="83"/>
      <c r="BN29" s="83"/>
      <c r="BO29" s="83"/>
      <c r="BP29" s="112"/>
      <c r="BQ29" s="112"/>
      <c r="BR29" s="112"/>
      <c r="BS29" s="112"/>
      <c r="BT29" s="112"/>
      <c r="BU29" s="112"/>
      <c r="BV29" s="112"/>
      <c r="BW29" s="112"/>
      <c r="BX29" s="112"/>
      <c r="BY29" s="112"/>
      <c r="BZ29" s="112"/>
      <c r="CA29" s="112"/>
      <c r="CB29" s="154"/>
      <c r="CC29" s="108"/>
    </row>
    <row r="30" hidden="1">
      <c r="A30" s="51" t="s">
        <v>65</v>
      </c>
      <c r="B30" s="51" t="b">
        <f>VLOOKUP(A30,SILOMS!C:F,4,0)</f>
        <v>0</v>
      </c>
      <c r="C30" s="58">
        <f>VLOOKUP(A30,SILOMS!O:Q,3,0)</f>
        <v>214.1354167</v>
      </c>
      <c r="D30" s="60">
        <f>IF(C30*24&lt;1500,1500-(C30*24),IF(C30*24&lt;3000,3000-(C30*24),5250-(C30*24)))
</f>
        <v>110.75</v>
      </c>
      <c r="E30" s="51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1"/>
      <c r="N30" s="71"/>
      <c r="O30" s="78" t="s">
        <v>51</v>
      </c>
      <c r="P30" s="216"/>
      <c r="Q30" s="94" t="s">
        <v>99</v>
      </c>
      <c r="R30" s="72"/>
      <c r="S30" s="128"/>
      <c r="T30" s="75"/>
      <c r="U30" s="75"/>
      <c r="V30" s="75"/>
      <c r="W30" s="218" t="s">
        <v>220</v>
      </c>
      <c r="X30" s="172"/>
      <c r="Y30" s="172"/>
      <c r="Z30" s="172"/>
      <c r="AA30" s="173"/>
      <c r="AB30" s="78"/>
      <c r="AC30" s="75"/>
      <c r="AD30" s="75"/>
      <c r="AE30" s="75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12"/>
      <c r="AS30" s="112"/>
      <c r="AT30" s="112"/>
      <c r="AU30" s="112"/>
      <c r="AV30" s="112"/>
      <c r="AW30" s="112"/>
      <c r="AX30" s="112"/>
      <c r="AY30" s="112"/>
      <c r="AZ30" s="112"/>
      <c r="BA30" s="112"/>
      <c r="BB30" s="112"/>
      <c r="BC30" s="112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112"/>
      <c r="BQ30" s="112"/>
      <c r="BR30" s="112"/>
      <c r="BS30" s="112"/>
      <c r="BT30" s="112"/>
      <c r="BU30" s="112"/>
      <c r="BV30" s="112"/>
      <c r="BW30" s="112"/>
      <c r="BX30" s="112"/>
      <c r="BY30" s="112"/>
      <c r="BZ30" s="112"/>
      <c r="CA30" s="112"/>
      <c r="CB30" s="143" t="s">
        <v>221</v>
      </c>
      <c r="CC30" s="118"/>
    </row>
    <row r="31">
      <c r="A31" s="194" t="s">
        <v>108</v>
      </c>
      <c r="B31" s="51">
        <f>VLOOKUP(A31,SILOMS!C:F,4,0)</f>
        <v>2727</v>
      </c>
      <c r="C31" s="181">
        <f>VLOOKUP(A31,SILOMS!O:Q,3,0)</f>
        <v>4.232638889</v>
      </c>
      <c r="D31" s="60">
        <f t="shared" ref="D31:D32" si="5">IF(C31*24&lt;1500,1500-(C31*24),IF(C31*24&lt;3000,3000-(C31*24),4000-(C31*24)))
</f>
        <v>1398.416667</v>
      </c>
      <c r="E31" s="51">
        <f>VLOOKUP(B31,'Hora por anv'!B:D,3,0)</f>
        <v>35.05319149</v>
      </c>
      <c r="F31" s="65">
        <f>E31*'Hora por anv'!$H$1</f>
        <v>164.75</v>
      </c>
      <c r="G31" s="67">
        <f t="shared" si="1"/>
        <v>39.89413252</v>
      </c>
      <c r="H31" s="161" t="s">
        <v>77</v>
      </c>
      <c r="I31" s="161" t="s">
        <v>77</v>
      </c>
      <c r="J31" s="161" t="s">
        <v>77</v>
      </c>
      <c r="K31" s="161" t="s">
        <v>77</v>
      </c>
      <c r="L31" s="161" t="s">
        <v>77</v>
      </c>
      <c r="M31" s="162"/>
      <c r="N31" s="162"/>
      <c r="O31" s="162"/>
      <c r="P31" s="120"/>
      <c r="Q31" s="120"/>
      <c r="R31" s="120"/>
      <c r="S31" s="120"/>
      <c r="T31" s="112"/>
      <c r="U31" s="112"/>
      <c r="V31" s="112"/>
      <c r="W31" s="112"/>
      <c r="X31" s="112"/>
      <c r="Y31" s="112"/>
      <c r="Z31" s="109"/>
      <c r="AA31" s="176">
        <f>(D31-F31)/22.5</f>
        <v>54.82962963</v>
      </c>
      <c r="AB31" s="112"/>
      <c r="AC31" s="112"/>
      <c r="AD31" s="112"/>
      <c r="AE31" s="112"/>
      <c r="AF31" s="83"/>
      <c r="AG31" s="83"/>
      <c r="AH31" s="83"/>
      <c r="AI31" s="83"/>
      <c r="AJ31" s="83"/>
      <c r="AK31" s="83"/>
      <c r="AL31" s="200"/>
      <c r="AM31" s="83"/>
      <c r="AN31" s="83"/>
      <c r="AO31" s="83"/>
      <c r="AP31" s="83"/>
      <c r="AQ31" s="83"/>
      <c r="AR31" s="112"/>
      <c r="AS31" s="112"/>
      <c r="AT31" s="112"/>
      <c r="AU31" s="112"/>
      <c r="AV31" s="112"/>
      <c r="AW31" s="112"/>
      <c r="AX31" s="112"/>
      <c r="AY31" s="112"/>
      <c r="AZ31" s="112"/>
      <c r="BA31" s="112"/>
      <c r="BB31" s="112"/>
      <c r="BC31" s="112"/>
      <c r="BD31" s="83"/>
      <c r="BE31" s="83"/>
      <c r="BF31" s="144" t="s">
        <v>139</v>
      </c>
      <c r="BG31" s="83"/>
      <c r="BH31" s="83"/>
      <c r="BI31" s="83"/>
      <c r="BJ31" s="83"/>
      <c r="BK31" s="82"/>
      <c r="BL31" s="83"/>
      <c r="BM31" s="83"/>
      <c r="BN31" s="83"/>
      <c r="BO31" s="83"/>
      <c r="BP31" s="112"/>
      <c r="BQ31" s="112"/>
      <c r="BR31" s="112"/>
      <c r="BS31" s="112"/>
      <c r="BT31" s="112"/>
      <c r="BU31" s="112"/>
      <c r="BV31" s="112"/>
      <c r="BW31" s="112"/>
      <c r="BX31" s="112"/>
      <c r="BY31" s="112"/>
      <c r="BZ31" s="112"/>
      <c r="CA31" s="112"/>
      <c r="CB31" s="225"/>
      <c r="CC31" s="201"/>
    </row>
    <row r="32" hidden="1">
      <c r="A32" s="51" t="s">
        <v>134</v>
      </c>
      <c r="B32" s="51" t="b">
        <f>VLOOKUP(A32,SILOMS!C:F,4,0)</f>
        <v>0</v>
      </c>
      <c r="C32" s="58">
        <f>VLOOKUP(A32,SILOMS!O:Q,3,0)</f>
        <v>186.6493056</v>
      </c>
      <c r="D32" s="60">
        <f t="shared" si="5"/>
        <v>-479.5833333</v>
      </c>
      <c r="E32" s="51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61" t="s">
        <v>77</v>
      </c>
      <c r="I32" s="161" t="s">
        <v>77</v>
      </c>
      <c r="J32" s="161" t="s">
        <v>77</v>
      </c>
      <c r="K32" s="161" t="s">
        <v>77</v>
      </c>
      <c r="L32" s="161" t="s">
        <v>77</v>
      </c>
      <c r="M32" s="162"/>
      <c r="N32" s="162"/>
      <c r="O32" s="162"/>
      <c r="P32" s="120"/>
      <c r="Q32" s="120"/>
      <c r="R32" s="120"/>
      <c r="S32" s="120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112"/>
      <c r="AS32" s="112"/>
      <c r="AT32" s="112"/>
      <c r="AU32" s="112"/>
      <c r="AV32" s="112"/>
      <c r="AW32" s="112"/>
      <c r="AX32" s="112"/>
      <c r="AY32" s="112"/>
      <c r="AZ32" s="112"/>
      <c r="BA32" s="112"/>
      <c r="BB32" s="112"/>
      <c r="BC32" s="112"/>
      <c r="BD32" s="83"/>
      <c r="BE32" s="83"/>
      <c r="BF32" s="83"/>
      <c r="BG32" s="83"/>
      <c r="BH32" s="83"/>
      <c r="BI32" s="83"/>
      <c r="BJ32" s="83"/>
      <c r="BK32" s="83"/>
      <c r="BL32" s="83"/>
      <c r="BM32" s="83"/>
      <c r="BN32" s="83"/>
      <c r="BO32" s="83"/>
      <c r="BP32" s="112"/>
      <c r="BQ32" s="112"/>
      <c r="BR32" s="112"/>
      <c r="BS32" s="112"/>
      <c r="BT32" s="112"/>
      <c r="BU32" s="112"/>
      <c r="BV32" s="112"/>
      <c r="BW32" s="112"/>
      <c r="BX32" s="112"/>
      <c r="BY32" s="112"/>
      <c r="BZ32" s="112"/>
      <c r="CA32" s="112"/>
      <c r="CB32" s="154"/>
      <c r="CC32" s="108"/>
    </row>
    <row r="33" hidden="1">
      <c r="A33" s="51" t="s">
        <v>140</v>
      </c>
      <c r="B33" s="51" t="b">
        <f>VLOOKUP(A33,SILOMS!C:F,4,0)</f>
        <v>0</v>
      </c>
      <c r="C33" s="58">
        <f>VLOOKUP(A33,SILOMS!O:Q,3,0)</f>
        <v>216.6666667</v>
      </c>
      <c r="D33" s="60">
        <f>IF(C33*24&lt;1500,1500-(C33*24),IF(C33*24&lt;3000,3000-(C33*24),5200-(C33*24)))
</f>
        <v>0</v>
      </c>
      <c r="E33" s="51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4" t="s">
        <v>77</v>
      </c>
      <c r="I33" s="104" t="s">
        <v>77</v>
      </c>
      <c r="J33" s="104" t="s">
        <v>77</v>
      </c>
      <c r="K33" s="104" t="s">
        <v>77</v>
      </c>
      <c r="L33" s="104" t="s">
        <v>77</v>
      </c>
      <c r="M33" s="71"/>
      <c r="N33" s="71"/>
      <c r="O33" s="78" t="s">
        <v>51</v>
      </c>
      <c r="P33" s="216"/>
      <c r="Q33" s="94" t="s">
        <v>99</v>
      </c>
      <c r="R33" s="72"/>
      <c r="S33" s="72"/>
      <c r="T33" s="78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112"/>
      <c r="AS33" s="112"/>
      <c r="AT33" s="112"/>
      <c r="AU33" s="112"/>
      <c r="AV33" s="112"/>
      <c r="AW33" s="112"/>
      <c r="AX33" s="112"/>
      <c r="AY33" s="112"/>
      <c r="AZ33" s="112"/>
      <c r="BA33" s="112"/>
      <c r="BB33" s="112"/>
      <c r="BC33" s="112"/>
      <c r="BD33" s="83"/>
      <c r="BE33" s="83"/>
      <c r="BF33" s="83"/>
      <c r="BG33" s="83"/>
      <c r="BH33" s="83"/>
      <c r="BI33" s="83"/>
      <c r="BJ33" s="83"/>
      <c r="BK33" s="83"/>
      <c r="BL33" s="83"/>
      <c r="BM33" s="83"/>
      <c r="BN33" s="83"/>
      <c r="BO33" s="83"/>
      <c r="BP33" s="112"/>
      <c r="BQ33" s="112"/>
      <c r="BR33" s="112"/>
      <c r="BS33" s="112"/>
      <c r="BT33" s="112"/>
      <c r="BU33" s="112"/>
      <c r="BV33" s="112"/>
      <c r="BW33" s="112"/>
      <c r="BX33" s="112"/>
      <c r="BY33" s="112"/>
      <c r="BZ33" s="112"/>
      <c r="CA33" s="112"/>
      <c r="CB33" s="221" t="s">
        <v>225</v>
      </c>
      <c r="CC33" s="84"/>
    </row>
    <row r="34" hidden="1">
      <c r="A34" s="51" t="s">
        <v>145</v>
      </c>
      <c r="B34" s="51" t="b">
        <f>VLOOKUP(A34,SILOMS!C:F,4,0)</f>
        <v>0</v>
      </c>
      <c r="C34" s="58">
        <f>VLOOKUP(A34,SILOMS!O:Q,3,0)</f>
        <v>201.3506944</v>
      </c>
      <c r="D34" s="60">
        <f t="shared" ref="D34:D42" si="6">IF(C34*24&lt;1500,1500-(C34*24),IF(C34*24&lt;3000,3000-(C34*24),4000-(C34*24)))
</f>
        <v>-832.4166667</v>
      </c>
      <c r="E34" s="51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61">
        <v>1.0</v>
      </c>
      <c r="I34" s="161">
        <v>1.0</v>
      </c>
      <c r="J34" s="161">
        <v>1.0</v>
      </c>
      <c r="K34" s="161"/>
      <c r="L34" s="161"/>
      <c r="M34" s="162"/>
      <c r="N34" s="162"/>
      <c r="O34" s="162"/>
      <c r="P34" s="120"/>
      <c r="Q34" s="120"/>
      <c r="R34" s="120"/>
      <c r="S34" s="120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12"/>
      <c r="AS34" s="112"/>
      <c r="AT34" s="112"/>
      <c r="AU34" s="112"/>
      <c r="AV34" s="112"/>
      <c r="AW34" s="112"/>
      <c r="AX34" s="112"/>
      <c r="AY34" s="112"/>
      <c r="AZ34" s="112"/>
      <c r="BA34" s="112"/>
      <c r="BB34" s="112"/>
      <c r="BC34" s="112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112"/>
      <c r="BQ34" s="112"/>
      <c r="BR34" s="112"/>
      <c r="BS34" s="112"/>
      <c r="BT34" s="112"/>
      <c r="BU34" s="112"/>
      <c r="BV34" s="112"/>
      <c r="BW34" s="112"/>
      <c r="BX34" s="112"/>
      <c r="BY34" s="112"/>
      <c r="BZ34" s="112"/>
      <c r="CA34" s="112"/>
      <c r="CB34" s="154"/>
      <c r="CC34" s="118"/>
    </row>
    <row r="35" hidden="1">
      <c r="A35" s="51" t="s">
        <v>152</v>
      </c>
      <c r="B35" s="51" t="b">
        <f>VLOOKUP(A35,SILOMS!C:F,4,0)</f>
        <v>0</v>
      </c>
      <c r="C35" s="58">
        <f>VLOOKUP(A35,SILOMS!O:Q,3,0)</f>
        <v>192.9097222</v>
      </c>
      <c r="D35" s="60">
        <f t="shared" si="6"/>
        <v>-629.8333333</v>
      </c>
      <c r="E35" s="51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1"/>
      <c r="N35" s="71"/>
      <c r="O35" s="78" t="s">
        <v>51</v>
      </c>
      <c r="P35" s="78" t="s">
        <v>51</v>
      </c>
      <c r="Q35" s="72"/>
      <c r="R35" s="72"/>
      <c r="S35" s="72"/>
      <c r="T35" s="75"/>
      <c r="U35" s="75"/>
      <c r="V35" s="224"/>
      <c r="W35" s="75"/>
      <c r="X35" s="75"/>
      <c r="Y35" s="75"/>
      <c r="Z35" s="75"/>
      <c r="AA35" s="75"/>
      <c r="AB35" s="75"/>
      <c r="AC35" s="75"/>
      <c r="AD35" s="75"/>
      <c r="AE35" s="75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112"/>
      <c r="AS35" s="112"/>
      <c r="AT35" s="112"/>
      <c r="AU35" s="112"/>
      <c r="AV35" s="112"/>
      <c r="AW35" s="112"/>
      <c r="AX35" s="112"/>
      <c r="AY35" s="112"/>
      <c r="AZ35" s="112"/>
      <c r="BA35" s="112"/>
      <c r="BB35" s="112"/>
      <c r="BC35" s="112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112"/>
      <c r="BQ35" s="112"/>
      <c r="BR35" s="112"/>
      <c r="BS35" s="112"/>
      <c r="BT35" s="112"/>
      <c r="BU35" s="112"/>
      <c r="BV35" s="112"/>
      <c r="BW35" s="112"/>
      <c r="BX35" s="112"/>
      <c r="BY35" s="112"/>
      <c r="BZ35" s="112"/>
      <c r="CA35" s="112"/>
      <c r="CB35" s="84"/>
      <c r="CC35" s="108"/>
    </row>
    <row r="36" hidden="1">
      <c r="A36" s="51" t="s">
        <v>158</v>
      </c>
      <c r="B36" s="51" t="b">
        <f>VLOOKUP(A36,SILOMS!C:F,4,0)</f>
        <v>0</v>
      </c>
      <c r="C36" s="58">
        <f>VLOOKUP(A36,SILOMS!O:Q,3,0)</f>
        <v>0</v>
      </c>
      <c r="D36" s="60">
        <f t="shared" si="6"/>
        <v>1500</v>
      </c>
      <c r="E36" s="51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61">
        <v>1.0</v>
      </c>
      <c r="I36" s="161">
        <v>1.0</v>
      </c>
      <c r="J36" s="161">
        <v>1.0</v>
      </c>
      <c r="K36" s="161"/>
      <c r="L36" s="161"/>
      <c r="M36" s="162"/>
      <c r="N36" s="162"/>
      <c r="O36" s="162"/>
      <c r="P36" s="120"/>
      <c r="Q36" s="120"/>
      <c r="R36" s="120"/>
      <c r="S36" s="120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83"/>
      <c r="AG36" s="83"/>
      <c r="AH36" s="83"/>
      <c r="AI36" s="83"/>
      <c r="AJ36" s="200"/>
      <c r="AK36" s="83"/>
      <c r="AL36" s="83"/>
      <c r="AM36" s="83"/>
      <c r="AN36" s="83"/>
      <c r="AO36" s="83"/>
      <c r="AP36" s="83"/>
      <c r="AQ36" s="83"/>
      <c r="AR36" s="112"/>
      <c r="AS36" s="112"/>
      <c r="AT36" s="112"/>
      <c r="AU36" s="112"/>
      <c r="AV36" s="112"/>
      <c r="AW36" s="112"/>
      <c r="AX36" s="112"/>
      <c r="AY36" s="112"/>
      <c r="AZ36" s="112"/>
      <c r="BA36" s="112"/>
      <c r="BB36" s="112"/>
      <c r="BC36" s="112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112"/>
      <c r="BQ36" s="112"/>
      <c r="BR36" s="112"/>
      <c r="BS36" s="112"/>
      <c r="BT36" s="112"/>
      <c r="BU36" s="112"/>
      <c r="BV36" s="112"/>
      <c r="BW36" s="112"/>
      <c r="BX36" s="112"/>
      <c r="BY36" s="112"/>
      <c r="BZ36" s="112"/>
      <c r="CA36" s="112"/>
      <c r="CB36" s="225"/>
      <c r="CC36" s="108"/>
    </row>
    <row r="37" hidden="1">
      <c r="A37" s="51" t="s">
        <v>163</v>
      </c>
      <c r="B37" s="51" t="b">
        <f>VLOOKUP(A37,SILOMS!C:F,4,0)</f>
        <v>0</v>
      </c>
      <c r="C37" s="58">
        <f>VLOOKUP(A37,SILOMS!O:Q,3,0)</f>
        <v>222.8576389</v>
      </c>
      <c r="D37" s="60">
        <f t="shared" si="6"/>
        <v>-1348.583333</v>
      </c>
      <c r="E37" s="51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44" t="s">
        <v>139</v>
      </c>
      <c r="J37" s="68">
        <v>1.0</v>
      </c>
      <c r="K37" s="68"/>
      <c r="L37" s="68"/>
      <c r="M37" s="71"/>
      <c r="N37" s="71"/>
      <c r="O37" s="78" t="s">
        <v>51</v>
      </c>
      <c r="P37" s="78" t="s">
        <v>51</v>
      </c>
      <c r="Q37" s="72"/>
      <c r="R37" s="72"/>
      <c r="S37" s="72"/>
      <c r="T37" s="75"/>
      <c r="U37" s="121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112"/>
      <c r="BQ37" s="112"/>
      <c r="BR37" s="112"/>
      <c r="BS37" s="112"/>
      <c r="BT37" s="112"/>
      <c r="BU37" s="112"/>
      <c r="BV37" s="112"/>
      <c r="BW37" s="112"/>
      <c r="BX37" s="112"/>
      <c r="BY37" s="112"/>
      <c r="BZ37" s="112"/>
      <c r="CA37" s="112"/>
      <c r="CB37" s="85"/>
      <c r="CC37" s="118"/>
    </row>
    <row r="38" hidden="1">
      <c r="A38" s="51" t="s">
        <v>170</v>
      </c>
      <c r="B38" s="51" t="b">
        <f>VLOOKUP(A38,SILOMS!C:F,4,0)</f>
        <v>0</v>
      </c>
      <c r="C38" s="58">
        <f>VLOOKUP(A38,SILOMS!O:Q,3,0)</f>
        <v>139.4548611</v>
      </c>
      <c r="D38" s="60">
        <f t="shared" si="6"/>
        <v>653.0833333</v>
      </c>
      <c r="E38" s="51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61" t="s">
        <v>77</v>
      </c>
      <c r="I38" s="161" t="s">
        <v>77</v>
      </c>
      <c r="J38" s="161" t="s">
        <v>77</v>
      </c>
      <c r="K38" s="161" t="s">
        <v>77</v>
      </c>
      <c r="L38" s="161" t="s">
        <v>77</v>
      </c>
      <c r="M38" s="162"/>
      <c r="N38" s="162"/>
      <c r="O38" s="162"/>
      <c r="P38" s="120"/>
      <c r="Q38" s="120"/>
      <c r="R38" s="120"/>
      <c r="S38" s="120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112"/>
      <c r="AS38" s="112"/>
      <c r="AT38" s="112"/>
      <c r="AU38" s="112"/>
      <c r="AV38" s="112"/>
      <c r="AW38" s="112"/>
      <c r="AX38" s="112"/>
      <c r="AY38" s="112"/>
      <c r="AZ38" s="112"/>
      <c r="BA38" s="112"/>
      <c r="BB38" s="112"/>
      <c r="BC38" s="112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112"/>
      <c r="BQ38" s="112"/>
      <c r="BR38" s="112"/>
      <c r="BS38" s="112"/>
      <c r="BT38" s="112"/>
      <c r="BU38" s="112"/>
      <c r="BV38" s="112"/>
      <c r="BW38" s="112"/>
      <c r="BX38" s="112"/>
      <c r="BY38" s="112"/>
      <c r="BZ38" s="112"/>
      <c r="CA38" s="112"/>
      <c r="CB38" s="154"/>
      <c r="CC38" s="108"/>
    </row>
    <row r="39">
      <c r="A39" s="51" t="s">
        <v>100</v>
      </c>
      <c r="B39" s="51">
        <f>VLOOKUP(A39,SILOMS!C:F,4,0)</f>
        <v>2731</v>
      </c>
      <c r="C39" s="58">
        <f>VLOOKUP(A39,SILOMS!O:Q,3,0)</f>
        <v>16.51041667</v>
      </c>
      <c r="D39" s="60">
        <f t="shared" si="6"/>
        <v>1103.75</v>
      </c>
      <c r="E39" s="51">
        <f>VLOOKUP(B39,'Hora por anv'!B:D,3,0)</f>
        <v>17.77163121</v>
      </c>
      <c r="F39" s="65">
        <f>E39*'Hora por anv'!$H$1</f>
        <v>83.52666667</v>
      </c>
      <c r="G39" s="67">
        <f t="shared" si="1"/>
        <v>62.10741081</v>
      </c>
      <c r="H39" s="161" t="s">
        <v>77</v>
      </c>
      <c r="I39" s="161" t="s">
        <v>77</v>
      </c>
      <c r="J39" s="161" t="s">
        <v>77</v>
      </c>
      <c r="K39" s="161" t="s">
        <v>77</v>
      </c>
      <c r="L39" s="161" t="s">
        <v>77</v>
      </c>
      <c r="M39" s="162"/>
      <c r="N39" s="162"/>
      <c r="O39" s="162"/>
      <c r="P39" s="120"/>
      <c r="Q39" s="73" t="s">
        <v>84</v>
      </c>
      <c r="R39" s="120"/>
      <c r="S39" s="120"/>
      <c r="T39" s="112"/>
      <c r="U39" s="112"/>
      <c r="V39" s="112"/>
      <c r="W39" s="112"/>
      <c r="X39" s="112"/>
      <c r="Y39" s="112"/>
      <c r="Z39" s="109"/>
      <c r="AA39" s="109">
        <f>(D39-F39)/33.81</f>
        <v>30.17519472</v>
      </c>
      <c r="AB39" s="112"/>
      <c r="AC39" s="112"/>
      <c r="AD39" s="112"/>
      <c r="AE39" s="112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12"/>
      <c r="AS39" s="112"/>
      <c r="AT39" s="112"/>
      <c r="AU39" s="112"/>
      <c r="AV39" s="112"/>
      <c r="AW39" s="112"/>
      <c r="AX39" s="112"/>
      <c r="AY39" s="112"/>
      <c r="AZ39" s="112"/>
      <c r="BA39" s="112"/>
      <c r="BB39" s="112"/>
      <c r="BC39" s="112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112"/>
      <c r="BQ39" s="112"/>
      <c r="BR39" s="112"/>
      <c r="BS39" s="112"/>
      <c r="BT39" s="112"/>
      <c r="BU39" s="112"/>
      <c r="BV39" s="112"/>
      <c r="BW39" s="112"/>
      <c r="BX39" s="112"/>
      <c r="BY39" s="144" t="s">
        <v>139</v>
      </c>
      <c r="BZ39" s="112"/>
      <c r="CA39" s="112"/>
      <c r="CB39" s="225"/>
      <c r="CC39" s="108"/>
    </row>
    <row r="40" hidden="1">
      <c r="A40" s="51" t="s">
        <v>173</v>
      </c>
      <c r="B40" s="51" t="b">
        <f>VLOOKUP(A40,SILOMS!C:F,4,0)</f>
        <v>0</v>
      </c>
      <c r="C40" s="58">
        <f>VLOOKUP(A40,SILOMS!O:Q,3,0)</f>
        <v>20.08680556</v>
      </c>
      <c r="D40" s="60">
        <f t="shared" si="6"/>
        <v>1017.916667</v>
      </c>
      <c r="E40" s="51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61" t="s">
        <v>77</v>
      </c>
      <c r="I40" s="161" t="s">
        <v>77</v>
      </c>
      <c r="J40" s="161" t="s">
        <v>77</v>
      </c>
      <c r="K40" s="161" t="s">
        <v>77</v>
      </c>
      <c r="L40" s="161" t="s">
        <v>77</v>
      </c>
      <c r="M40" s="162"/>
      <c r="N40" s="162"/>
      <c r="O40" s="162"/>
      <c r="P40" s="120"/>
      <c r="Q40" s="120"/>
      <c r="R40" s="120"/>
      <c r="S40" s="120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112"/>
      <c r="AS40" s="112"/>
      <c r="AT40" s="112"/>
      <c r="AU40" s="112"/>
      <c r="AV40" s="112"/>
      <c r="AW40" s="112"/>
      <c r="AX40" s="112"/>
      <c r="AY40" s="112"/>
      <c r="AZ40" s="112"/>
      <c r="BA40" s="112"/>
      <c r="BB40" s="112"/>
      <c r="BC40" s="112"/>
      <c r="BD40" s="83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112"/>
      <c r="BQ40" s="112"/>
      <c r="BR40" s="112"/>
      <c r="BS40" s="112"/>
      <c r="BT40" s="112"/>
      <c r="BU40" s="112"/>
      <c r="BV40" s="112"/>
      <c r="BW40" s="112"/>
      <c r="BX40" s="112"/>
      <c r="BY40" s="112"/>
      <c r="BZ40" s="112"/>
      <c r="CA40" s="112"/>
      <c r="CB40" s="154"/>
      <c r="CC40" s="108"/>
    </row>
    <row r="41" hidden="1">
      <c r="A41" s="231" t="s">
        <v>126</v>
      </c>
      <c r="B41" s="51" t="b">
        <f>VLOOKUP(A41,SILOMS!C:F,4,0)</f>
        <v>0</v>
      </c>
      <c r="C41" s="232">
        <f>VLOOKUP(A41,SILOMS!O:Q,3,0)</f>
        <v>5.954861111</v>
      </c>
      <c r="D41" s="233">
        <f t="shared" si="6"/>
        <v>1357.083333</v>
      </c>
      <c r="E41" s="231" t="str">
        <f>VLOOKUP(B41,'Hora por anv'!B:D,3,0)</f>
        <v>#N/A</v>
      </c>
      <c r="F41" s="234" t="str">
        <f>E41*'Hora por anv'!$H$1</f>
        <v>#N/A</v>
      </c>
      <c r="G41" s="235" t="str">
        <f t="shared" si="1"/>
        <v>#N/A</v>
      </c>
      <c r="H41" s="236">
        <v>1.0</v>
      </c>
      <c r="I41" s="236">
        <v>1.0</v>
      </c>
      <c r="J41" s="236">
        <v>1.0</v>
      </c>
      <c r="K41" s="236"/>
      <c r="L41" s="236"/>
      <c r="M41" s="236"/>
      <c r="N41" s="236"/>
      <c r="O41" s="236"/>
      <c r="P41" s="237"/>
      <c r="Q41" s="238" t="s">
        <v>84</v>
      </c>
      <c r="R41" s="236"/>
      <c r="S41" s="236"/>
      <c r="T41" s="112"/>
      <c r="U41" s="112"/>
      <c r="V41" s="112"/>
      <c r="W41" s="112"/>
      <c r="X41" s="239"/>
      <c r="Y41" s="239"/>
      <c r="Z41" s="239"/>
      <c r="AA41" s="239"/>
      <c r="AB41" s="239"/>
      <c r="AC41" s="239"/>
      <c r="AD41" s="239"/>
      <c r="AE41" s="239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112"/>
      <c r="AS41" s="112"/>
      <c r="AT41" s="112"/>
      <c r="AU41" s="112"/>
      <c r="AV41" s="112"/>
      <c r="AW41" s="112"/>
      <c r="AX41" s="112"/>
      <c r="AY41" s="112"/>
      <c r="AZ41" s="112"/>
      <c r="BA41" s="112"/>
      <c r="BB41" s="112"/>
      <c r="BC41" s="112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112"/>
      <c r="BQ41" s="112"/>
      <c r="BR41" s="112"/>
      <c r="BS41" s="112"/>
      <c r="BT41" s="112"/>
      <c r="BU41" s="112"/>
      <c r="BV41" s="112"/>
      <c r="BW41" s="112"/>
      <c r="BX41" s="112"/>
      <c r="BY41" s="112"/>
      <c r="BZ41" s="112"/>
      <c r="CA41" s="112"/>
      <c r="CB41" s="84" t="s">
        <v>239</v>
      </c>
      <c r="CC41" s="241"/>
    </row>
    <row r="42" hidden="1">
      <c r="A42" s="157" t="s">
        <v>178</v>
      </c>
      <c r="B42" s="51" t="b">
        <f>VLOOKUP(A42,SILOMS!C:F,4,0)</f>
        <v>0</v>
      </c>
      <c r="C42" s="232">
        <f>VLOOKUP(A42,SILOMS!O:Q,3,0)</f>
        <v>75.78819444</v>
      </c>
      <c r="D42" s="233">
        <f t="shared" si="6"/>
        <v>1181.083333</v>
      </c>
      <c r="E42" s="231" t="str">
        <f>VLOOKUP(B42,'Hora por anv'!B:D,3,0)</f>
        <v>#N/A</v>
      </c>
      <c r="F42" s="234" t="str">
        <f>E42*'Hora por anv'!$H$1</f>
        <v>#N/A</v>
      </c>
      <c r="G42" s="235" t="str">
        <f t="shared" si="1"/>
        <v>#N/A</v>
      </c>
      <c r="H42" s="243" t="s">
        <v>77</v>
      </c>
      <c r="I42" s="243" t="s">
        <v>77</v>
      </c>
      <c r="J42" s="243" t="s">
        <v>77</v>
      </c>
      <c r="K42" s="243" t="s">
        <v>77</v>
      </c>
      <c r="L42" s="243" t="s">
        <v>77</v>
      </c>
      <c r="M42" s="244"/>
      <c r="N42" s="244"/>
      <c r="O42" s="244"/>
      <c r="P42" s="74"/>
      <c r="Q42" s="74"/>
      <c r="R42" s="74"/>
      <c r="S42" s="74"/>
      <c r="T42" s="245"/>
      <c r="U42" s="245"/>
      <c r="V42" s="245"/>
      <c r="W42" s="112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12"/>
      <c r="AS42" s="112"/>
      <c r="AT42" s="112"/>
      <c r="AU42" s="112"/>
      <c r="AV42" s="112"/>
      <c r="AW42" s="112"/>
      <c r="AX42" s="112"/>
      <c r="AY42" s="112"/>
      <c r="AZ42" s="112"/>
      <c r="BA42" s="112"/>
      <c r="BB42" s="112"/>
      <c r="BC42" s="112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112"/>
      <c r="BQ42" s="112"/>
      <c r="BR42" s="112"/>
      <c r="BS42" s="112"/>
      <c r="BT42" s="112"/>
      <c r="BU42" s="112"/>
      <c r="BV42" s="112"/>
      <c r="BW42" s="112"/>
      <c r="BX42" s="112"/>
      <c r="BY42" s="112"/>
      <c r="BZ42" s="112"/>
      <c r="CA42" s="112"/>
      <c r="CB42" s="154"/>
      <c r="CC42" s="241"/>
    </row>
    <row r="43">
      <c r="A43" s="19"/>
      <c r="B43" s="19"/>
      <c r="C43" s="19"/>
      <c r="D43" s="19"/>
      <c r="E43" s="248"/>
      <c r="F43" s="14"/>
      <c r="G43" s="19"/>
      <c r="H43" s="14"/>
      <c r="I43" s="14"/>
      <c r="J43" s="14"/>
      <c r="K43" s="14"/>
      <c r="L43" s="14"/>
      <c r="M43" s="14"/>
      <c r="N43" s="14"/>
      <c r="O43" s="14"/>
      <c r="P43" s="19"/>
      <c r="Q43" s="248"/>
      <c r="R43" s="14"/>
      <c r="S43" s="14"/>
      <c r="T43" s="14"/>
      <c r="U43" s="14"/>
      <c r="V43" s="14"/>
      <c r="W43" s="14"/>
      <c r="X43" s="14"/>
      <c r="Y43" s="14"/>
      <c r="Z43" s="312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</row>
    <row r="44">
      <c r="A44" s="19"/>
      <c r="B44" s="19"/>
      <c r="C44" s="19"/>
      <c r="D44" s="19"/>
      <c r="E44" s="19"/>
      <c r="F44" s="14"/>
      <c r="G44" s="19"/>
      <c r="H44" s="14"/>
      <c r="I44" s="14"/>
      <c r="J44" s="14"/>
      <c r="K44" s="14"/>
      <c r="L44" s="14"/>
      <c r="M44" s="14"/>
      <c r="N44" s="14"/>
      <c r="O44" s="14"/>
      <c r="P44" s="19"/>
      <c r="Q44" s="248"/>
      <c r="R44" s="14"/>
      <c r="S44" s="14"/>
      <c r="T44" s="14"/>
      <c r="U44" s="14"/>
      <c r="V44" s="14"/>
      <c r="W44" s="14"/>
      <c r="X44" s="14"/>
      <c r="Y44" s="14"/>
      <c r="Z44" s="312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</row>
    <row r="45">
      <c r="A45" s="19"/>
      <c r="B45" s="19"/>
      <c r="C45" s="19"/>
      <c r="D45" s="19"/>
      <c r="E45" s="19"/>
      <c r="F45" s="14"/>
      <c r="G45" s="19"/>
      <c r="H45" s="14"/>
      <c r="I45" s="14"/>
      <c r="J45" s="14"/>
      <c r="K45" s="14"/>
      <c r="L45" s="14"/>
      <c r="M45" s="14"/>
      <c r="N45" s="14"/>
      <c r="O45" s="14"/>
      <c r="P45" s="19"/>
      <c r="Q45" s="248"/>
      <c r="R45" s="14"/>
      <c r="S45" s="14"/>
      <c r="T45" s="14"/>
      <c r="U45" s="14"/>
      <c r="V45" s="14"/>
      <c r="W45" s="14"/>
      <c r="X45" s="14"/>
      <c r="Y45" s="14"/>
      <c r="Z45" s="312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</row>
    <row r="46">
      <c r="A46" s="19"/>
      <c r="B46" s="19"/>
      <c r="C46" s="19"/>
      <c r="D46" s="19"/>
      <c r="E46" s="249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9"/>
      <c r="R46" s="14"/>
      <c r="S46" s="14"/>
      <c r="T46" s="14"/>
      <c r="U46" s="14"/>
      <c r="V46" s="14"/>
      <c r="W46" s="14"/>
      <c r="X46" s="14"/>
      <c r="Y46" s="14"/>
      <c r="Z46" s="312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</row>
    <row r="47">
      <c r="A47" s="19"/>
      <c r="B47" s="19"/>
      <c r="C47" s="19"/>
      <c r="D47" s="19"/>
      <c r="E47" s="250"/>
      <c r="F47" s="14"/>
      <c r="G47" s="19"/>
      <c r="H47" s="14"/>
      <c r="I47" s="14"/>
      <c r="J47" s="14"/>
      <c r="K47" s="14"/>
      <c r="L47" s="14"/>
      <c r="M47" s="14"/>
      <c r="N47" s="14"/>
      <c r="O47" s="14"/>
      <c r="P47" s="19"/>
      <c r="Q47" s="14"/>
      <c r="R47" s="14"/>
      <c r="S47" s="14"/>
      <c r="T47" s="14"/>
      <c r="U47" s="14"/>
      <c r="V47" s="14"/>
      <c r="W47" s="14"/>
      <c r="X47" s="14"/>
      <c r="Y47" s="14"/>
      <c r="Z47" s="312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</row>
    <row r="48">
      <c r="A48" s="251"/>
      <c r="B48" s="252"/>
      <c r="C48" s="252"/>
      <c r="D48" s="253"/>
      <c r="E48" s="252"/>
      <c r="F48" s="252"/>
      <c r="G48" s="252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1"/>
      <c r="U48" s="251"/>
      <c r="V48" s="251"/>
      <c r="W48" s="251"/>
      <c r="X48" s="251"/>
      <c r="Y48" s="251"/>
      <c r="Z48" s="313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51"/>
      <c r="AT48" s="251"/>
      <c r="AU48" s="252"/>
      <c r="AV48" s="252"/>
      <c r="AW48" s="252"/>
      <c r="AX48" s="252"/>
      <c r="AY48" s="252"/>
      <c r="AZ48" s="252"/>
      <c r="BA48" s="252"/>
      <c r="BB48" s="252"/>
      <c r="BC48" s="252"/>
      <c r="BD48" s="252"/>
      <c r="BE48" s="252"/>
      <c r="BF48" s="252"/>
      <c r="BG48" s="252"/>
      <c r="BH48" s="252"/>
      <c r="BI48" s="252"/>
      <c r="BJ48" s="252"/>
      <c r="BK48" s="252"/>
      <c r="BL48" s="252"/>
      <c r="BM48" s="252"/>
      <c r="BN48" s="252"/>
      <c r="BO48" s="252"/>
      <c r="BP48" s="252"/>
      <c r="BQ48" s="252"/>
      <c r="BR48" s="252"/>
      <c r="BS48" s="252"/>
      <c r="BT48" s="252"/>
      <c r="BU48" s="252"/>
      <c r="BV48" s="252"/>
      <c r="BW48" s="252"/>
      <c r="BX48" s="252"/>
      <c r="BY48" s="252"/>
      <c r="BZ48" s="252"/>
      <c r="CA48" s="252"/>
      <c r="CB48" s="252"/>
      <c r="CC48" s="252"/>
    </row>
    <row r="49">
      <c r="A49" s="19"/>
      <c r="B49" s="19"/>
      <c r="C49" s="19"/>
      <c r="D49" s="19"/>
      <c r="E49" s="248"/>
      <c r="F49" s="14"/>
      <c r="G49" s="19"/>
      <c r="H49" s="14"/>
      <c r="I49" s="14"/>
      <c r="J49" s="14"/>
      <c r="K49" s="14"/>
      <c r="L49" s="14"/>
      <c r="M49" s="14"/>
      <c r="N49" s="14"/>
      <c r="O49" s="14"/>
      <c r="P49" s="19"/>
      <c r="Q49" s="248"/>
      <c r="R49" s="14"/>
      <c r="S49" s="14"/>
      <c r="T49" s="14"/>
      <c r="U49" s="14"/>
      <c r="V49" s="14"/>
      <c r="W49" s="14"/>
      <c r="X49" s="14"/>
      <c r="Y49" s="14"/>
      <c r="Z49" s="312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</row>
    <row r="50">
      <c r="A50" s="19"/>
      <c r="B50" s="19"/>
      <c r="C50" s="14"/>
      <c r="D50" s="19"/>
      <c r="E50" s="261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9"/>
      <c r="Q50" s="14"/>
      <c r="R50" s="14"/>
      <c r="S50" s="14"/>
      <c r="T50" s="14"/>
      <c r="U50" s="14"/>
      <c r="V50" s="14"/>
      <c r="W50" s="14"/>
      <c r="X50" s="14"/>
      <c r="Y50" s="14"/>
      <c r="Z50" s="312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</row>
    <row r="51">
      <c r="A51" s="19"/>
      <c r="B51" s="19"/>
      <c r="C51" s="14"/>
      <c r="D51" s="19"/>
      <c r="E51" s="267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9"/>
      <c r="R51" s="14"/>
      <c r="S51" s="14"/>
      <c r="T51" s="14"/>
      <c r="U51" s="14"/>
      <c r="V51" s="14"/>
      <c r="W51" s="14"/>
      <c r="X51" s="14"/>
      <c r="Y51" s="14"/>
      <c r="Z51" s="312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</row>
    <row r="52">
      <c r="A52" s="19"/>
      <c r="B52" s="19"/>
      <c r="C52" s="14"/>
      <c r="D52" s="19"/>
      <c r="E52" s="267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9"/>
      <c r="R52" s="14"/>
      <c r="S52" s="14"/>
      <c r="T52" s="14"/>
      <c r="U52" s="14"/>
      <c r="V52" s="14"/>
      <c r="W52" s="14"/>
      <c r="X52" s="14"/>
      <c r="Y52" s="14"/>
      <c r="Z52" s="312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</row>
    <row r="53">
      <c r="A53" s="14"/>
      <c r="B53" s="14"/>
      <c r="C53" s="14"/>
      <c r="D53" s="276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12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</row>
    <row r="54">
      <c r="A54" s="14"/>
      <c r="B54" s="14"/>
      <c r="C54" s="14"/>
      <c r="D54" s="276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12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</row>
    <row r="55">
      <c r="A55" s="14"/>
      <c r="B55" s="14"/>
      <c r="C55" s="14"/>
      <c r="D55" s="276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12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289"/>
      <c r="AV55" s="289"/>
      <c r="AW55" s="289"/>
      <c r="AX55" s="289"/>
      <c r="AY55" s="289"/>
      <c r="AZ55" s="289"/>
      <c r="BA55" s="289"/>
      <c r="BB55" s="289"/>
      <c r="BC55" s="289"/>
      <c r="BD55" s="289"/>
      <c r="BE55" s="289"/>
      <c r="BF55" s="289"/>
      <c r="BG55" s="289"/>
      <c r="BH55" s="289"/>
      <c r="BI55" s="289"/>
      <c r="BJ55" s="289"/>
      <c r="BK55" s="289"/>
      <c r="BL55" s="289"/>
      <c r="BM55" s="289"/>
      <c r="BN55" s="289"/>
      <c r="BO55" s="289"/>
      <c r="BP55" s="289"/>
      <c r="BQ55" s="289"/>
      <c r="BR55" s="289"/>
      <c r="BS55" s="289"/>
      <c r="BT55" s="289"/>
      <c r="BU55" s="289"/>
      <c r="BV55" s="289"/>
      <c r="BW55" s="289"/>
      <c r="BX55" s="289"/>
      <c r="BY55" s="289"/>
      <c r="BZ55" s="289"/>
      <c r="CA55" s="289"/>
      <c r="CB55" s="289"/>
      <c r="CC55" s="289"/>
    </row>
    <row r="56">
      <c r="A56" s="14"/>
      <c r="B56" s="14"/>
      <c r="C56" s="14"/>
      <c r="D56" s="276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12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</row>
    <row r="57">
      <c r="A57" s="14"/>
      <c r="B57" s="14"/>
      <c r="C57" s="14"/>
      <c r="D57" s="276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12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</row>
    <row r="58">
      <c r="A58" s="293" t="s">
        <v>51</v>
      </c>
      <c r="B58" s="293" t="s">
        <v>139</v>
      </c>
      <c r="C58" s="19"/>
      <c r="D58" s="294"/>
      <c r="E58" s="19"/>
      <c r="F58" s="19"/>
      <c r="G58" s="19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12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</row>
    <row r="59">
      <c r="A59" s="295">
        <v>4000.0</v>
      </c>
      <c r="B59" s="293">
        <v>1500.0</v>
      </c>
      <c r="C59" s="19"/>
      <c r="D59" s="294"/>
      <c r="E59" s="19"/>
      <c r="F59" s="19"/>
      <c r="G59" s="19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12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</row>
    <row r="60">
      <c r="A60" s="14"/>
      <c r="B60" s="19" t="s">
        <v>248</v>
      </c>
      <c r="C60" s="19"/>
      <c r="D60" s="294"/>
      <c r="E60" s="19"/>
      <c r="F60" s="19"/>
      <c r="G60" s="19"/>
      <c r="H60" s="14"/>
      <c r="I60" s="14"/>
      <c r="J60" s="14"/>
      <c r="K60" s="14"/>
      <c r="L60" s="14"/>
      <c r="M60" s="14"/>
      <c r="N60" s="14"/>
      <c r="O60" s="14"/>
      <c r="P60" s="296"/>
      <c r="Q60" s="14"/>
      <c r="R60" s="14"/>
      <c r="S60" s="14"/>
      <c r="T60" s="14"/>
      <c r="U60" s="14"/>
      <c r="V60" s="14"/>
      <c r="W60" s="14"/>
      <c r="X60" s="14"/>
      <c r="Y60" s="14"/>
      <c r="Z60" s="312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297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</row>
    <row r="61">
      <c r="A61" s="14"/>
      <c r="B61" s="14"/>
      <c r="C61" s="14"/>
      <c r="D61" s="276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12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297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</row>
    <row r="62">
      <c r="A62" s="14"/>
      <c r="B62" s="14"/>
      <c r="C62" s="14"/>
      <c r="D62" s="276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12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00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</row>
    <row r="63">
      <c r="A63" s="14"/>
      <c r="B63" s="14"/>
      <c r="C63" s="14"/>
      <c r="D63" s="276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12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01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</row>
    <row r="64">
      <c r="A64" s="14"/>
      <c r="B64" s="14"/>
      <c r="C64" s="14"/>
      <c r="D64" s="276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12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02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</row>
    <row r="65">
      <c r="A65" s="14"/>
      <c r="B65" s="14"/>
      <c r="C65" s="14"/>
      <c r="D65" s="276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12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</row>
    <row r="66">
      <c r="A66" s="14"/>
      <c r="B66" s="14"/>
      <c r="C66" s="14"/>
      <c r="D66" s="276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12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46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</row>
    <row r="67">
      <c r="A67" s="14"/>
      <c r="B67" s="14"/>
      <c r="C67" s="14"/>
      <c r="D67" s="316"/>
      <c r="E67" s="316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12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</row>
    <row r="68">
      <c r="A68" s="14"/>
      <c r="B68" s="14"/>
      <c r="C68" s="14"/>
      <c r="D68" s="251"/>
      <c r="E68" s="317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12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</row>
    <row r="69">
      <c r="A69" s="14"/>
      <c r="B69" s="14"/>
      <c r="C69" s="14"/>
      <c r="D69" s="251"/>
      <c r="E69" s="318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12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</row>
    <row r="70">
      <c r="A70" s="14"/>
      <c r="B70" s="14"/>
      <c r="C70" s="14"/>
      <c r="D70" s="319"/>
      <c r="E70" s="252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12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</row>
    <row r="71">
      <c r="A71" s="14"/>
      <c r="B71" s="14"/>
      <c r="C71" s="14"/>
      <c r="D71" s="317"/>
      <c r="E71" s="317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12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</row>
    <row r="72">
      <c r="A72" s="14"/>
      <c r="B72" s="14"/>
      <c r="C72" s="14"/>
      <c r="D72" s="319"/>
      <c r="E72" s="320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12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</row>
    <row r="73">
      <c r="A73" s="14"/>
      <c r="B73" s="14"/>
      <c r="C73" s="14"/>
      <c r="D73" s="321"/>
      <c r="E73" s="318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12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</row>
    <row r="74">
      <c r="A74" s="14"/>
      <c r="B74" s="14"/>
      <c r="C74" s="14"/>
      <c r="D74" s="19"/>
      <c r="E74" s="317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12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</row>
    <row r="75">
      <c r="A75" s="14"/>
      <c r="B75" s="14"/>
      <c r="C75" s="14"/>
      <c r="D75" s="317"/>
      <c r="E75" s="251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12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</row>
    <row r="76">
      <c r="A76" s="14"/>
      <c r="B76" s="14"/>
      <c r="C76" s="14"/>
      <c r="D76" s="252"/>
      <c r="E76" s="318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12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</row>
    <row r="77">
      <c r="A77" s="14"/>
      <c r="B77" s="14"/>
      <c r="C77" s="14"/>
      <c r="D77" s="252"/>
      <c r="E77" s="320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12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</row>
    <row r="78">
      <c r="A78" s="14"/>
      <c r="B78" s="14"/>
      <c r="C78" s="14"/>
      <c r="D78" s="319"/>
      <c r="E78" s="320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12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</row>
    <row r="79">
      <c r="A79" s="14"/>
      <c r="B79" s="14"/>
      <c r="C79" s="14"/>
      <c r="D79" s="317"/>
      <c r="E79" s="322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12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</row>
    <row r="80">
      <c r="A80" s="14"/>
      <c r="B80" s="14"/>
      <c r="C80" s="14"/>
      <c r="D80" s="252"/>
      <c r="E80" s="322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12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</row>
    <row r="81">
      <c r="A81" s="14"/>
      <c r="B81" s="14"/>
      <c r="C81" s="14"/>
      <c r="D81" s="322"/>
      <c r="E81" s="252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12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</row>
    <row r="82">
      <c r="A82" s="14"/>
      <c r="B82" s="14"/>
      <c r="C82" s="14"/>
      <c r="D82" s="19"/>
      <c r="E82" s="320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12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</row>
    <row r="83">
      <c r="A83" s="14"/>
      <c r="B83" s="14"/>
      <c r="C83" s="14"/>
      <c r="D83" s="24"/>
      <c r="E83" s="317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12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</row>
    <row r="84">
      <c r="A84" s="14"/>
      <c r="B84" s="14"/>
      <c r="C84" s="14"/>
      <c r="D84" s="252"/>
      <c r="E84" s="320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12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</row>
    <row r="85">
      <c r="A85" s="14"/>
      <c r="B85" s="14"/>
      <c r="C85" s="14"/>
      <c r="D85" s="251"/>
      <c r="E85" s="317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12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</row>
    <row r="86">
      <c r="A86" s="14"/>
      <c r="B86" s="14"/>
      <c r="C86" s="14"/>
      <c r="D86" s="319"/>
      <c r="E86" s="252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12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</row>
    <row r="87">
      <c r="A87" s="14"/>
      <c r="B87" s="14"/>
      <c r="C87" s="14"/>
      <c r="D87" s="322"/>
      <c r="E87" s="252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12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</row>
    <row r="88">
      <c r="A88" s="14"/>
      <c r="B88" s="14"/>
      <c r="C88" s="14"/>
      <c r="D88" s="322"/>
      <c r="E88" s="322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12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</row>
    <row r="89">
      <c r="A89" s="14"/>
      <c r="B89" s="14"/>
      <c r="C89" s="14"/>
      <c r="D89" s="322"/>
      <c r="E89" s="323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12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</row>
    <row r="90">
      <c r="A90" s="14"/>
      <c r="B90" s="14"/>
      <c r="C90" s="14"/>
      <c r="D90" s="322"/>
      <c r="E90" s="252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12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</row>
    <row r="91">
      <c r="A91" s="14"/>
      <c r="B91" s="14"/>
      <c r="C91" s="14"/>
      <c r="D91" s="322"/>
      <c r="E91" s="323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12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</row>
    <row r="92">
      <c r="A92" s="14"/>
      <c r="B92" s="14"/>
      <c r="C92" s="14"/>
      <c r="D92" s="322"/>
      <c r="E92" s="252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12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</row>
    <row r="93">
      <c r="A93" s="14"/>
      <c r="B93" s="14"/>
      <c r="C93" s="14"/>
      <c r="D93" s="322"/>
      <c r="E93" s="252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12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</row>
    <row r="94">
      <c r="A94" s="14"/>
      <c r="B94" s="14"/>
      <c r="C94" s="14"/>
      <c r="D94" s="317"/>
      <c r="E94" s="320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12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</row>
    <row r="95">
      <c r="A95" s="14"/>
      <c r="B95" s="14"/>
      <c r="C95" s="14"/>
      <c r="D95" s="322"/>
      <c r="E95" s="252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12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</row>
    <row r="96">
      <c r="A96" s="14"/>
      <c r="B96" s="14"/>
      <c r="C96" s="14"/>
      <c r="D96" s="322"/>
      <c r="E96" s="252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12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</row>
    <row r="97">
      <c r="A97" s="14"/>
      <c r="B97" s="14"/>
      <c r="C97" s="14"/>
      <c r="D97" s="46"/>
      <c r="E97" s="251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12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</row>
    <row r="98">
      <c r="A98" s="14"/>
      <c r="B98" s="14"/>
      <c r="C98" s="14"/>
      <c r="D98" s="322"/>
      <c r="E98" s="320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12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</row>
    <row r="99">
      <c r="A99" s="14"/>
      <c r="B99" s="14"/>
      <c r="C99" s="14"/>
      <c r="D99" s="251"/>
      <c r="E99" s="252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12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</row>
    <row r="100">
      <c r="A100" s="14"/>
      <c r="B100" s="14"/>
      <c r="C100" s="14"/>
      <c r="D100" s="322"/>
      <c r="E100" s="252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12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</row>
    <row r="101">
      <c r="A101" s="14"/>
      <c r="B101" s="14"/>
      <c r="C101" s="14"/>
      <c r="D101" s="317"/>
      <c r="E101" s="320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12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</row>
    <row r="102">
      <c r="A102" s="14"/>
      <c r="B102" s="14"/>
      <c r="C102" s="14"/>
      <c r="D102" s="322"/>
      <c r="E102" s="252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12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</row>
    <row r="103">
      <c r="A103" s="14"/>
      <c r="B103" s="14"/>
      <c r="C103" s="14"/>
      <c r="D103" s="317"/>
      <c r="E103" s="317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12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</row>
    <row r="104">
      <c r="A104" s="14"/>
      <c r="B104" s="14"/>
      <c r="C104" s="14"/>
      <c r="D104" s="322"/>
      <c r="E104" s="252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12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</row>
    <row r="105">
      <c r="A105" s="14"/>
      <c r="B105" s="14"/>
      <c r="C105" s="14"/>
      <c r="D105" s="251"/>
      <c r="E105" s="252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12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</row>
    <row r="106">
      <c r="A106" s="14"/>
      <c r="B106" s="14"/>
      <c r="C106" s="14"/>
      <c r="D106" s="322"/>
      <c r="E106" s="252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12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</row>
    <row r="107">
      <c r="A107" s="14"/>
      <c r="B107" s="14"/>
      <c r="C107" s="14"/>
      <c r="D107" s="276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12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</row>
    <row r="108">
      <c r="A108" s="14"/>
      <c r="B108" s="14"/>
      <c r="C108" s="14"/>
      <c r="D108" s="276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12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</row>
    <row r="109">
      <c r="A109" s="14"/>
      <c r="B109" s="14"/>
      <c r="C109" s="14"/>
      <c r="D109" s="276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12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</row>
    <row r="110">
      <c r="A110" s="14"/>
      <c r="B110" s="14"/>
      <c r="C110" s="14"/>
      <c r="D110" s="276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12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</row>
    <row r="111">
      <c r="A111" s="14"/>
      <c r="B111" s="14"/>
      <c r="C111" s="14"/>
      <c r="D111" s="276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12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</row>
    <row r="112">
      <c r="A112" s="14"/>
      <c r="B112" s="14"/>
      <c r="C112" s="14"/>
      <c r="D112" s="276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12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</row>
    <row r="113">
      <c r="A113" s="14"/>
      <c r="B113" s="14"/>
      <c r="C113" s="14"/>
      <c r="D113" s="276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12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</row>
    <row r="114">
      <c r="A114" s="14"/>
      <c r="B114" s="14"/>
      <c r="C114" s="14"/>
      <c r="D114" s="276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12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</row>
    <row r="115">
      <c r="A115" s="14"/>
      <c r="B115" s="14"/>
      <c r="C115" s="14"/>
      <c r="D115" s="276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12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</row>
    <row r="116">
      <c r="A116" s="14"/>
      <c r="B116" s="14"/>
      <c r="C116" s="14"/>
      <c r="D116" s="276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12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</row>
    <row r="117">
      <c r="A117" s="14"/>
      <c r="B117" s="14"/>
      <c r="C117" s="14"/>
      <c r="D117" s="276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12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</row>
    <row r="118">
      <c r="A118" s="14"/>
      <c r="B118" s="14"/>
      <c r="C118" s="14"/>
      <c r="D118" s="276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12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</row>
    <row r="119">
      <c r="A119" s="14"/>
      <c r="B119" s="14"/>
      <c r="C119" s="14"/>
      <c r="D119" s="276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12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</row>
    <row r="120">
      <c r="A120" s="14"/>
      <c r="B120" s="14"/>
      <c r="C120" s="14"/>
      <c r="D120" s="276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12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</row>
    <row r="121">
      <c r="A121" s="14"/>
      <c r="B121" s="14"/>
      <c r="C121" s="14"/>
      <c r="D121" s="276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12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</row>
    <row r="122">
      <c r="A122" s="14"/>
      <c r="B122" s="14"/>
      <c r="C122" s="14"/>
      <c r="D122" s="276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12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</row>
    <row r="123">
      <c r="A123" s="14"/>
      <c r="B123" s="14"/>
      <c r="C123" s="14"/>
      <c r="D123" s="276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12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</row>
    <row r="124">
      <c r="A124" s="14"/>
      <c r="B124" s="14"/>
      <c r="C124" s="14"/>
      <c r="D124" s="276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12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</row>
    <row r="125">
      <c r="A125" s="14"/>
      <c r="B125" s="14"/>
      <c r="C125" s="14"/>
      <c r="D125" s="276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12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</row>
    <row r="126">
      <c r="A126" s="14"/>
      <c r="B126" s="14"/>
      <c r="C126" s="14"/>
      <c r="D126" s="276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12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</row>
    <row r="127">
      <c r="A127" s="14"/>
      <c r="B127" s="14"/>
      <c r="C127" s="14"/>
      <c r="D127" s="276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12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</row>
    <row r="128">
      <c r="A128" s="14"/>
      <c r="B128" s="14"/>
      <c r="C128" s="14"/>
      <c r="D128" s="276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12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</row>
    <row r="129">
      <c r="A129" s="14"/>
      <c r="B129" s="14"/>
      <c r="C129" s="14"/>
      <c r="D129" s="276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12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</row>
    <row r="130">
      <c r="A130" s="14"/>
      <c r="B130" s="14"/>
      <c r="C130" s="14"/>
      <c r="D130" s="276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12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</row>
    <row r="131">
      <c r="A131" s="14"/>
      <c r="B131" s="14"/>
      <c r="C131" s="14"/>
      <c r="D131" s="276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12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</row>
    <row r="132">
      <c r="A132" s="14"/>
      <c r="B132" s="14"/>
      <c r="C132" s="14"/>
      <c r="D132" s="276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12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</row>
    <row r="133">
      <c r="A133" s="14"/>
      <c r="B133" s="14"/>
      <c r="C133" s="14"/>
      <c r="D133" s="276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12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</row>
    <row r="134">
      <c r="A134" s="14"/>
      <c r="B134" s="14"/>
      <c r="C134" s="14"/>
      <c r="D134" s="276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12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</row>
    <row r="135">
      <c r="A135" s="14"/>
      <c r="B135" s="14"/>
      <c r="C135" s="14"/>
      <c r="D135" s="276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12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</row>
    <row r="136">
      <c r="A136" s="14"/>
      <c r="B136" s="14"/>
      <c r="C136" s="14"/>
      <c r="D136" s="276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12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</row>
    <row r="137">
      <c r="A137" s="14"/>
      <c r="B137" s="14"/>
      <c r="C137" s="14"/>
      <c r="D137" s="276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12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</row>
    <row r="138">
      <c r="A138" s="14"/>
      <c r="B138" s="14"/>
      <c r="C138" s="14"/>
      <c r="D138" s="276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12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</row>
    <row r="139">
      <c r="A139" s="14"/>
      <c r="B139" s="14"/>
      <c r="C139" s="14"/>
      <c r="D139" s="276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12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</row>
    <row r="140">
      <c r="A140" s="14"/>
      <c r="B140" s="14"/>
      <c r="C140" s="14"/>
      <c r="D140" s="276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12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</row>
    <row r="141">
      <c r="A141" s="14"/>
      <c r="B141" s="14"/>
      <c r="C141" s="14"/>
      <c r="D141" s="276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12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</row>
    <row r="142">
      <c r="A142" s="14"/>
      <c r="B142" s="14"/>
      <c r="C142" s="14"/>
      <c r="D142" s="276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12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</row>
    <row r="143">
      <c r="A143" s="14"/>
      <c r="B143" s="14"/>
      <c r="C143" s="14"/>
      <c r="D143" s="276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12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</row>
    <row r="144">
      <c r="A144" s="14"/>
      <c r="B144" s="14"/>
      <c r="C144" s="14"/>
      <c r="D144" s="276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12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</row>
    <row r="145">
      <c r="A145" s="14"/>
      <c r="B145" s="14"/>
      <c r="C145" s="14"/>
      <c r="D145" s="276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12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</row>
    <row r="146">
      <c r="A146" s="14"/>
      <c r="B146" s="14"/>
      <c r="C146" s="14"/>
      <c r="D146" s="276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12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</row>
    <row r="147">
      <c r="A147" s="14"/>
      <c r="B147" s="14"/>
      <c r="C147" s="14"/>
      <c r="D147" s="276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12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</row>
    <row r="148">
      <c r="A148" s="14"/>
      <c r="B148" s="14"/>
      <c r="C148" s="14"/>
      <c r="D148" s="276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12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</row>
    <row r="149">
      <c r="A149" s="14"/>
      <c r="B149" s="14"/>
      <c r="C149" s="14"/>
      <c r="D149" s="276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12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</row>
    <row r="150">
      <c r="A150" s="14"/>
      <c r="B150" s="14"/>
      <c r="C150" s="14"/>
      <c r="D150" s="276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12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</row>
    <row r="151">
      <c r="A151" s="14"/>
      <c r="B151" s="14"/>
      <c r="C151" s="14"/>
      <c r="D151" s="276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12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</row>
    <row r="152">
      <c r="A152" s="14"/>
      <c r="B152" s="14"/>
      <c r="C152" s="14"/>
      <c r="D152" s="276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12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</row>
    <row r="153">
      <c r="A153" s="14"/>
      <c r="B153" s="14"/>
      <c r="C153" s="14"/>
      <c r="D153" s="276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12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</row>
    <row r="154">
      <c r="A154" s="14"/>
      <c r="B154" s="14"/>
      <c r="C154" s="14"/>
      <c r="D154" s="276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12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</row>
    <row r="155">
      <c r="A155" s="14"/>
      <c r="B155" s="14"/>
      <c r="C155" s="14"/>
      <c r="D155" s="276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12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</row>
    <row r="156">
      <c r="A156" s="14"/>
      <c r="B156" s="14"/>
      <c r="C156" s="14"/>
      <c r="D156" s="276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12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</row>
    <row r="157">
      <c r="A157" s="14"/>
      <c r="B157" s="14"/>
      <c r="C157" s="14"/>
      <c r="D157" s="276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12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</row>
    <row r="158">
      <c r="A158" s="14"/>
      <c r="B158" s="14"/>
      <c r="C158" s="14"/>
      <c r="D158" s="276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12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</row>
    <row r="159">
      <c r="A159" s="14"/>
      <c r="B159" s="14"/>
      <c r="C159" s="14"/>
      <c r="D159" s="276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12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</row>
    <row r="160">
      <c r="A160" s="14"/>
      <c r="B160" s="14"/>
      <c r="C160" s="14"/>
      <c r="D160" s="276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12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</row>
    <row r="161">
      <c r="A161" s="14"/>
      <c r="B161" s="14"/>
      <c r="C161" s="14"/>
      <c r="D161" s="276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12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</row>
    <row r="162">
      <c r="A162" s="14"/>
      <c r="B162" s="14"/>
      <c r="C162" s="14"/>
      <c r="D162" s="276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12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</row>
    <row r="163">
      <c r="A163" s="14"/>
      <c r="B163" s="14"/>
      <c r="C163" s="14"/>
      <c r="D163" s="276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12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</row>
    <row r="164">
      <c r="A164" s="14"/>
      <c r="B164" s="14"/>
      <c r="C164" s="14"/>
      <c r="D164" s="276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12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</row>
    <row r="165">
      <c r="A165" s="14"/>
      <c r="B165" s="14"/>
      <c r="C165" s="14"/>
      <c r="D165" s="276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12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</row>
    <row r="166">
      <c r="A166" s="14"/>
      <c r="B166" s="14"/>
      <c r="C166" s="14"/>
      <c r="D166" s="276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12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</row>
    <row r="167">
      <c r="A167" s="14"/>
      <c r="B167" s="14"/>
      <c r="C167" s="14"/>
      <c r="D167" s="276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12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</row>
    <row r="168">
      <c r="A168" s="14"/>
      <c r="B168" s="14"/>
      <c r="C168" s="14"/>
      <c r="D168" s="276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12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</row>
    <row r="169">
      <c r="A169" s="14"/>
      <c r="B169" s="14"/>
      <c r="C169" s="14"/>
      <c r="D169" s="276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12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</row>
    <row r="170">
      <c r="A170" s="14"/>
      <c r="B170" s="14"/>
      <c r="C170" s="14"/>
      <c r="D170" s="276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12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</row>
    <row r="171">
      <c r="A171" s="14"/>
      <c r="B171" s="14"/>
      <c r="C171" s="14"/>
      <c r="D171" s="276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12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</row>
    <row r="172">
      <c r="A172" s="14"/>
      <c r="B172" s="14"/>
      <c r="C172" s="14"/>
      <c r="D172" s="276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12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</row>
    <row r="173">
      <c r="A173" s="14"/>
      <c r="B173" s="14"/>
      <c r="C173" s="14"/>
      <c r="D173" s="276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12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</row>
    <row r="174">
      <c r="A174" s="14"/>
      <c r="B174" s="14"/>
      <c r="C174" s="14"/>
      <c r="D174" s="276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12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</row>
    <row r="175">
      <c r="A175" s="14"/>
      <c r="B175" s="14"/>
      <c r="C175" s="14"/>
      <c r="D175" s="276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12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</row>
    <row r="176">
      <c r="A176" s="14"/>
      <c r="B176" s="14"/>
      <c r="C176" s="14"/>
      <c r="D176" s="276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12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</row>
    <row r="177">
      <c r="A177" s="14"/>
      <c r="B177" s="14"/>
      <c r="C177" s="14"/>
      <c r="D177" s="276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12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</row>
    <row r="178">
      <c r="A178" s="14"/>
      <c r="B178" s="14"/>
      <c r="C178" s="14"/>
      <c r="D178" s="276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12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</row>
    <row r="179">
      <c r="A179" s="14"/>
      <c r="B179" s="14"/>
      <c r="C179" s="14"/>
      <c r="D179" s="276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12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</row>
    <row r="180">
      <c r="A180" s="14"/>
      <c r="B180" s="14"/>
      <c r="C180" s="14"/>
      <c r="D180" s="276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12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</row>
    <row r="181">
      <c r="A181" s="14"/>
      <c r="B181" s="14"/>
      <c r="C181" s="14"/>
      <c r="D181" s="276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12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</row>
    <row r="182">
      <c r="A182" s="14"/>
      <c r="B182" s="14"/>
      <c r="C182" s="14"/>
      <c r="D182" s="276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12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</row>
    <row r="183">
      <c r="A183" s="14"/>
      <c r="B183" s="14"/>
      <c r="C183" s="14"/>
      <c r="D183" s="276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12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</row>
    <row r="184">
      <c r="A184" s="14"/>
      <c r="B184" s="14"/>
      <c r="C184" s="14"/>
      <c r="D184" s="276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12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</row>
    <row r="185">
      <c r="A185" s="14"/>
      <c r="B185" s="14"/>
      <c r="C185" s="14"/>
      <c r="D185" s="276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12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</row>
    <row r="186">
      <c r="A186" s="14"/>
      <c r="B186" s="14"/>
      <c r="C186" s="14"/>
      <c r="D186" s="276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12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</row>
    <row r="187">
      <c r="A187" s="14"/>
      <c r="B187" s="14"/>
      <c r="C187" s="14"/>
      <c r="D187" s="276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12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</row>
    <row r="188">
      <c r="A188" s="14"/>
      <c r="B188" s="14"/>
      <c r="C188" s="14"/>
      <c r="D188" s="276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12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</row>
    <row r="189">
      <c r="A189" s="14"/>
      <c r="B189" s="14"/>
      <c r="C189" s="14"/>
      <c r="D189" s="276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12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</row>
    <row r="190">
      <c r="A190" s="14"/>
      <c r="B190" s="14"/>
      <c r="C190" s="14"/>
      <c r="D190" s="276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12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</row>
    <row r="191">
      <c r="A191" s="14"/>
      <c r="B191" s="14"/>
      <c r="C191" s="14"/>
      <c r="D191" s="276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12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</row>
    <row r="192">
      <c r="A192" s="14"/>
      <c r="B192" s="14"/>
      <c r="C192" s="14"/>
      <c r="D192" s="276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12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</row>
    <row r="193">
      <c r="A193" s="14"/>
      <c r="B193" s="14"/>
      <c r="C193" s="14"/>
      <c r="D193" s="276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12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</row>
    <row r="194">
      <c r="A194" s="14"/>
      <c r="B194" s="14"/>
      <c r="C194" s="14"/>
      <c r="D194" s="276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12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</row>
    <row r="195">
      <c r="A195" s="14"/>
      <c r="B195" s="14"/>
      <c r="C195" s="14"/>
      <c r="D195" s="276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12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</row>
    <row r="196">
      <c r="A196" s="14"/>
      <c r="B196" s="14"/>
      <c r="C196" s="14"/>
      <c r="D196" s="276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12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</row>
    <row r="197">
      <c r="A197" s="14"/>
      <c r="B197" s="14"/>
      <c r="C197" s="14"/>
      <c r="D197" s="276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12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</row>
    <row r="198">
      <c r="A198" s="14"/>
      <c r="B198" s="14"/>
      <c r="C198" s="14"/>
      <c r="D198" s="276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12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</row>
    <row r="199">
      <c r="A199" s="14"/>
      <c r="B199" s="14"/>
      <c r="C199" s="14"/>
      <c r="D199" s="276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12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</row>
    <row r="200">
      <c r="A200" s="14"/>
      <c r="B200" s="14"/>
      <c r="C200" s="14"/>
      <c r="D200" s="276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12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</row>
    <row r="201">
      <c r="A201" s="14"/>
      <c r="B201" s="14"/>
      <c r="C201" s="14"/>
      <c r="D201" s="276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12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</row>
    <row r="202">
      <c r="A202" s="14"/>
      <c r="B202" s="14"/>
      <c r="C202" s="14"/>
      <c r="D202" s="276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12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</row>
    <row r="203">
      <c r="A203" s="14"/>
      <c r="B203" s="14"/>
      <c r="C203" s="14"/>
      <c r="D203" s="276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12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</row>
    <row r="204">
      <c r="A204" s="14"/>
      <c r="B204" s="14"/>
      <c r="C204" s="14"/>
      <c r="D204" s="276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12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</row>
    <row r="205">
      <c r="A205" s="14"/>
      <c r="B205" s="14"/>
      <c r="C205" s="14"/>
      <c r="D205" s="276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12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</row>
    <row r="206">
      <c r="A206" s="14"/>
      <c r="B206" s="14"/>
      <c r="C206" s="14"/>
      <c r="D206" s="276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12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</row>
    <row r="207">
      <c r="A207" s="14"/>
      <c r="B207" s="14"/>
      <c r="C207" s="14"/>
      <c r="D207" s="276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12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</row>
    <row r="208">
      <c r="A208" s="14"/>
      <c r="B208" s="14"/>
      <c r="C208" s="14"/>
      <c r="D208" s="276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12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</row>
    <row r="209">
      <c r="A209" s="14"/>
      <c r="B209" s="14"/>
      <c r="C209" s="14"/>
      <c r="D209" s="276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12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</row>
    <row r="210">
      <c r="A210" s="14"/>
      <c r="B210" s="14"/>
      <c r="C210" s="14"/>
      <c r="D210" s="276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12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</row>
    <row r="211">
      <c r="A211" s="14"/>
      <c r="B211" s="14"/>
      <c r="C211" s="14"/>
      <c r="D211" s="276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12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</row>
    <row r="212">
      <c r="A212" s="14"/>
      <c r="B212" s="14"/>
      <c r="C212" s="14"/>
      <c r="D212" s="276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12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</row>
    <row r="213">
      <c r="A213" s="14"/>
      <c r="B213" s="14"/>
      <c r="C213" s="14"/>
      <c r="D213" s="276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12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</row>
    <row r="214">
      <c r="A214" s="14"/>
      <c r="B214" s="14"/>
      <c r="C214" s="14"/>
      <c r="D214" s="276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12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</row>
    <row r="215">
      <c r="A215" s="14"/>
      <c r="B215" s="14"/>
      <c r="C215" s="14"/>
      <c r="D215" s="276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12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</row>
    <row r="216">
      <c r="A216" s="14"/>
      <c r="B216" s="14"/>
      <c r="C216" s="14"/>
      <c r="D216" s="276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12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</row>
    <row r="217">
      <c r="A217" s="14"/>
      <c r="B217" s="14"/>
      <c r="C217" s="14"/>
      <c r="D217" s="276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12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</row>
    <row r="218">
      <c r="A218" s="14"/>
      <c r="B218" s="14"/>
      <c r="C218" s="14"/>
      <c r="D218" s="276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12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</row>
    <row r="219">
      <c r="A219" s="14"/>
      <c r="B219" s="14"/>
      <c r="C219" s="14"/>
      <c r="D219" s="276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12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</row>
    <row r="220">
      <c r="A220" s="14"/>
      <c r="B220" s="14"/>
      <c r="C220" s="14"/>
      <c r="D220" s="276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12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</row>
    <row r="221">
      <c r="A221" s="14"/>
      <c r="B221" s="14"/>
      <c r="C221" s="14"/>
      <c r="D221" s="276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12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</row>
    <row r="222">
      <c r="A222" s="14"/>
      <c r="B222" s="14"/>
      <c r="C222" s="14"/>
      <c r="D222" s="276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12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</row>
    <row r="223">
      <c r="A223" s="14"/>
      <c r="B223" s="14"/>
      <c r="C223" s="14"/>
      <c r="D223" s="276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12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</row>
    <row r="224">
      <c r="A224" s="14"/>
      <c r="B224" s="14"/>
      <c r="C224" s="14"/>
      <c r="D224" s="276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12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</row>
    <row r="225">
      <c r="A225" s="14"/>
      <c r="B225" s="14"/>
      <c r="C225" s="14"/>
      <c r="D225" s="276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12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</row>
    <row r="226">
      <c r="A226" s="14"/>
      <c r="B226" s="14"/>
      <c r="C226" s="14"/>
      <c r="D226" s="276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12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</row>
    <row r="227">
      <c r="A227" s="14"/>
      <c r="B227" s="14"/>
      <c r="C227" s="14"/>
      <c r="D227" s="276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12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</row>
    <row r="228">
      <c r="A228" s="14"/>
      <c r="B228" s="14"/>
      <c r="C228" s="14"/>
      <c r="D228" s="276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12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</row>
    <row r="229">
      <c r="A229" s="14"/>
      <c r="B229" s="14"/>
      <c r="C229" s="14"/>
      <c r="D229" s="276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12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</row>
    <row r="230">
      <c r="A230" s="14"/>
      <c r="B230" s="14"/>
      <c r="C230" s="14"/>
      <c r="D230" s="276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12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</row>
    <row r="231">
      <c r="A231" s="14"/>
      <c r="B231" s="14"/>
      <c r="C231" s="14"/>
      <c r="D231" s="276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12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</row>
    <row r="232">
      <c r="A232" s="14"/>
      <c r="B232" s="14"/>
      <c r="C232" s="14"/>
      <c r="D232" s="276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12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</row>
    <row r="233">
      <c r="A233" s="14"/>
      <c r="B233" s="14"/>
      <c r="C233" s="14"/>
      <c r="D233" s="276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12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</row>
    <row r="234">
      <c r="A234" s="14"/>
      <c r="B234" s="14"/>
      <c r="C234" s="14"/>
      <c r="D234" s="276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12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</row>
    <row r="235">
      <c r="A235" s="14"/>
      <c r="B235" s="14"/>
      <c r="C235" s="14"/>
      <c r="D235" s="276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12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</row>
    <row r="236">
      <c r="A236" s="14"/>
      <c r="B236" s="14"/>
      <c r="C236" s="14"/>
      <c r="D236" s="276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12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</row>
    <row r="237">
      <c r="A237" s="14"/>
      <c r="B237" s="14"/>
      <c r="C237" s="14"/>
      <c r="D237" s="276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12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</row>
    <row r="238">
      <c r="A238" s="14"/>
      <c r="B238" s="14"/>
      <c r="C238" s="14"/>
      <c r="D238" s="276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12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</row>
    <row r="239">
      <c r="A239" s="14"/>
      <c r="B239" s="14"/>
      <c r="C239" s="14"/>
      <c r="D239" s="276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12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</row>
    <row r="240">
      <c r="A240" s="14"/>
      <c r="B240" s="14"/>
      <c r="C240" s="14"/>
      <c r="D240" s="276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12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</row>
    <row r="241">
      <c r="A241" s="14"/>
      <c r="B241" s="14"/>
      <c r="C241" s="14"/>
      <c r="D241" s="276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12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</row>
    <row r="242">
      <c r="A242" s="14"/>
      <c r="B242" s="14"/>
      <c r="C242" s="14"/>
      <c r="D242" s="276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12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</row>
    <row r="243">
      <c r="A243" s="14"/>
      <c r="B243" s="14"/>
      <c r="C243" s="14"/>
      <c r="D243" s="276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12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</row>
    <row r="244">
      <c r="A244" s="14"/>
      <c r="B244" s="14"/>
      <c r="C244" s="14"/>
      <c r="D244" s="276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12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</row>
    <row r="245">
      <c r="A245" s="14"/>
      <c r="B245" s="14"/>
      <c r="C245" s="14"/>
      <c r="D245" s="276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12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</row>
    <row r="246">
      <c r="A246" s="14"/>
      <c r="B246" s="14"/>
      <c r="C246" s="14"/>
      <c r="D246" s="276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12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</row>
    <row r="247">
      <c r="A247" s="14"/>
      <c r="B247" s="14"/>
      <c r="C247" s="14"/>
      <c r="D247" s="276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12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</row>
    <row r="248">
      <c r="A248" s="14"/>
      <c r="B248" s="14"/>
      <c r="C248" s="14"/>
      <c r="D248" s="276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12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</row>
    <row r="249">
      <c r="A249" s="14"/>
      <c r="B249" s="14"/>
      <c r="C249" s="14"/>
      <c r="D249" s="276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12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</row>
    <row r="250">
      <c r="A250" s="14"/>
      <c r="B250" s="14"/>
      <c r="C250" s="14"/>
      <c r="D250" s="276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12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</row>
    <row r="251">
      <c r="A251" s="14"/>
      <c r="B251" s="14"/>
      <c r="C251" s="14"/>
      <c r="D251" s="276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12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</row>
    <row r="252">
      <c r="A252" s="14"/>
      <c r="B252" s="14"/>
      <c r="C252" s="14"/>
      <c r="D252" s="276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12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</row>
    <row r="253">
      <c r="A253" s="14"/>
      <c r="B253" s="14"/>
      <c r="C253" s="14"/>
      <c r="D253" s="276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12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</row>
    <row r="254">
      <c r="A254" s="14"/>
      <c r="B254" s="14"/>
      <c r="C254" s="14"/>
      <c r="D254" s="276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12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</row>
    <row r="255">
      <c r="A255" s="14"/>
      <c r="B255" s="14"/>
      <c r="C255" s="14"/>
      <c r="D255" s="276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12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</row>
    <row r="256">
      <c r="A256" s="14"/>
      <c r="B256" s="14"/>
      <c r="C256" s="14"/>
      <c r="D256" s="276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12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</row>
    <row r="257">
      <c r="A257" s="14"/>
      <c r="B257" s="14"/>
      <c r="C257" s="14"/>
      <c r="D257" s="276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12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</row>
    <row r="258">
      <c r="A258" s="14"/>
      <c r="B258" s="14"/>
      <c r="C258" s="14"/>
      <c r="D258" s="276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12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</row>
    <row r="259">
      <c r="A259" s="14"/>
      <c r="B259" s="14"/>
      <c r="C259" s="14"/>
      <c r="D259" s="276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12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</row>
    <row r="260">
      <c r="A260" s="14"/>
      <c r="B260" s="14"/>
      <c r="C260" s="14"/>
      <c r="D260" s="276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12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</row>
    <row r="261">
      <c r="A261" s="14"/>
      <c r="B261" s="14"/>
      <c r="C261" s="14"/>
      <c r="D261" s="276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12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</row>
    <row r="262">
      <c r="A262" s="14"/>
      <c r="B262" s="14"/>
      <c r="C262" s="14"/>
      <c r="D262" s="276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12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</row>
    <row r="263">
      <c r="A263" s="14"/>
      <c r="B263" s="14"/>
      <c r="C263" s="14"/>
      <c r="D263" s="276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12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</row>
    <row r="264">
      <c r="A264" s="14"/>
      <c r="B264" s="14"/>
      <c r="C264" s="14"/>
      <c r="D264" s="276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12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</row>
    <row r="265">
      <c r="A265" s="14"/>
      <c r="B265" s="14"/>
      <c r="C265" s="14"/>
      <c r="D265" s="276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12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</row>
    <row r="266">
      <c r="A266" s="14"/>
      <c r="B266" s="14"/>
      <c r="C266" s="14"/>
      <c r="D266" s="276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12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</row>
    <row r="267">
      <c r="A267" s="14"/>
      <c r="B267" s="14"/>
      <c r="C267" s="14"/>
      <c r="D267" s="276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12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</row>
    <row r="268">
      <c r="A268" s="14"/>
      <c r="B268" s="14"/>
      <c r="C268" s="14"/>
      <c r="D268" s="276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12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</row>
    <row r="269">
      <c r="A269" s="14"/>
      <c r="B269" s="14"/>
      <c r="C269" s="14"/>
      <c r="D269" s="276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12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</row>
    <row r="270">
      <c r="A270" s="14"/>
      <c r="B270" s="14"/>
      <c r="C270" s="14"/>
      <c r="D270" s="276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12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</row>
    <row r="271">
      <c r="A271" s="14"/>
      <c r="B271" s="14"/>
      <c r="C271" s="14"/>
      <c r="D271" s="276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12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</row>
    <row r="272">
      <c r="A272" s="14"/>
      <c r="B272" s="14"/>
      <c r="C272" s="14"/>
      <c r="D272" s="276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12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</row>
    <row r="273">
      <c r="A273" s="14"/>
      <c r="B273" s="14"/>
      <c r="C273" s="14"/>
      <c r="D273" s="276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12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</row>
    <row r="274">
      <c r="A274" s="14"/>
      <c r="B274" s="14"/>
      <c r="C274" s="14"/>
      <c r="D274" s="276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12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</row>
    <row r="275">
      <c r="A275" s="14"/>
      <c r="B275" s="14"/>
      <c r="C275" s="14"/>
      <c r="D275" s="276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12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</row>
    <row r="276">
      <c r="A276" s="14"/>
      <c r="B276" s="14"/>
      <c r="C276" s="14"/>
      <c r="D276" s="276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12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</row>
    <row r="277">
      <c r="A277" s="14"/>
      <c r="B277" s="14"/>
      <c r="C277" s="14"/>
      <c r="D277" s="276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12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</row>
    <row r="278">
      <c r="A278" s="14"/>
      <c r="B278" s="14"/>
      <c r="C278" s="14"/>
      <c r="D278" s="276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12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</row>
    <row r="279">
      <c r="A279" s="14"/>
      <c r="B279" s="14"/>
      <c r="C279" s="14"/>
      <c r="D279" s="276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12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</row>
    <row r="280">
      <c r="A280" s="14"/>
      <c r="B280" s="14"/>
      <c r="C280" s="14"/>
      <c r="D280" s="276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12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</row>
    <row r="281">
      <c r="A281" s="14"/>
      <c r="B281" s="14"/>
      <c r="C281" s="14"/>
      <c r="D281" s="276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12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</row>
    <row r="282">
      <c r="A282" s="14"/>
      <c r="B282" s="14"/>
      <c r="C282" s="14"/>
      <c r="D282" s="276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12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</row>
    <row r="283">
      <c r="A283" s="14"/>
      <c r="B283" s="14"/>
      <c r="C283" s="14"/>
      <c r="D283" s="276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12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</row>
    <row r="284">
      <c r="A284" s="14"/>
      <c r="B284" s="14"/>
      <c r="C284" s="14"/>
      <c r="D284" s="276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12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</row>
    <row r="285">
      <c r="A285" s="14"/>
      <c r="B285" s="14"/>
      <c r="C285" s="14"/>
      <c r="D285" s="276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12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</row>
    <row r="286">
      <c r="A286" s="14"/>
      <c r="B286" s="14"/>
      <c r="C286" s="14"/>
      <c r="D286" s="276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12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</row>
    <row r="287">
      <c r="A287" s="14"/>
      <c r="B287" s="14"/>
      <c r="C287" s="14"/>
      <c r="D287" s="276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12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</row>
    <row r="288">
      <c r="A288" s="14"/>
      <c r="B288" s="14"/>
      <c r="C288" s="14"/>
      <c r="D288" s="276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12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</row>
    <row r="289">
      <c r="A289" s="14"/>
      <c r="B289" s="14"/>
      <c r="C289" s="14"/>
      <c r="D289" s="276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12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</row>
    <row r="290">
      <c r="A290" s="14"/>
      <c r="B290" s="14"/>
      <c r="C290" s="14"/>
      <c r="D290" s="276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12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</row>
    <row r="291">
      <c r="A291" s="14"/>
      <c r="B291" s="14"/>
      <c r="C291" s="14"/>
      <c r="D291" s="276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12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</row>
    <row r="292">
      <c r="A292" s="14"/>
      <c r="B292" s="14"/>
      <c r="C292" s="14"/>
      <c r="D292" s="276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12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</row>
    <row r="293">
      <c r="A293" s="14"/>
      <c r="B293" s="14"/>
      <c r="C293" s="14"/>
      <c r="D293" s="276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12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</row>
    <row r="294">
      <c r="A294" s="14"/>
      <c r="B294" s="14"/>
      <c r="C294" s="14"/>
      <c r="D294" s="276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12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</row>
    <row r="295">
      <c r="A295" s="14"/>
      <c r="B295" s="14"/>
      <c r="C295" s="14"/>
      <c r="D295" s="276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12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</row>
    <row r="296">
      <c r="A296" s="14"/>
      <c r="B296" s="14"/>
      <c r="C296" s="14"/>
      <c r="D296" s="276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12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</row>
    <row r="297">
      <c r="A297" s="14"/>
      <c r="B297" s="14"/>
      <c r="C297" s="14"/>
      <c r="D297" s="276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12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</row>
    <row r="298">
      <c r="A298" s="14"/>
      <c r="B298" s="14"/>
      <c r="C298" s="14"/>
      <c r="D298" s="276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12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</row>
    <row r="299">
      <c r="A299" s="14"/>
      <c r="B299" s="14"/>
      <c r="C299" s="14"/>
      <c r="D299" s="276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12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</row>
    <row r="300">
      <c r="A300" s="14"/>
      <c r="B300" s="14"/>
      <c r="C300" s="14"/>
      <c r="D300" s="276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12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</row>
    <row r="301">
      <c r="A301" s="14"/>
      <c r="B301" s="14"/>
      <c r="C301" s="14"/>
      <c r="D301" s="276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12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</row>
    <row r="302">
      <c r="A302" s="14"/>
      <c r="B302" s="14"/>
      <c r="C302" s="14"/>
      <c r="D302" s="276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12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</row>
    <row r="303">
      <c r="A303" s="14"/>
      <c r="B303" s="14"/>
      <c r="C303" s="14"/>
      <c r="D303" s="276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12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</row>
    <row r="304">
      <c r="A304" s="14"/>
      <c r="B304" s="14"/>
      <c r="C304" s="14"/>
      <c r="D304" s="276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12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</row>
    <row r="305">
      <c r="A305" s="14"/>
      <c r="B305" s="14"/>
      <c r="C305" s="14"/>
      <c r="D305" s="276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12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</row>
    <row r="306">
      <c r="A306" s="14"/>
      <c r="B306" s="14"/>
      <c r="C306" s="14"/>
      <c r="D306" s="276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12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</row>
    <row r="307">
      <c r="A307" s="14"/>
      <c r="B307" s="14"/>
      <c r="C307" s="14"/>
      <c r="D307" s="276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12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</row>
    <row r="308">
      <c r="A308" s="14"/>
      <c r="B308" s="14"/>
      <c r="C308" s="14"/>
      <c r="D308" s="276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12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</row>
    <row r="309">
      <c r="A309" s="14"/>
      <c r="B309" s="14"/>
      <c r="C309" s="14"/>
      <c r="D309" s="276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12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</row>
    <row r="310">
      <c r="A310" s="14"/>
      <c r="B310" s="14"/>
      <c r="C310" s="14"/>
      <c r="D310" s="276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12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</row>
    <row r="311">
      <c r="A311" s="14"/>
      <c r="B311" s="14"/>
      <c r="C311" s="14"/>
      <c r="D311" s="276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12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</row>
    <row r="312">
      <c r="A312" s="14"/>
      <c r="B312" s="14"/>
      <c r="C312" s="14"/>
      <c r="D312" s="276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12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</row>
    <row r="313">
      <c r="A313" s="14"/>
      <c r="B313" s="14"/>
      <c r="C313" s="14"/>
      <c r="D313" s="276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12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</row>
    <row r="314">
      <c r="A314" s="14"/>
      <c r="B314" s="14"/>
      <c r="C314" s="14"/>
      <c r="D314" s="276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12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</row>
    <row r="315">
      <c r="A315" s="14"/>
      <c r="B315" s="14"/>
      <c r="C315" s="14"/>
      <c r="D315" s="276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12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</row>
    <row r="316">
      <c r="A316" s="14"/>
      <c r="B316" s="14"/>
      <c r="C316" s="14"/>
      <c r="D316" s="276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12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</row>
    <row r="317">
      <c r="A317" s="14"/>
      <c r="B317" s="14"/>
      <c r="C317" s="14"/>
      <c r="D317" s="276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12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</row>
    <row r="318">
      <c r="A318" s="14"/>
      <c r="B318" s="14"/>
      <c r="C318" s="14"/>
      <c r="D318" s="276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12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</row>
    <row r="319">
      <c r="A319" s="14"/>
      <c r="B319" s="14"/>
      <c r="C319" s="14"/>
      <c r="D319" s="276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12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</row>
    <row r="320">
      <c r="A320" s="14"/>
      <c r="B320" s="14"/>
      <c r="C320" s="14"/>
      <c r="D320" s="276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12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</row>
    <row r="321">
      <c r="A321" s="14"/>
      <c r="B321" s="14"/>
      <c r="C321" s="14"/>
      <c r="D321" s="276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12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</row>
    <row r="322">
      <c r="A322" s="14"/>
      <c r="B322" s="14"/>
      <c r="C322" s="14"/>
      <c r="D322" s="276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12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</row>
    <row r="323">
      <c r="A323" s="14"/>
      <c r="B323" s="14"/>
      <c r="C323" s="14"/>
      <c r="D323" s="276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12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</row>
    <row r="324">
      <c r="A324" s="14"/>
      <c r="B324" s="14"/>
      <c r="C324" s="14"/>
      <c r="D324" s="276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12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</row>
    <row r="325">
      <c r="A325" s="14"/>
      <c r="B325" s="14"/>
      <c r="C325" s="14"/>
      <c r="D325" s="276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12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</row>
    <row r="326">
      <c r="A326" s="14"/>
      <c r="B326" s="14"/>
      <c r="C326" s="14"/>
      <c r="D326" s="276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12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</row>
    <row r="327">
      <c r="A327" s="14"/>
      <c r="B327" s="14"/>
      <c r="C327" s="14"/>
      <c r="D327" s="276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12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</row>
    <row r="328">
      <c r="A328" s="14"/>
      <c r="B328" s="14"/>
      <c r="C328" s="14"/>
      <c r="D328" s="276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12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</row>
    <row r="329">
      <c r="A329" s="14"/>
      <c r="B329" s="14"/>
      <c r="C329" s="14"/>
      <c r="D329" s="276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12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</row>
    <row r="330">
      <c r="A330" s="14"/>
      <c r="B330" s="14"/>
      <c r="C330" s="14"/>
      <c r="D330" s="276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12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</row>
    <row r="331">
      <c r="A331" s="14"/>
      <c r="B331" s="14"/>
      <c r="C331" s="14"/>
      <c r="D331" s="276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12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</row>
    <row r="332">
      <c r="A332" s="14"/>
      <c r="B332" s="14"/>
      <c r="C332" s="14"/>
      <c r="D332" s="276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12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</row>
    <row r="333">
      <c r="A333" s="14"/>
      <c r="B333" s="14"/>
      <c r="C333" s="14"/>
      <c r="D333" s="276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12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</row>
    <row r="334">
      <c r="A334" s="14"/>
      <c r="B334" s="14"/>
      <c r="C334" s="14"/>
      <c r="D334" s="276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12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</row>
    <row r="335">
      <c r="A335" s="14"/>
      <c r="B335" s="14"/>
      <c r="C335" s="14"/>
      <c r="D335" s="276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12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</row>
    <row r="336">
      <c r="A336" s="14"/>
      <c r="B336" s="14"/>
      <c r="C336" s="14"/>
      <c r="D336" s="276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12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</row>
    <row r="337">
      <c r="A337" s="14"/>
      <c r="B337" s="14"/>
      <c r="C337" s="14"/>
      <c r="D337" s="276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12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</row>
    <row r="338">
      <c r="A338" s="14"/>
      <c r="B338" s="14"/>
      <c r="C338" s="14"/>
      <c r="D338" s="276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12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</row>
    <row r="339">
      <c r="A339" s="14"/>
      <c r="B339" s="14"/>
      <c r="C339" s="14"/>
      <c r="D339" s="276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12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</row>
    <row r="340">
      <c r="A340" s="14"/>
      <c r="B340" s="14"/>
      <c r="C340" s="14"/>
      <c r="D340" s="276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12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</row>
    <row r="341">
      <c r="A341" s="14"/>
      <c r="B341" s="14"/>
      <c r="C341" s="14"/>
      <c r="D341" s="276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12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</row>
    <row r="342">
      <c r="A342" s="14"/>
      <c r="B342" s="14"/>
      <c r="C342" s="14"/>
      <c r="D342" s="276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12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</row>
    <row r="343">
      <c r="A343" s="14"/>
      <c r="B343" s="14"/>
      <c r="C343" s="14"/>
      <c r="D343" s="276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12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</row>
    <row r="344">
      <c r="A344" s="14"/>
      <c r="B344" s="14"/>
      <c r="C344" s="14"/>
      <c r="D344" s="276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12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</row>
    <row r="345">
      <c r="A345" s="14"/>
      <c r="B345" s="14"/>
      <c r="C345" s="14"/>
      <c r="D345" s="276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12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</row>
    <row r="346">
      <c r="A346" s="14"/>
      <c r="B346" s="14"/>
      <c r="C346" s="14"/>
      <c r="D346" s="276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12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</row>
    <row r="347">
      <c r="A347" s="14"/>
      <c r="B347" s="14"/>
      <c r="C347" s="14"/>
      <c r="D347" s="276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12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</row>
    <row r="348">
      <c r="A348" s="14"/>
      <c r="B348" s="14"/>
      <c r="C348" s="14"/>
      <c r="D348" s="276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12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</row>
    <row r="349">
      <c r="A349" s="14"/>
      <c r="B349" s="14"/>
      <c r="C349" s="14"/>
      <c r="D349" s="276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12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</row>
    <row r="350">
      <c r="A350" s="14"/>
      <c r="B350" s="14"/>
      <c r="C350" s="14"/>
      <c r="D350" s="276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12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</row>
    <row r="351">
      <c r="A351" s="14"/>
      <c r="B351" s="14"/>
      <c r="C351" s="14"/>
      <c r="D351" s="276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12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</row>
    <row r="352">
      <c r="A352" s="14"/>
      <c r="B352" s="14"/>
      <c r="C352" s="14"/>
      <c r="D352" s="276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12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</row>
    <row r="353">
      <c r="A353" s="14"/>
      <c r="B353" s="14"/>
      <c r="C353" s="14"/>
      <c r="D353" s="276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12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</row>
    <row r="354">
      <c r="A354" s="14"/>
      <c r="B354" s="14"/>
      <c r="C354" s="14"/>
      <c r="D354" s="276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12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</row>
    <row r="355">
      <c r="A355" s="14"/>
      <c r="B355" s="14"/>
      <c r="C355" s="14"/>
      <c r="D355" s="276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12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</row>
    <row r="356">
      <c r="A356" s="14"/>
      <c r="B356" s="14"/>
      <c r="C356" s="14"/>
      <c r="D356" s="276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12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</row>
    <row r="357">
      <c r="A357" s="14"/>
      <c r="B357" s="14"/>
      <c r="C357" s="14"/>
      <c r="D357" s="276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12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</row>
    <row r="358">
      <c r="A358" s="14"/>
      <c r="B358" s="14"/>
      <c r="C358" s="14"/>
      <c r="D358" s="276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12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</row>
    <row r="359">
      <c r="A359" s="14"/>
      <c r="B359" s="14"/>
      <c r="C359" s="14"/>
      <c r="D359" s="276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12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</row>
    <row r="360">
      <c r="A360" s="14"/>
      <c r="B360" s="14"/>
      <c r="C360" s="14"/>
      <c r="D360" s="276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12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</row>
    <row r="361">
      <c r="A361" s="14"/>
      <c r="B361" s="14"/>
      <c r="C361" s="14"/>
      <c r="D361" s="276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12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</row>
    <row r="362">
      <c r="A362" s="14"/>
      <c r="B362" s="14"/>
      <c r="C362" s="14"/>
      <c r="D362" s="276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12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</row>
    <row r="363">
      <c r="A363" s="14"/>
      <c r="B363" s="14"/>
      <c r="C363" s="14"/>
      <c r="D363" s="276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12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</row>
    <row r="364">
      <c r="A364" s="14"/>
      <c r="B364" s="14"/>
      <c r="C364" s="14"/>
      <c r="D364" s="276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12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</row>
    <row r="365">
      <c r="A365" s="14"/>
      <c r="B365" s="14"/>
      <c r="C365" s="14"/>
      <c r="D365" s="276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12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</row>
    <row r="366">
      <c r="A366" s="14"/>
      <c r="B366" s="14"/>
      <c r="C366" s="14"/>
      <c r="D366" s="276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12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</row>
    <row r="367">
      <c r="A367" s="14"/>
      <c r="B367" s="14"/>
      <c r="C367" s="14"/>
      <c r="D367" s="276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12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</row>
    <row r="368">
      <c r="A368" s="14"/>
      <c r="B368" s="14"/>
      <c r="C368" s="14"/>
      <c r="D368" s="276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12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</row>
    <row r="369">
      <c r="A369" s="14"/>
      <c r="B369" s="14"/>
      <c r="C369" s="14"/>
      <c r="D369" s="276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12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</row>
    <row r="370">
      <c r="A370" s="14"/>
      <c r="B370" s="14"/>
      <c r="C370" s="14"/>
      <c r="D370" s="276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12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</row>
    <row r="371">
      <c r="A371" s="14"/>
      <c r="B371" s="14"/>
      <c r="C371" s="14"/>
      <c r="D371" s="276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12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</row>
    <row r="372">
      <c r="A372" s="14"/>
      <c r="B372" s="14"/>
      <c r="C372" s="14"/>
      <c r="D372" s="276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12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</row>
    <row r="373">
      <c r="A373" s="14"/>
      <c r="B373" s="14"/>
      <c r="C373" s="14"/>
      <c r="D373" s="276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12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</row>
    <row r="374">
      <c r="A374" s="14"/>
      <c r="B374" s="14"/>
      <c r="C374" s="14"/>
      <c r="D374" s="276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12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</row>
    <row r="375">
      <c r="A375" s="14"/>
      <c r="B375" s="14"/>
      <c r="C375" s="14"/>
      <c r="D375" s="276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12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</row>
    <row r="376">
      <c r="A376" s="14"/>
      <c r="B376" s="14"/>
      <c r="C376" s="14"/>
      <c r="D376" s="276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12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</row>
    <row r="377">
      <c r="A377" s="14"/>
      <c r="B377" s="14"/>
      <c r="C377" s="14"/>
      <c r="D377" s="276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12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</row>
    <row r="378">
      <c r="A378" s="14"/>
      <c r="B378" s="14"/>
      <c r="C378" s="14"/>
      <c r="D378" s="276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12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</row>
    <row r="379">
      <c r="A379" s="14"/>
      <c r="B379" s="14"/>
      <c r="C379" s="14"/>
      <c r="D379" s="276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12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</row>
    <row r="380">
      <c r="A380" s="14"/>
      <c r="B380" s="14"/>
      <c r="C380" s="14"/>
      <c r="D380" s="276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12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</row>
    <row r="381">
      <c r="A381" s="14"/>
      <c r="B381" s="14"/>
      <c r="C381" s="14"/>
      <c r="D381" s="276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12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</row>
    <row r="382">
      <c r="A382" s="14"/>
      <c r="B382" s="14"/>
      <c r="C382" s="14"/>
      <c r="D382" s="276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12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</row>
    <row r="383">
      <c r="A383" s="14"/>
      <c r="B383" s="14"/>
      <c r="C383" s="14"/>
      <c r="D383" s="276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12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</row>
    <row r="384">
      <c r="A384" s="14"/>
      <c r="B384" s="14"/>
      <c r="C384" s="14"/>
      <c r="D384" s="276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12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</row>
    <row r="385">
      <c r="A385" s="14"/>
      <c r="B385" s="14"/>
      <c r="C385" s="14"/>
      <c r="D385" s="276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12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</row>
    <row r="386">
      <c r="A386" s="14"/>
      <c r="B386" s="14"/>
      <c r="C386" s="14"/>
      <c r="D386" s="276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12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</row>
    <row r="387">
      <c r="A387" s="14"/>
      <c r="B387" s="14"/>
      <c r="C387" s="14"/>
      <c r="D387" s="276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12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</row>
    <row r="388">
      <c r="A388" s="14"/>
      <c r="B388" s="14"/>
      <c r="C388" s="14"/>
      <c r="D388" s="276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12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</row>
    <row r="389">
      <c r="A389" s="14"/>
      <c r="B389" s="14"/>
      <c r="C389" s="14"/>
      <c r="D389" s="276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12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</row>
    <row r="390">
      <c r="A390" s="14"/>
      <c r="B390" s="14"/>
      <c r="C390" s="14"/>
      <c r="D390" s="276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12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</row>
    <row r="391">
      <c r="A391" s="14"/>
      <c r="B391" s="14"/>
      <c r="C391" s="14"/>
      <c r="D391" s="276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12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</row>
    <row r="392">
      <c r="A392" s="14"/>
      <c r="B392" s="14"/>
      <c r="C392" s="14"/>
      <c r="D392" s="276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12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</row>
    <row r="393">
      <c r="A393" s="14"/>
      <c r="B393" s="14"/>
      <c r="C393" s="14"/>
      <c r="D393" s="276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12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</row>
    <row r="394">
      <c r="A394" s="14"/>
      <c r="B394" s="14"/>
      <c r="C394" s="14"/>
      <c r="D394" s="276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12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</row>
    <row r="395">
      <c r="A395" s="14"/>
      <c r="B395" s="14"/>
      <c r="C395" s="14"/>
      <c r="D395" s="276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12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</row>
    <row r="396">
      <c r="A396" s="14"/>
      <c r="B396" s="14"/>
      <c r="C396" s="14"/>
      <c r="D396" s="276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12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</row>
    <row r="397">
      <c r="A397" s="14"/>
      <c r="B397" s="14"/>
      <c r="C397" s="14"/>
      <c r="D397" s="276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12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</row>
    <row r="398">
      <c r="A398" s="14"/>
      <c r="B398" s="14"/>
      <c r="C398" s="14"/>
      <c r="D398" s="276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12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</row>
    <row r="399">
      <c r="A399" s="14"/>
      <c r="B399" s="14"/>
      <c r="C399" s="14"/>
      <c r="D399" s="276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12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</row>
    <row r="400">
      <c r="A400" s="14"/>
      <c r="B400" s="14"/>
      <c r="C400" s="14"/>
      <c r="D400" s="276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12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</row>
    <row r="401">
      <c r="A401" s="14"/>
      <c r="B401" s="14"/>
      <c r="C401" s="14"/>
      <c r="D401" s="276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12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</row>
    <row r="402">
      <c r="A402" s="14"/>
      <c r="B402" s="14"/>
      <c r="C402" s="14"/>
      <c r="D402" s="276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12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</row>
    <row r="403">
      <c r="A403" s="14"/>
      <c r="B403" s="14"/>
      <c r="C403" s="14"/>
      <c r="D403" s="276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12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</row>
    <row r="404">
      <c r="A404" s="14"/>
      <c r="B404" s="14"/>
      <c r="C404" s="14"/>
      <c r="D404" s="276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12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</row>
    <row r="405">
      <c r="A405" s="14"/>
      <c r="B405" s="14"/>
      <c r="C405" s="14"/>
      <c r="D405" s="276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12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</row>
    <row r="406">
      <c r="A406" s="14"/>
      <c r="B406" s="14"/>
      <c r="C406" s="14"/>
      <c r="D406" s="276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12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</row>
    <row r="407">
      <c r="A407" s="14"/>
      <c r="B407" s="14"/>
      <c r="C407" s="14"/>
      <c r="D407" s="276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12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</row>
    <row r="408">
      <c r="A408" s="14"/>
      <c r="B408" s="14"/>
      <c r="C408" s="14"/>
      <c r="D408" s="276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12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</row>
    <row r="409">
      <c r="A409" s="14"/>
      <c r="B409" s="14"/>
      <c r="C409" s="14"/>
      <c r="D409" s="276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12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</row>
    <row r="410">
      <c r="A410" s="14"/>
      <c r="B410" s="14"/>
      <c r="C410" s="14"/>
      <c r="D410" s="276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12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</row>
    <row r="411">
      <c r="A411" s="14"/>
      <c r="B411" s="14"/>
      <c r="C411" s="14"/>
      <c r="D411" s="276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12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</row>
    <row r="412">
      <c r="A412" s="14"/>
      <c r="B412" s="14"/>
      <c r="C412" s="14"/>
      <c r="D412" s="276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12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</row>
    <row r="413">
      <c r="A413" s="14"/>
      <c r="B413" s="14"/>
      <c r="C413" s="14"/>
      <c r="D413" s="276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12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</row>
    <row r="414">
      <c r="A414" s="14"/>
      <c r="B414" s="14"/>
      <c r="C414" s="14"/>
      <c r="D414" s="276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12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</row>
    <row r="415">
      <c r="A415" s="14"/>
      <c r="B415" s="14"/>
      <c r="C415" s="14"/>
      <c r="D415" s="276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12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</row>
    <row r="416">
      <c r="A416" s="14"/>
      <c r="B416" s="14"/>
      <c r="C416" s="14"/>
      <c r="D416" s="276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12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</row>
    <row r="417">
      <c r="A417" s="14"/>
      <c r="B417" s="14"/>
      <c r="C417" s="14"/>
      <c r="D417" s="276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12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</row>
    <row r="418">
      <c r="A418" s="14"/>
      <c r="B418" s="14"/>
      <c r="C418" s="14"/>
      <c r="D418" s="276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12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</row>
    <row r="419">
      <c r="A419" s="14"/>
      <c r="B419" s="14"/>
      <c r="C419" s="14"/>
      <c r="D419" s="276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12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</row>
    <row r="420">
      <c r="A420" s="14"/>
      <c r="B420" s="14"/>
      <c r="C420" s="14"/>
      <c r="D420" s="276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12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</row>
    <row r="421">
      <c r="A421" s="14"/>
      <c r="B421" s="14"/>
      <c r="C421" s="14"/>
      <c r="D421" s="276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12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</row>
    <row r="422">
      <c r="A422" s="14"/>
      <c r="B422" s="14"/>
      <c r="C422" s="14"/>
      <c r="D422" s="276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12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</row>
    <row r="423">
      <c r="A423" s="14"/>
      <c r="B423" s="14"/>
      <c r="C423" s="14"/>
      <c r="D423" s="276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12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</row>
    <row r="424">
      <c r="A424" s="14"/>
      <c r="B424" s="14"/>
      <c r="C424" s="14"/>
      <c r="D424" s="276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12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</row>
    <row r="425">
      <c r="A425" s="14"/>
      <c r="B425" s="14"/>
      <c r="C425" s="14"/>
      <c r="D425" s="276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12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</row>
    <row r="426">
      <c r="A426" s="14"/>
      <c r="B426" s="14"/>
      <c r="C426" s="14"/>
      <c r="D426" s="276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12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</row>
    <row r="427">
      <c r="A427" s="14"/>
      <c r="B427" s="14"/>
      <c r="C427" s="14"/>
      <c r="D427" s="276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12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</row>
    <row r="428">
      <c r="A428" s="14"/>
      <c r="B428" s="14"/>
      <c r="C428" s="14"/>
      <c r="D428" s="276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12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</row>
    <row r="429">
      <c r="A429" s="14"/>
      <c r="B429" s="14"/>
      <c r="C429" s="14"/>
      <c r="D429" s="276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12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</row>
    <row r="430">
      <c r="A430" s="14"/>
      <c r="B430" s="14"/>
      <c r="C430" s="14"/>
      <c r="D430" s="276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12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</row>
    <row r="431">
      <c r="A431" s="14"/>
      <c r="B431" s="14"/>
      <c r="C431" s="14"/>
      <c r="D431" s="276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12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</row>
    <row r="432">
      <c r="A432" s="14"/>
      <c r="B432" s="14"/>
      <c r="C432" s="14"/>
      <c r="D432" s="276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12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</row>
    <row r="433">
      <c r="A433" s="14"/>
      <c r="B433" s="14"/>
      <c r="C433" s="14"/>
      <c r="D433" s="276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12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</row>
    <row r="434">
      <c r="A434" s="14"/>
      <c r="B434" s="14"/>
      <c r="C434" s="14"/>
      <c r="D434" s="276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12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</row>
    <row r="435">
      <c r="A435" s="14"/>
      <c r="B435" s="14"/>
      <c r="C435" s="14"/>
      <c r="D435" s="276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12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</row>
    <row r="436">
      <c r="A436" s="14"/>
      <c r="B436" s="14"/>
      <c r="C436" s="14"/>
      <c r="D436" s="276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12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</row>
    <row r="437">
      <c r="A437" s="14"/>
      <c r="B437" s="14"/>
      <c r="C437" s="14"/>
      <c r="D437" s="276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12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</row>
    <row r="438">
      <c r="A438" s="14"/>
      <c r="B438" s="14"/>
      <c r="C438" s="14"/>
      <c r="D438" s="276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12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</row>
    <row r="439">
      <c r="A439" s="14"/>
      <c r="B439" s="14"/>
      <c r="C439" s="14"/>
      <c r="D439" s="276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12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</row>
    <row r="440">
      <c r="A440" s="14"/>
      <c r="B440" s="14"/>
      <c r="C440" s="14"/>
      <c r="D440" s="276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12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</row>
    <row r="441">
      <c r="A441" s="14"/>
      <c r="B441" s="14"/>
      <c r="C441" s="14"/>
      <c r="D441" s="276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12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</row>
    <row r="442">
      <c r="A442" s="14"/>
      <c r="B442" s="14"/>
      <c r="C442" s="14"/>
      <c r="D442" s="276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12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</row>
    <row r="443">
      <c r="A443" s="14"/>
      <c r="B443" s="14"/>
      <c r="C443" s="14"/>
      <c r="D443" s="276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12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</row>
    <row r="444">
      <c r="A444" s="14"/>
      <c r="B444" s="14"/>
      <c r="C444" s="14"/>
      <c r="D444" s="276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12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</row>
    <row r="445">
      <c r="A445" s="14"/>
      <c r="B445" s="14"/>
      <c r="C445" s="14"/>
      <c r="D445" s="276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12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</row>
    <row r="446">
      <c r="A446" s="14"/>
      <c r="B446" s="14"/>
      <c r="C446" s="14"/>
      <c r="D446" s="276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12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</row>
    <row r="447">
      <c r="A447" s="14"/>
      <c r="B447" s="14"/>
      <c r="C447" s="14"/>
      <c r="D447" s="276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12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</row>
    <row r="448">
      <c r="A448" s="14"/>
      <c r="B448" s="14"/>
      <c r="C448" s="14"/>
      <c r="D448" s="276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12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</row>
    <row r="449">
      <c r="A449" s="14"/>
      <c r="B449" s="14"/>
      <c r="C449" s="14"/>
      <c r="D449" s="276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12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</row>
    <row r="450">
      <c r="A450" s="14"/>
      <c r="B450" s="14"/>
      <c r="C450" s="14"/>
      <c r="D450" s="276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12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</row>
    <row r="451">
      <c r="A451" s="14"/>
      <c r="B451" s="14"/>
      <c r="C451" s="14"/>
      <c r="D451" s="276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12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</row>
    <row r="452">
      <c r="A452" s="14"/>
      <c r="B452" s="14"/>
      <c r="C452" s="14"/>
      <c r="D452" s="276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12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</row>
    <row r="453">
      <c r="A453" s="14"/>
      <c r="B453" s="14"/>
      <c r="C453" s="14"/>
      <c r="D453" s="276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12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</row>
    <row r="454">
      <c r="A454" s="14"/>
      <c r="B454" s="14"/>
      <c r="C454" s="14"/>
      <c r="D454" s="276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12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</row>
    <row r="455">
      <c r="A455" s="14"/>
      <c r="B455" s="14"/>
      <c r="C455" s="14"/>
      <c r="D455" s="276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12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</row>
    <row r="456">
      <c r="A456" s="14"/>
      <c r="B456" s="14"/>
      <c r="C456" s="14"/>
      <c r="D456" s="276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12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</row>
    <row r="457">
      <c r="A457" s="14"/>
      <c r="B457" s="14"/>
      <c r="C457" s="14"/>
      <c r="D457" s="276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12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</row>
    <row r="458">
      <c r="A458" s="14"/>
      <c r="B458" s="14"/>
      <c r="C458" s="14"/>
      <c r="D458" s="276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12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</row>
    <row r="459">
      <c r="A459" s="14"/>
      <c r="B459" s="14"/>
      <c r="C459" s="14"/>
      <c r="D459" s="276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12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</row>
    <row r="460">
      <c r="A460" s="14"/>
      <c r="B460" s="14"/>
      <c r="C460" s="14"/>
      <c r="D460" s="276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12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</row>
    <row r="461">
      <c r="A461" s="14"/>
      <c r="B461" s="14"/>
      <c r="C461" s="14"/>
      <c r="D461" s="276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12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</row>
    <row r="462">
      <c r="A462" s="14"/>
      <c r="B462" s="14"/>
      <c r="C462" s="14"/>
      <c r="D462" s="276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12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</row>
    <row r="463">
      <c r="A463" s="14"/>
      <c r="B463" s="14"/>
      <c r="C463" s="14"/>
      <c r="D463" s="276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12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</row>
    <row r="464">
      <c r="A464" s="14"/>
      <c r="B464" s="14"/>
      <c r="C464" s="14"/>
      <c r="D464" s="276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12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</row>
    <row r="465">
      <c r="A465" s="14"/>
      <c r="B465" s="14"/>
      <c r="C465" s="14"/>
      <c r="D465" s="276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12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</row>
    <row r="466">
      <c r="A466" s="14"/>
      <c r="B466" s="14"/>
      <c r="C466" s="14"/>
      <c r="D466" s="276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12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</row>
    <row r="467">
      <c r="A467" s="14"/>
      <c r="B467" s="14"/>
      <c r="C467" s="14"/>
      <c r="D467" s="276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12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</row>
    <row r="468">
      <c r="A468" s="14"/>
      <c r="B468" s="14"/>
      <c r="C468" s="14"/>
      <c r="D468" s="276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12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</row>
    <row r="469">
      <c r="A469" s="14"/>
      <c r="B469" s="14"/>
      <c r="C469" s="14"/>
      <c r="D469" s="276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12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</row>
    <row r="470">
      <c r="A470" s="14"/>
      <c r="B470" s="14"/>
      <c r="C470" s="14"/>
      <c r="D470" s="276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12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</row>
    <row r="471">
      <c r="A471" s="14"/>
      <c r="B471" s="14"/>
      <c r="C471" s="14"/>
      <c r="D471" s="276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12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</row>
    <row r="472">
      <c r="A472" s="14"/>
      <c r="B472" s="14"/>
      <c r="C472" s="14"/>
      <c r="D472" s="276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12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</row>
    <row r="473">
      <c r="A473" s="14"/>
      <c r="B473" s="14"/>
      <c r="C473" s="14"/>
      <c r="D473" s="276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12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</row>
    <row r="474">
      <c r="A474" s="14"/>
      <c r="B474" s="14"/>
      <c r="C474" s="14"/>
      <c r="D474" s="276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12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</row>
    <row r="475">
      <c r="A475" s="14"/>
      <c r="B475" s="14"/>
      <c r="C475" s="14"/>
      <c r="D475" s="276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12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</row>
    <row r="476">
      <c r="A476" s="14"/>
      <c r="B476" s="14"/>
      <c r="C476" s="14"/>
      <c r="D476" s="276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12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</row>
    <row r="477">
      <c r="A477" s="14"/>
      <c r="B477" s="14"/>
      <c r="C477" s="14"/>
      <c r="D477" s="276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12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</row>
    <row r="478">
      <c r="A478" s="14"/>
      <c r="B478" s="14"/>
      <c r="C478" s="14"/>
      <c r="D478" s="276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12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</row>
    <row r="479">
      <c r="A479" s="14"/>
      <c r="B479" s="14"/>
      <c r="C479" s="14"/>
      <c r="D479" s="276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12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</row>
    <row r="480">
      <c r="A480" s="14"/>
      <c r="B480" s="14"/>
      <c r="C480" s="14"/>
      <c r="D480" s="276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12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</row>
    <row r="481">
      <c r="A481" s="14"/>
      <c r="B481" s="14"/>
      <c r="C481" s="14"/>
      <c r="D481" s="276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12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</row>
    <row r="482">
      <c r="A482" s="14"/>
      <c r="B482" s="14"/>
      <c r="C482" s="14"/>
      <c r="D482" s="276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12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</row>
    <row r="483">
      <c r="A483" s="14"/>
      <c r="B483" s="14"/>
      <c r="C483" s="14"/>
      <c r="D483" s="276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12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</row>
    <row r="484">
      <c r="A484" s="14"/>
      <c r="B484" s="14"/>
      <c r="C484" s="14"/>
      <c r="D484" s="276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12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</row>
    <row r="485">
      <c r="A485" s="14"/>
      <c r="B485" s="14"/>
      <c r="C485" s="14"/>
      <c r="D485" s="276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12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</row>
    <row r="486">
      <c r="A486" s="14"/>
      <c r="B486" s="14"/>
      <c r="C486" s="14"/>
      <c r="D486" s="276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12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</row>
    <row r="487">
      <c r="A487" s="14"/>
      <c r="B487" s="14"/>
      <c r="C487" s="14"/>
      <c r="D487" s="276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12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</row>
    <row r="488">
      <c r="A488" s="14"/>
      <c r="B488" s="14"/>
      <c r="C488" s="14"/>
      <c r="D488" s="276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12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</row>
    <row r="489">
      <c r="A489" s="14"/>
      <c r="B489" s="14"/>
      <c r="C489" s="14"/>
      <c r="D489" s="276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12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</row>
    <row r="490">
      <c r="A490" s="14"/>
      <c r="B490" s="14"/>
      <c r="C490" s="14"/>
      <c r="D490" s="276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12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</row>
    <row r="491">
      <c r="A491" s="14"/>
      <c r="B491" s="14"/>
      <c r="C491" s="14"/>
      <c r="D491" s="276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12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</row>
    <row r="492">
      <c r="A492" s="14"/>
      <c r="B492" s="14"/>
      <c r="C492" s="14"/>
      <c r="D492" s="276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12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</row>
    <row r="493">
      <c r="A493" s="14"/>
      <c r="B493" s="14"/>
      <c r="C493" s="14"/>
      <c r="D493" s="276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12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</row>
    <row r="494">
      <c r="A494" s="14"/>
      <c r="B494" s="14"/>
      <c r="C494" s="14"/>
      <c r="D494" s="276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12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</row>
    <row r="495">
      <c r="A495" s="14"/>
      <c r="B495" s="14"/>
      <c r="C495" s="14"/>
      <c r="D495" s="276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12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</row>
    <row r="496">
      <c r="A496" s="14"/>
      <c r="B496" s="14"/>
      <c r="C496" s="14"/>
      <c r="D496" s="276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12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</row>
    <row r="497">
      <c r="A497" s="14"/>
      <c r="B497" s="14"/>
      <c r="C497" s="14"/>
      <c r="D497" s="276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12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</row>
    <row r="498">
      <c r="A498" s="14"/>
      <c r="B498" s="14"/>
      <c r="C498" s="14"/>
      <c r="D498" s="276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12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</row>
    <row r="499">
      <c r="A499" s="14"/>
      <c r="B499" s="14"/>
      <c r="C499" s="14"/>
      <c r="D499" s="276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12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</row>
    <row r="500">
      <c r="A500" s="14"/>
      <c r="B500" s="14"/>
      <c r="C500" s="14"/>
      <c r="D500" s="276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12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</row>
    <row r="501">
      <c r="A501" s="14"/>
      <c r="B501" s="14"/>
      <c r="C501" s="14"/>
      <c r="D501" s="276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12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</row>
    <row r="502">
      <c r="A502" s="14"/>
      <c r="B502" s="14"/>
      <c r="C502" s="14"/>
      <c r="D502" s="276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12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</row>
    <row r="503">
      <c r="A503" s="14"/>
      <c r="B503" s="14"/>
      <c r="C503" s="14"/>
      <c r="D503" s="276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12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</row>
    <row r="504">
      <c r="A504" s="14"/>
      <c r="B504" s="14"/>
      <c r="C504" s="14"/>
      <c r="D504" s="276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12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</row>
    <row r="505">
      <c r="A505" s="14"/>
      <c r="B505" s="14"/>
      <c r="C505" s="14"/>
      <c r="D505" s="276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12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</row>
    <row r="506">
      <c r="A506" s="14"/>
      <c r="B506" s="14"/>
      <c r="C506" s="14"/>
      <c r="D506" s="276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12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</row>
    <row r="507">
      <c r="A507" s="14"/>
      <c r="B507" s="14"/>
      <c r="C507" s="14"/>
      <c r="D507" s="276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12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</row>
    <row r="508">
      <c r="A508" s="14"/>
      <c r="B508" s="14"/>
      <c r="C508" s="14"/>
      <c r="D508" s="276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12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</row>
    <row r="509">
      <c r="A509" s="14"/>
      <c r="B509" s="14"/>
      <c r="C509" s="14"/>
      <c r="D509" s="276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12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</row>
    <row r="510">
      <c r="A510" s="14"/>
      <c r="B510" s="14"/>
      <c r="C510" s="14"/>
      <c r="D510" s="276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12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</row>
    <row r="511">
      <c r="A511" s="14"/>
      <c r="B511" s="14"/>
      <c r="C511" s="14"/>
      <c r="D511" s="276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12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</row>
    <row r="512">
      <c r="A512" s="14"/>
      <c r="B512" s="14"/>
      <c r="C512" s="14"/>
      <c r="D512" s="276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12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</row>
    <row r="513">
      <c r="A513" s="14"/>
      <c r="B513" s="14"/>
      <c r="C513" s="14"/>
      <c r="D513" s="276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12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</row>
    <row r="514">
      <c r="A514" s="14"/>
      <c r="B514" s="14"/>
      <c r="C514" s="14"/>
      <c r="D514" s="276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12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</row>
    <row r="515">
      <c r="A515" s="14"/>
      <c r="B515" s="14"/>
      <c r="C515" s="14"/>
      <c r="D515" s="276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12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</row>
    <row r="516">
      <c r="A516" s="14"/>
      <c r="B516" s="14"/>
      <c r="C516" s="14"/>
      <c r="D516" s="276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12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</row>
    <row r="517">
      <c r="A517" s="14"/>
      <c r="B517" s="14"/>
      <c r="C517" s="14"/>
      <c r="D517" s="276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12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</row>
    <row r="518">
      <c r="A518" s="14"/>
      <c r="B518" s="14"/>
      <c r="C518" s="14"/>
      <c r="D518" s="276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12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</row>
    <row r="519">
      <c r="A519" s="14"/>
      <c r="B519" s="14"/>
      <c r="C519" s="14"/>
      <c r="D519" s="276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12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</row>
    <row r="520">
      <c r="A520" s="14"/>
      <c r="B520" s="14"/>
      <c r="C520" s="14"/>
      <c r="D520" s="276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12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</row>
    <row r="521">
      <c r="A521" s="14"/>
      <c r="B521" s="14"/>
      <c r="C521" s="14"/>
      <c r="D521" s="276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12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</row>
    <row r="522">
      <c r="A522" s="14"/>
      <c r="B522" s="14"/>
      <c r="C522" s="14"/>
      <c r="D522" s="276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12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</row>
    <row r="523">
      <c r="A523" s="14"/>
      <c r="B523" s="14"/>
      <c r="C523" s="14"/>
      <c r="D523" s="276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12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</row>
    <row r="524">
      <c r="A524" s="14"/>
      <c r="B524" s="14"/>
      <c r="C524" s="14"/>
      <c r="D524" s="276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12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</row>
    <row r="525">
      <c r="A525" s="14"/>
      <c r="B525" s="14"/>
      <c r="C525" s="14"/>
      <c r="D525" s="276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12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</row>
    <row r="526">
      <c r="A526" s="14"/>
      <c r="B526" s="14"/>
      <c r="C526" s="14"/>
      <c r="D526" s="276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12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</row>
    <row r="527">
      <c r="A527" s="14"/>
      <c r="B527" s="14"/>
      <c r="C527" s="14"/>
      <c r="D527" s="276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12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</row>
    <row r="528">
      <c r="A528" s="14"/>
      <c r="B528" s="14"/>
      <c r="C528" s="14"/>
      <c r="D528" s="276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12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</row>
    <row r="529">
      <c r="A529" s="14"/>
      <c r="B529" s="14"/>
      <c r="C529" s="14"/>
      <c r="D529" s="276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12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</row>
    <row r="530">
      <c r="A530" s="14"/>
      <c r="B530" s="14"/>
      <c r="C530" s="14"/>
      <c r="D530" s="276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12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</row>
    <row r="531">
      <c r="A531" s="14"/>
      <c r="B531" s="14"/>
      <c r="C531" s="14"/>
      <c r="D531" s="276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12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</row>
    <row r="532">
      <c r="A532" s="14"/>
      <c r="B532" s="14"/>
      <c r="C532" s="14"/>
      <c r="D532" s="276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12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</row>
    <row r="533">
      <c r="A533" s="14"/>
      <c r="B533" s="14"/>
      <c r="C533" s="14"/>
      <c r="D533" s="276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12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</row>
    <row r="534">
      <c r="A534" s="14"/>
      <c r="B534" s="14"/>
      <c r="C534" s="14"/>
      <c r="D534" s="276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12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</row>
    <row r="535">
      <c r="A535" s="14"/>
      <c r="B535" s="14"/>
      <c r="C535" s="14"/>
      <c r="D535" s="276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12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</row>
    <row r="536">
      <c r="A536" s="14"/>
      <c r="B536" s="14"/>
      <c r="C536" s="14"/>
      <c r="D536" s="276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12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</row>
    <row r="537">
      <c r="A537" s="14"/>
      <c r="B537" s="14"/>
      <c r="C537" s="14"/>
      <c r="D537" s="276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12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</row>
    <row r="538">
      <c r="A538" s="14"/>
      <c r="B538" s="14"/>
      <c r="C538" s="14"/>
      <c r="D538" s="276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12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</row>
    <row r="539">
      <c r="A539" s="14"/>
      <c r="B539" s="14"/>
      <c r="C539" s="14"/>
      <c r="D539" s="276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12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</row>
    <row r="540">
      <c r="A540" s="14"/>
      <c r="B540" s="14"/>
      <c r="C540" s="14"/>
      <c r="D540" s="276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12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</row>
    <row r="541">
      <c r="A541" s="14"/>
      <c r="B541" s="14"/>
      <c r="C541" s="14"/>
      <c r="D541" s="276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12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</row>
    <row r="542">
      <c r="A542" s="14"/>
      <c r="B542" s="14"/>
      <c r="C542" s="14"/>
      <c r="D542" s="276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12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</row>
    <row r="543">
      <c r="A543" s="14"/>
      <c r="B543" s="14"/>
      <c r="C543" s="14"/>
      <c r="D543" s="276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12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</row>
    <row r="544">
      <c r="A544" s="14"/>
      <c r="B544" s="14"/>
      <c r="C544" s="14"/>
      <c r="D544" s="276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12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</row>
    <row r="545">
      <c r="A545" s="14"/>
      <c r="B545" s="14"/>
      <c r="C545" s="14"/>
      <c r="D545" s="276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12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</row>
    <row r="546">
      <c r="A546" s="14"/>
      <c r="B546" s="14"/>
      <c r="C546" s="14"/>
      <c r="D546" s="276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12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</row>
    <row r="547">
      <c r="A547" s="14"/>
      <c r="B547" s="14"/>
      <c r="C547" s="14"/>
      <c r="D547" s="276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12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</row>
    <row r="548">
      <c r="A548" s="14"/>
      <c r="B548" s="14"/>
      <c r="C548" s="14"/>
      <c r="D548" s="276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12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</row>
    <row r="549">
      <c r="A549" s="14"/>
      <c r="B549" s="14"/>
      <c r="C549" s="14"/>
      <c r="D549" s="276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12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</row>
    <row r="550">
      <c r="A550" s="14"/>
      <c r="B550" s="14"/>
      <c r="C550" s="14"/>
      <c r="D550" s="276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12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</row>
    <row r="551">
      <c r="A551" s="14"/>
      <c r="B551" s="14"/>
      <c r="C551" s="14"/>
      <c r="D551" s="276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12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</row>
    <row r="552">
      <c r="A552" s="14"/>
      <c r="B552" s="14"/>
      <c r="C552" s="14"/>
      <c r="D552" s="276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12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</row>
    <row r="553">
      <c r="A553" s="14"/>
      <c r="B553" s="14"/>
      <c r="C553" s="14"/>
      <c r="D553" s="276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12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</row>
    <row r="554">
      <c r="A554" s="14"/>
      <c r="B554" s="14"/>
      <c r="C554" s="14"/>
      <c r="D554" s="276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12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</row>
    <row r="555">
      <c r="A555" s="14"/>
      <c r="B555" s="14"/>
      <c r="C555" s="14"/>
      <c r="D555" s="276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12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</row>
    <row r="556">
      <c r="A556" s="14"/>
      <c r="B556" s="14"/>
      <c r="C556" s="14"/>
      <c r="D556" s="276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12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</row>
    <row r="557">
      <c r="A557" s="14"/>
      <c r="B557" s="14"/>
      <c r="C557" s="14"/>
      <c r="D557" s="276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12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</row>
    <row r="558">
      <c r="A558" s="14"/>
      <c r="B558" s="14"/>
      <c r="C558" s="14"/>
      <c r="D558" s="276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12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</row>
    <row r="559">
      <c r="A559" s="14"/>
      <c r="B559" s="14"/>
      <c r="C559" s="14"/>
      <c r="D559" s="276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12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</row>
    <row r="560">
      <c r="A560" s="14"/>
      <c r="B560" s="14"/>
      <c r="C560" s="14"/>
      <c r="D560" s="276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12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</row>
    <row r="561">
      <c r="A561" s="14"/>
      <c r="B561" s="14"/>
      <c r="C561" s="14"/>
      <c r="D561" s="276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12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</row>
    <row r="562">
      <c r="A562" s="14"/>
      <c r="B562" s="14"/>
      <c r="C562" s="14"/>
      <c r="D562" s="276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12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</row>
    <row r="563">
      <c r="A563" s="14"/>
      <c r="B563" s="14"/>
      <c r="C563" s="14"/>
      <c r="D563" s="276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12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</row>
    <row r="564">
      <c r="A564" s="14"/>
      <c r="B564" s="14"/>
      <c r="C564" s="14"/>
      <c r="D564" s="276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12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</row>
    <row r="565">
      <c r="A565" s="14"/>
      <c r="B565" s="14"/>
      <c r="C565" s="14"/>
      <c r="D565" s="276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12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</row>
    <row r="566">
      <c r="A566" s="14"/>
      <c r="B566" s="14"/>
      <c r="C566" s="14"/>
      <c r="D566" s="276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12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</row>
    <row r="567">
      <c r="A567" s="14"/>
      <c r="B567" s="14"/>
      <c r="C567" s="14"/>
      <c r="D567" s="276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12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</row>
    <row r="568">
      <c r="A568" s="14"/>
      <c r="B568" s="14"/>
      <c r="C568" s="14"/>
      <c r="D568" s="276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12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</row>
    <row r="569">
      <c r="A569" s="14"/>
      <c r="B569" s="14"/>
      <c r="C569" s="14"/>
      <c r="D569" s="276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12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</row>
    <row r="570">
      <c r="A570" s="14"/>
      <c r="B570" s="14"/>
      <c r="C570" s="14"/>
      <c r="D570" s="276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12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</row>
    <row r="571">
      <c r="A571" s="14"/>
      <c r="B571" s="14"/>
      <c r="C571" s="14"/>
      <c r="D571" s="276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12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</row>
    <row r="572">
      <c r="A572" s="14"/>
      <c r="B572" s="14"/>
      <c r="C572" s="14"/>
      <c r="D572" s="276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12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</row>
    <row r="573">
      <c r="A573" s="14"/>
      <c r="B573" s="14"/>
      <c r="C573" s="14"/>
      <c r="D573" s="276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12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</row>
    <row r="574">
      <c r="A574" s="14"/>
      <c r="B574" s="14"/>
      <c r="C574" s="14"/>
      <c r="D574" s="276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12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</row>
    <row r="575">
      <c r="A575" s="14"/>
      <c r="B575" s="14"/>
      <c r="C575" s="14"/>
      <c r="D575" s="276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12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</row>
    <row r="576">
      <c r="A576" s="14"/>
      <c r="B576" s="14"/>
      <c r="C576" s="14"/>
      <c r="D576" s="276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12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</row>
    <row r="577">
      <c r="A577" s="14"/>
      <c r="B577" s="14"/>
      <c r="C577" s="14"/>
      <c r="D577" s="276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12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</row>
    <row r="578">
      <c r="A578" s="14"/>
      <c r="B578" s="14"/>
      <c r="C578" s="14"/>
      <c r="D578" s="276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12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</row>
    <row r="579">
      <c r="A579" s="14"/>
      <c r="B579" s="14"/>
      <c r="C579" s="14"/>
      <c r="D579" s="276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12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</row>
    <row r="580">
      <c r="A580" s="14"/>
      <c r="B580" s="14"/>
      <c r="C580" s="14"/>
      <c r="D580" s="276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12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</row>
    <row r="581">
      <c r="A581" s="14"/>
      <c r="B581" s="14"/>
      <c r="C581" s="14"/>
      <c r="D581" s="276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12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</row>
    <row r="582">
      <c r="A582" s="14"/>
      <c r="B582" s="14"/>
      <c r="C582" s="14"/>
      <c r="D582" s="276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12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</row>
    <row r="583">
      <c r="A583" s="14"/>
      <c r="B583" s="14"/>
      <c r="C583" s="14"/>
      <c r="D583" s="276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12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</row>
    <row r="584">
      <c r="A584" s="14"/>
      <c r="B584" s="14"/>
      <c r="C584" s="14"/>
      <c r="D584" s="276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12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</row>
    <row r="585">
      <c r="A585" s="14"/>
      <c r="B585" s="14"/>
      <c r="C585" s="14"/>
      <c r="D585" s="276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12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</row>
    <row r="586">
      <c r="A586" s="14"/>
      <c r="B586" s="14"/>
      <c r="C586" s="14"/>
      <c r="D586" s="276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12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</row>
    <row r="587">
      <c r="A587" s="14"/>
      <c r="B587" s="14"/>
      <c r="C587" s="14"/>
      <c r="D587" s="276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12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</row>
    <row r="588">
      <c r="A588" s="14"/>
      <c r="B588" s="14"/>
      <c r="C588" s="14"/>
      <c r="D588" s="276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12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</row>
    <row r="589">
      <c r="A589" s="14"/>
      <c r="B589" s="14"/>
      <c r="C589" s="14"/>
      <c r="D589" s="276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12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</row>
    <row r="590">
      <c r="A590" s="14"/>
      <c r="B590" s="14"/>
      <c r="C590" s="14"/>
      <c r="D590" s="276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12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</row>
    <row r="591">
      <c r="A591" s="14"/>
      <c r="B591" s="14"/>
      <c r="C591" s="14"/>
      <c r="D591" s="276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12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</row>
    <row r="592">
      <c r="A592" s="14"/>
      <c r="B592" s="14"/>
      <c r="C592" s="14"/>
      <c r="D592" s="276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12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</row>
    <row r="593">
      <c r="A593" s="14"/>
      <c r="B593" s="14"/>
      <c r="C593" s="14"/>
      <c r="D593" s="276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12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</row>
    <row r="594">
      <c r="A594" s="14"/>
      <c r="B594" s="14"/>
      <c r="C594" s="14"/>
      <c r="D594" s="276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12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</row>
    <row r="595">
      <c r="A595" s="14"/>
      <c r="B595" s="14"/>
      <c r="C595" s="14"/>
      <c r="D595" s="276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12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</row>
    <row r="596">
      <c r="A596" s="14"/>
      <c r="B596" s="14"/>
      <c r="C596" s="14"/>
      <c r="D596" s="276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12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</row>
    <row r="597">
      <c r="A597" s="14"/>
      <c r="B597" s="14"/>
      <c r="C597" s="14"/>
      <c r="D597" s="276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12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</row>
    <row r="598">
      <c r="A598" s="14"/>
      <c r="B598" s="14"/>
      <c r="C598" s="14"/>
      <c r="D598" s="276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12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</row>
    <row r="599">
      <c r="A599" s="14"/>
      <c r="B599" s="14"/>
      <c r="C599" s="14"/>
      <c r="D599" s="276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12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</row>
    <row r="600">
      <c r="A600" s="14"/>
      <c r="B600" s="14"/>
      <c r="C600" s="14"/>
      <c r="D600" s="276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12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</row>
    <row r="601">
      <c r="A601" s="14"/>
      <c r="B601" s="14"/>
      <c r="C601" s="14"/>
      <c r="D601" s="276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12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</row>
    <row r="602">
      <c r="A602" s="14"/>
      <c r="B602" s="14"/>
      <c r="C602" s="14"/>
      <c r="D602" s="276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12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</row>
    <row r="603">
      <c r="A603" s="14"/>
      <c r="B603" s="14"/>
      <c r="C603" s="14"/>
      <c r="D603" s="276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12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</row>
    <row r="604">
      <c r="A604" s="14"/>
      <c r="B604" s="14"/>
      <c r="C604" s="14"/>
      <c r="D604" s="276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12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</row>
    <row r="605">
      <c r="A605" s="14"/>
      <c r="B605" s="14"/>
      <c r="C605" s="14"/>
      <c r="D605" s="276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12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</row>
    <row r="606">
      <c r="A606" s="14"/>
      <c r="B606" s="14"/>
      <c r="C606" s="14"/>
      <c r="D606" s="276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12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</row>
    <row r="607">
      <c r="A607" s="14"/>
      <c r="B607" s="14"/>
      <c r="C607" s="14"/>
      <c r="D607" s="276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12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</row>
    <row r="608">
      <c r="A608" s="14"/>
      <c r="B608" s="14"/>
      <c r="C608" s="14"/>
      <c r="D608" s="276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12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</row>
    <row r="609">
      <c r="A609" s="14"/>
      <c r="B609" s="14"/>
      <c r="C609" s="14"/>
      <c r="D609" s="276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12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</row>
    <row r="610">
      <c r="A610" s="14"/>
      <c r="B610" s="14"/>
      <c r="C610" s="14"/>
      <c r="D610" s="276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12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</row>
    <row r="611">
      <c r="A611" s="14"/>
      <c r="B611" s="14"/>
      <c r="C611" s="14"/>
      <c r="D611" s="276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12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</row>
    <row r="612">
      <c r="A612" s="14"/>
      <c r="B612" s="14"/>
      <c r="C612" s="14"/>
      <c r="D612" s="276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12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</row>
    <row r="613">
      <c r="A613" s="14"/>
      <c r="B613" s="14"/>
      <c r="C613" s="14"/>
      <c r="D613" s="276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12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</row>
    <row r="614">
      <c r="A614" s="14"/>
      <c r="B614" s="14"/>
      <c r="C614" s="14"/>
      <c r="D614" s="276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12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</row>
    <row r="615">
      <c r="A615" s="14"/>
      <c r="B615" s="14"/>
      <c r="C615" s="14"/>
      <c r="D615" s="276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12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</row>
    <row r="616">
      <c r="A616" s="14"/>
      <c r="B616" s="14"/>
      <c r="C616" s="14"/>
      <c r="D616" s="276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12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</row>
    <row r="617">
      <c r="A617" s="14"/>
      <c r="B617" s="14"/>
      <c r="C617" s="14"/>
      <c r="D617" s="276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12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</row>
    <row r="618">
      <c r="A618" s="14"/>
      <c r="B618" s="14"/>
      <c r="C618" s="14"/>
      <c r="D618" s="276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12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</row>
    <row r="619">
      <c r="A619" s="14"/>
      <c r="B619" s="14"/>
      <c r="C619" s="14"/>
      <c r="D619" s="276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12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</row>
    <row r="620">
      <c r="A620" s="14"/>
      <c r="B620" s="14"/>
      <c r="C620" s="14"/>
      <c r="D620" s="276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12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</row>
    <row r="621">
      <c r="A621" s="14"/>
      <c r="B621" s="14"/>
      <c r="C621" s="14"/>
      <c r="D621" s="276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12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</row>
    <row r="622">
      <c r="A622" s="14"/>
      <c r="B622" s="14"/>
      <c r="C622" s="14"/>
      <c r="D622" s="276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12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</row>
    <row r="623">
      <c r="A623" s="14"/>
      <c r="B623" s="14"/>
      <c r="C623" s="14"/>
      <c r="D623" s="276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12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</row>
    <row r="624">
      <c r="A624" s="14"/>
      <c r="B624" s="14"/>
      <c r="C624" s="14"/>
      <c r="D624" s="276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12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</row>
    <row r="625">
      <c r="A625" s="14"/>
      <c r="B625" s="14"/>
      <c r="C625" s="14"/>
      <c r="D625" s="276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12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</row>
    <row r="626">
      <c r="A626" s="14"/>
      <c r="B626" s="14"/>
      <c r="C626" s="14"/>
      <c r="D626" s="276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12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</row>
    <row r="627">
      <c r="A627" s="14"/>
      <c r="B627" s="14"/>
      <c r="C627" s="14"/>
      <c r="D627" s="276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12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</row>
    <row r="628">
      <c r="A628" s="14"/>
      <c r="B628" s="14"/>
      <c r="C628" s="14"/>
      <c r="D628" s="276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12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</row>
    <row r="629">
      <c r="A629" s="14"/>
      <c r="B629" s="14"/>
      <c r="C629" s="14"/>
      <c r="D629" s="276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12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</row>
    <row r="630">
      <c r="A630" s="14"/>
      <c r="B630" s="14"/>
      <c r="C630" s="14"/>
      <c r="D630" s="276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12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</row>
    <row r="631">
      <c r="A631" s="14"/>
      <c r="B631" s="14"/>
      <c r="C631" s="14"/>
      <c r="D631" s="276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12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</row>
    <row r="632">
      <c r="A632" s="14"/>
      <c r="B632" s="14"/>
      <c r="C632" s="14"/>
      <c r="D632" s="276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12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</row>
    <row r="633">
      <c r="A633" s="14"/>
      <c r="B633" s="14"/>
      <c r="C633" s="14"/>
      <c r="D633" s="276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12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</row>
    <row r="634">
      <c r="A634" s="14"/>
      <c r="B634" s="14"/>
      <c r="C634" s="14"/>
      <c r="D634" s="276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12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</row>
    <row r="635">
      <c r="A635" s="14"/>
      <c r="B635" s="14"/>
      <c r="C635" s="14"/>
      <c r="D635" s="276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12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</row>
    <row r="636">
      <c r="A636" s="14"/>
      <c r="B636" s="14"/>
      <c r="C636" s="14"/>
      <c r="D636" s="276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12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</row>
    <row r="637">
      <c r="A637" s="14"/>
      <c r="B637" s="14"/>
      <c r="C637" s="14"/>
      <c r="D637" s="276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12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</row>
    <row r="638">
      <c r="A638" s="14"/>
      <c r="B638" s="14"/>
      <c r="C638" s="14"/>
      <c r="D638" s="276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12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</row>
    <row r="639">
      <c r="A639" s="14"/>
      <c r="B639" s="14"/>
      <c r="C639" s="14"/>
      <c r="D639" s="276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12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</row>
    <row r="640">
      <c r="A640" s="14"/>
      <c r="B640" s="14"/>
      <c r="C640" s="14"/>
      <c r="D640" s="276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12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</row>
    <row r="641">
      <c r="A641" s="14"/>
      <c r="B641" s="14"/>
      <c r="C641" s="14"/>
      <c r="D641" s="276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12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</row>
    <row r="642">
      <c r="A642" s="14"/>
      <c r="B642" s="14"/>
      <c r="C642" s="14"/>
      <c r="D642" s="276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12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</row>
    <row r="643">
      <c r="A643" s="14"/>
      <c r="B643" s="14"/>
      <c r="C643" s="14"/>
      <c r="D643" s="276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12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</row>
    <row r="644">
      <c r="A644" s="14"/>
      <c r="B644" s="14"/>
      <c r="C644" s="14"/>
      <c r="D644" s="276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12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</row>
    <row r="645">
      <c r="A645" s="14"/>
      <c r="B645" s="14"/>
      <c r="C645" s="14"/>
      <c r="D645" s="276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12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</row>
    <row r="646">
      <c r="A646" s="14"/>
      <c r="B646" s="14"/>
      <c r="C646" s="14"/>
      <c r="D646" s="276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12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</row>
    <row r="647">
      <c r="A647" s="14"/>
      <c r="B647" s="14"/>
      <c r="C647" s="14"/>
      <c r="D647" s="276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12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</row>
    <row r="648">
      <c r="A648" s="14"/>
      <c r="B648" s="14"/>
      <c r="C648" s="14"/>
      <c r="D648" s="276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12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</row>
    <row r="649">
      <c r="A649" s="14"/>
      <c r="B649" s="14"/>
      <c r="C649" s="14"/>
      <c r="D649" s="276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12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</row>
    <row r="650">
      <c r="A650" s="14"/>
      <c r="B650" s="14"/>
      <c r="C650" s="14"/>
      <c r="D650" s="276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12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</row>
    <row r="651">
      <c r="A651" s="14"/>
      <c r="B651" s="14"/>
      <c r="C651" s="14"/>
      <c r="D651" s="276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12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</row>
    <row r="652">
      <c r="A652" s="14"/>
      <c r="B652" s="14"/>
      <c r="C652" s="14"/>
      <c r="D652" s="276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12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</row>
    <row r="653">
      <c r="A653" s="14"/>
      <c r="B653" s="14"/>
      <c r="C653" s="14"/>
      <c r="D653" s="276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12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</row>
    <row r="654">
      <c r="A654" s="14"/>
      <c r="B654" s="14"/>
      <c r="C654" s="14"/>
      <c r="D654" s="276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12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</row>
    <row r="655">
      <c r="A655" s="14"/>
      <c r="B655" s="14"/>
      <c r="C655" s="14"/>
      <c r="D655" s="276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12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</row>
    <row r="656">
      <c r="A656" s="14"/>
      <c r="B656" s="14"/>
      <c r="C656" s="14"/>
      <c r="D656" s="276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12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</row>
    <row r="657">
      <c r="A657" s="14"/>
      <c r="B657" s="14"/>
      <c r="C657" s="14"/>
      <c r="D657" s="276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12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</row>
    <row r="658">
      <c r="A658" s="14"/>
      <c r="B658" s="14"/>
      <c r="C658" s="14"/>
      <c r="D658" s="276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12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</row>
    <row r="659">
      <c r="A659" s="14"/>
      <c r="B659" s="14"/>
      <c r="C659" s="14"/>
      <c r="D659" s="276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12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</row>
    <row r="660">
      <c r="A660" s="14"/>
      <c r="B660" s="14"/>
      <c r="C660" s="14"/>
      <c r="D660" s="276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12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</row>
    <row r="661">
      <c r="A661" s="14"/>
      <c r="B661" s="14"/>
      <c r="C661" s="14"/>
      <c r="D661" s="276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12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</row>
    <row r="662">
      <c r="A662" s="14"/>
      <c r="B662" s="14"/>
      <c r="C662" s="14"/>
      <c r="D662" s="276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12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</row>
    <row r="663">
      <c r="A663" s="14"/>
      <c r="B663" s="14"/>
      <c r="C663" s="14"/>
      <c r="D663" s="276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12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</row>
    <row r="664">
      <c r="A664" s="14"/>
      <c r="B664" s="14"/>
      <c r="C664" s="14"/>
      <c r="D664" s="276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12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</row>
    <row r="665">
      <c r="A665" s="14"/>
      <c r="B665" s="14"/>
      <c r="C665" s="14"/>
      <c r="D665" s="276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12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</row>
    <row r="666">
      <c r="A666" s="14"/>
      <c r="B666" s="14"/>
      <c r="C666" s="14"/>
      <c r="D666" s="276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12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</row>
    <row r="667">
      <c r="A667" s="14"/>
      <c r="B667" s="14"/>
      <c r="C667" s="14"/>
      <c r="D667" s="276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12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</row>
    <row r="668">
      <c r="A668" s="14"/>
      <c r="B668" s="14"/>
      <c r="C668" s="14"/>
      <c r="D668" s="276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12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</row>
    <row r="669">
      <c r="A669" s="14"/>
      <c r="B669" s="14"/>
      <c r="C669" s="14"/>
      <c r="D669" s="276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12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</row>
    <row r="670">
      <c r="A670" s="14"/>
      <c r="B670" s="14"/>
      <c r="C670" s="14"/>
      <c r="D670" s="276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12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</row>
    <row r="671">
      <c r="A671" s="14"/>
      <c r="B671" s="14"/>
      <c r="C671" s="14"/>
      <c r="D671" s="276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12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</row>
    <row r="672">
      <c r="A672" s="14"/>
      <c r="B672" s="14"/>
      <c r="C672" s="14"/>
      <c r="D672" s="276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12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</row>
    <row r="673">
      <c r="A673" s="14"/>
      <c r="B673" s="14"/>
      <c r="C673" s="14"/>
      <c r="D673" s="276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12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</row>
    <row r="674">
      <c r="A674" s="14"/>
      <c r="B674" s="14"/>
      <c r="C674" s="14"/>
      <c r="D674" s="276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12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</row>
    <row r="675">
      <c r="A675" s="14"/>
      <c r="B675" s="14"/>
      <c r="C675" s="14"/>
      <c r="D675" s="276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12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</row>
    <row r="676">
      <c r="A676" s="14"/>
      <c r="B676" s="14"/>
      <c r="C676" s="14"/>
      <c r="D676" s="276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12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</row>
    <row r="677">
      <c r="A677" s="14"/>
      <c r="B677" s="14"/>
      <c r="C677" s="14"/>
      <c r="D677" s="276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12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</row>
    <row r="678">
      <c r="A678" s="14"/>
      <c r="B678" s="14"/>
      <c r="C678" s="14"/>
      <c r="D678" s="276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12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</row>
    <row r="679">
      <c r="A679" s="14"/>
      <c r="B679" s="14"/>
      <c r="C679" s="14"/>
      <c r="D679" s="276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12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</row>
    <row r="680">
      <c r="A680" s="14"/>
      <c r="B680" s="14"/>
      <c r="C680" s="14"/>
      <c r="D680" s="276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12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</row>
    <row r="681">
      <c r="A681" s="14"/>
      <c r="B681" s="14"/>
      <c r="C681" s="14"/>
      <c r="D681" s="276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12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</row>
    <row r="682">
      <c r="A682" s="14"/>
      <c r="B682" s="14"/>
      <c r="C682" s="14"/>
      <c r="D682" s="276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12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</row>
    <row r="683">
      <c r="A683" s="14"/>
      <c r="B683" s="14"/>
      <c r="C683" s="14"/>
      <c r="D683" s="276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12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</row>
    <row r="684">
      <c r="A684" s="14"/>
      <c r="B684" s="14"/>
      <c r="C684" s="14"/>
      <c r="D684" s="276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12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</row>
    <row r="685">
      <c r="A685" s="14"/>
      <c r="B685" s="14"/>
      <c r="C685" s="14"/>
      <c r="D685" s="276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12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</row>
    <row r="686">
      <c r="A686" s="14"/>
      <c r="B686" s="14"/>
      <c r="C686" s="14"/>
      <c r="D686" s="276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12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</row>
    <row r="687">
      <c r="A687" s="14"/>
      <c r="B687" s="14"/>
      <c r="C687" s="14"/>
      <c r="D687" s="276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12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</row>
    <row r="688">
      <c r="A688" s="14"/>
      <c r="B688" s="14"/>
      <c r="C688" s="14"/>
      <c r="D688" s="276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12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</row>
    <row r="689">
      <c r="A689" s="14"/>
      <c r="B689" s="14"/>
      <c r="C689" s="14"/>
      <c r="D689" s="276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12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</row>
    <row r="690">
      <c r="A690" s="14"/>
      <c r="B690" s="14"/>
      <c r="C690" s="14"/>
      <c r="D690" s="276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12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</row>
    <row r="691">
      <c r="A691" s="14"/>
      <c r="B691" s="14"/>
      <c r="C691" s="14"/>
      <c r="D691" s="276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12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</row>
    <row r="692">
      <c r="A692" s="14"/>
      <c r="B692" s="14"/>
      <c r="C692" s="14"/>
      <c r="D692" s="276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12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</row>
    <row r="693">
      <c r="A693" s="14"/>
      <c r="B693" s="14"/>
      <c r="C693" s="14"/>
      <c r="D693" s="276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12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</row>
    <row r="694">
      <c r="A694" s="14"/>
      <c r="B694" s="14"/>
      <c r="C694" s="14"/>
      <c r="D694" s="276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12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</row>
    <row r="695">
      <c r="A695" s="14"/>
      <c r="B695" s="14"/>
      <c r="C695" s="14"/>
      <c r="D695" s="276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12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</row>
    <row r="696">
      <c r="A696" s="14"/>
      <c r="B696" s="14"/>
      <c r="C696" s="14"/>
      <c r="D696" s="276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12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</row>
    <row r="697">
      <c r="A697" s="14"/>
      <c r="B697" s="14"/>
      <c r="C697" s="14"/>
      <c r="D697" s="276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12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</row>
    <row r="698">
      <c r="A698" s="14"/>
      <c r="B698" s="14"/>
      <c r="C698" s="14"/>
      <c r="D698" s="276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12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</row>
    <row r="699">
      <c r="A699" s="14"/>
      <c r="B699" s="14"/>
      <c r="C699" s="14"/>
      <c r="D699" s="276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12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</row>
    <row r="700">
      <c r="A700" s="14"/>
      <c r="B700" s="14"/>
      <c r="C700" s="14"/>
      <c r="D700" s="276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12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</row>
    <row r="701">
      <c r="A701" s="14"/>
      <c r="B701" s="14"/>
      <c r="C701" s="14"/>
      <c r="D701" s="276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12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</row>
    <row r="702">
      <c r="A702" s="14"/>
      <c r="B702" s="14"/>
      <c r="C702" s="14"/>
      <c r="D702" s="276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12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</row>
    <row r="703">
      <c r="A703" s="14"/>
      <c r="B703" s="14"/>
      <c r="C703" s="14"/>
      <c r="D703" s="276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12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</row>
    <row r="704">
      <c r="A704" s="14"/>
      <c r="B704" s="14"/>
      <c r="C704" s="14"/>
      <c r="D704" s="276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12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</row>
    <row r="705">
      <c r="A705" s="14"/>
      <c r="B705" s="14"/>
      <c r="C705" s="14"/>
      <c r="D705" s="276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12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</row>
    <row r="706">
      <c r="A706" s="14"/>
      <c r="B706" s="14"/>
      <c r="C706" s="14"/>
      <c r="D706" s="276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12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</row>
    <row r="707">
      <c r="A707" s="14"/>
      <c r="B707" s="14"/>
      <c r="C707" s="14"/>
      <c r="D707" s="276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12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</row>
    <row r="708">
      <c r="A708" s="14"/>
      <c r="B708" s="14"/>
      <c r="C708" s="14"/>
      <c r="D708" s="276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12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</row>
    <row r="709">
      <c r="A709" s="14"/>
      <c r="B709" s="14"/>
      <c r="C709" s="14"/>
      <c r="D709" s="276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12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</row>
    <row r="710">
      <c r="A710" s="14"/>
      <c r="B710" s="14"/>
      <c r="C710" s="14"/>
      <c r="D710" s="276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12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</row>
    <row r="711">
      <c r="A711" s="14"/>
      <c r="B711" s="14"/>
      <c r="C711" s="14"/>
      <c r="D711" s="276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12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</row>
    <row r="712">
      <c r="A712" s="14"/>
      <c r="B712" s="14"/>
      <c r="C712" s="14"/>
      <c r="D712" s="276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12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</row>
    <row r="713">
      <c r="A713" s="14"/>
      <c r="B713" s="14"/>
      <c r="C713" s="14"/>
      <c r="D713" s="276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12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</row>
    <row r="714">
      <c r="A714" s="14"/>
      <c r="B714" s="14"/>
      <c r="C714" s="14"/>
      <c r="D714" s="276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12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</row>
    <row r="715">
      <c r="A715" s="14"/>
      <c r="B715" s="14"/>
      <c r="C715" s="14"/>
      <c r="D715" s="276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12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</row>
    <row r="716">
      <c r="A716" s="14"/>
      <c r="B716" s="14"/>
      <c r="C716" s="14"/>
      <c r="D716" s="276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12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</row>
    <row r="717">
      <c r="A717" s="14"/>
      <c r="B717" s="14"/>
      <c r="C717" s="14"/>
      <c r="D717" s="276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12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</row>
    <row r="718">
      <c r="A718" s="14"/>
      <c r="B718" s="14"/>
      <c r="C718" s="14"/>
      <c r="D718" s="276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12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</row>
    <row r="719">
      <c r="A719" s="14"/>
      <c r="B719" s="14"/>
      <c r="C719" s="14"/>
      <c r="D719" s="276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12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</row>
    <row r="720">
      <c r="A720" s="14"/>
      <c r="B720" s="14"/>
      <c r="C720" s="14"/>
      <c r="D720" s="276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12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</row>
    <row r="721">
      <c r="A721" s="14"/>
      <c r="B721" s="14"/>
      <c r="C721" s="14"/>
      <c r="D721" s="276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12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</row>
    <row r="722">
      <c r="A722" s="14"/>
      <c r="B722" s="14"/>
      <c r="C722" s="14"/>
      <c r="D722" s="276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12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</row>
    <row r="723">
      <c r="A723" s="14"/>
      <c r="B723" s="14"/>
      <c r="C723" s="14"/>
      <c r="D723" s="276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12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</row>
    <row r="724">
      <c r="A724" s="14"/>
      <c r="B724" s="14"/>
      <c r="C724" s="14"/>
      <c r="D724" s="276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12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</row>
    <row r="725">
      <c r="A725" s="14"/>
      <c r="B725" s="14"/>
      <c r="C725" s="14"/>
      <c r="D725" s="276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12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</row>
    <row r="726">
      <c r="A726" s="14"/>
      <c r="B726" s="14"/>
      <c r="C726" s="14"/>
      <c r="D726" s="276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12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</row>
    <row r="727">
      <c r="A727" s="14"/>
      <c r="B727" s="14"/>
      <c r="C727" s="14"/>
      <c r="D727" s="276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12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</row>
    <row r="728">
      <c r="A728" s="14"/>
      <c r="B728" s="14"/>
      <c r="C728" s="14"/>
      <c r="D728" s="276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12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</row>
    <row r="729">
      <c r="A729" s="14"/>
      <c r="B729" s="14"/>
      <c r="C729" s="14"/>
      <c r="D729" s="276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12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</row>
    <row r="730">
      <c r="A730" s="14"/>
      <c r="B730" s="14"/>
      <c r="C730" s="14"/>
      <c r="D730" s="276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12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</row>
    <row r="731">
      <c r="A731" s="14"/>
      <c r="B731" s="14"/>
      <c r="C731" s="14"/>
      <c r="D731" s="276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12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</row>
    <row r="732">
      <c r="A732" s="14"/>
      <c r="B732" s="14"/>
      <c r="C732" s="14"/>
      <c r="D732" s="276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12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</row>
    <row r="733">
      <c r="A733" s="14"/>
      <c r="B733" s="14"/>
      <c r="C733" s="14"/>
      <c r="D733" s="276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12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</row>
    <row r="734">
      <c r="A734" s="14"/>
      <c r="B734" s="14"/>
      <c r="C734" s="14"/>
      <c r="D734" s="276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12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</row>
    <row r="735">
      <c r="A735" s="14"/>
      <c r="B735" s="14"/>
      <c r="C735" s="14"/>
      <c r="D735" s="276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12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</row>
    <row r="736">
      <c r="A736" s="14"/>
      <c r="B736" s="14"/>
      <c r="C736" s="14"/>
      <c r="D736" s="276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12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</row>
    <row r="737">
      <c r="A737" s="14"/>
      <c r="B737" s="14"/>
      <c r="C737" s="14"/>
      <c r="D737" s="276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12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</row>
    <row r="738">
      <c r="A738" s="14"/>
      <c r="B738" s="14"/>
      <c r="C738" s="14"/>
      <c r="D738" s="276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12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</row>
    <row r="739">
      <c r="A739" s="14"/>
      <c r="B739" s="14"/>
      <c r="C739" s="14"/>
      <c r="D739" s="276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12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</row>
    <row r="740">
      <c r="A740" s="14"/>
      <c r="B740" s="14"/>
      <c r="C740" s="14"/>
      <c r="D740" s="276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12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</row>
    <row r="741">
      <c r="A741" s="14"/>
      <c r="B741" s="14"/>
      <c r="C741" s="14"/>
      <c r="D741" s="276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12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</row>
    <row r="742">
      <c r="A742" s="14"/>
      <c r="B742" s="14"/>
      <c r="C742" s="14"/>
      <c r="D742" s="276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12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</row>
    <row r="743">
      <c r="A743" s="14"/>
      <c r="B743" s="14"/>
      <c r="C743" s="14"/>
      <c r="D743" s="276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12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</row>
    <row r="744">
      <c r="A744" s="14"/>
      <c r="B744" s="14"/>
      <c r="C744" s="14"/>
      <c r="D744" s="276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12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</row>
    <row r="745">
      <c r="A745" s="14"/>
      <c r="B745" s="14"/>
      <c r="C745" s="14"/>
      <c r="D745" s="276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12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</row>
    <row r="746">
      <c r="A746" s="14"/>
      <c r="B746" s="14"/>
      <c r="C746" s="14"/>
      <c r="D746" s="276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12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</row>
    <row r="747">
      <c r="A747" s="14"/>
      <c r="B747" s="14"/>
      <c r="C747" s="14"/>
      <c r="D747" s="276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12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</row>
    <row r="748">
      <c r="A748" s="14"/>
      <c r="B748" s="14"/>
      <c r="C748" s="14"/>
      <c r="D748" s="276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12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</row>
    <row r="749">
      <c r="A749" s="14"/>
      <c r="B749" s="14"/>
      <c r="C749" s="14"/>
      <c r="D749" s="276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12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</row>
    <row r="750">
      <c r="A750" s="14"/>
      <c r="B750" s="14"/>
      <c r="C750" s="14"/>
      <c r="D750" s="276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12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</row>
    <row r="751">
      <c r="A751" s="14"/>
      <c r="B751" s="14"/>
      <c r="C751" s="14"/>
      <c r="D751" s="276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12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</row>
    <row r="752">
      <c r="A752" s="14"/>
      <c r="B752" s="14"/>
      <c r="C752" s="14"/>
      <c r="D752" s="276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12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</row>
    <row r="753">
      <c r="A753" s="14"/>
      <c r="B753" s="14"/>
      <c r="C753" s="14"/>
      <c r="D753" s="276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12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</row>
    <row r="754">
      <c r="A754" s="14"/>
      <c r="B754" s="14"/>
      <c r="C754" s="14"/>
      <c r="D754" s="276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12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</row>
    <row r="755">
      <c r="A755" s="14"/>
      <c r="B755" s="14"/>
      <c r="C755" s="14"/>
      <c r="D755" s="276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12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</row>
    <row r="756">
      <c r="A756" s="14"/>
      <c r="B756" s="14"/>
      <c r="C756" s="14"/>
      <c r="D756" s="276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12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</row>
    <row r="757">
      <c r="A757" s="14"/>
      <c r="B757" s="14"/>
      <c r="C757" s="14"/>
      <c r="D757" s="276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12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</row>
    <row r="758">
      <c r="A758" s="14"/>
      <c r="B758" s="14"/>
      <c r="C758" s="14"/>
      <c r="D758" s="276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12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</row>
    <row r="759">
      <c r="A759" s="14"/>
      <c r="B759" s="14"/>
      <c r="C759" s="14"/>
      <c r="D759" s="276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12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</row>
    <row r="760">
      <c r="A760" s="14"/>
      <c r="B760" s="14"/>
      <c r="C760" s="14"/>
      <c r="D760" s="276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12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</row>
    <row r="761">
      <c r="A761" s="14"/>
      <c r="B761" s="14"/>
      <c r="C761" s="14"/>
      <c r="D761" s="276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12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</row>
    <row r="762">
      <c r="A762" s="14"/>
      <c r="B762" s="14"/>
      <c r="C762" s="14"/>
      <c r="D762" s="276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12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</row>
    <row r="763">
      <c r="A763" s="14"/>
      <c r="B763" s="14"/>
      <c r="C763" s="14"/>
      <c r="D763" s="276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12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</row>
    <row r="764">
      <c r="A764" s="14"/>
      <c r="B764" s="14"/>
      <c r="C764" s="14"/>
      <c r="D764" s="276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12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</row>
    <row r="765">
      <c r="A765" s="14"/>
      <c r="B765" s="14"/>
      <c r="C765" s="14"/>
      <c r="D765" s="276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12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</row>
    <row r="766">
      <c r="A766" s="14"/>
      <c r="B766" s="14"/>
      <c r="C766" s="14"/>
      <c r="D766" s="276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12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</row>
    <row r="767">
      <c r="A767" s="14"/>
      <c r="B767" s="14"/>
      <c r="C767" s="14"/>
      <c r="D767" s="276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12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</row>
    <row r="768">
      <c r="A768" s="14"/>
      <c r="B768" s="14"/>
      <c r="C768" s="14"/>
      <c r="D768" s="276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12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</row>
    <row r="769">
      <c r="A769" s="14"/>
      <c r="B769" s="14"/>
      <c r="C769" s="14"/>
      <c r="D769" s="276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12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</row>
    <row r="770">
      <c r="A770" s="14"/>
      <c r="B770" s="14"/>
      <c r="C770" s="14"/>
      <c r="D770" s="276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12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</row>
    <row r="771">
      <c r="A771" s="14"/>
      <c r="B771" s="14"/>
      <c r="C771" s="14"/>
      <c r="D771" s="276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12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</row>
    <row r="772">
      <c r="A772" s="14"/>
      <c r="B772" s="14"/>
      <c r="C772" s="14"/>
      <c r="D772" s="276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12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</row>
    <row r="773">
      <c r="A773" s="14"/>
      <c r="B773" s="14"/>
      <c r="C773" s="14"/>
      <c r="D773" s="276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12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</row>
    <row r="774">
      <c r="A774" s="14"/>
      <c r="B774" s="14"/>
      <c r="C774" s="14"/>
      <c r="D774" s="276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12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</row>
    <row r="775">
      <c r="A775" s="14"/>
      <c r="B775" s="14"/>
      <c r="C775" s="14"/>
      <c r="D775" s="276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12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</row>
    <row r="776">
      <c r="A776" s="14"/>
      <c r="B776" s="14"/>
      <c r="C776" s="14"/>
      <c r="D776" s="276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12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</row>
    <row r="777">
      <c r="A777" s="14"/>
      <c r="B777" s="14"/>
      <c r="C777" s="14"/>
      <c r="D777" s="276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12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</row>
    <row r="778">
      <c r="A778" s="14"/>
      <c r="B778" s="14"/>
      <c r="C778" s="14"/>
      <c r="D778" s="276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12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</row>
    <row r="779">
      <c r="A779" s="14"/>
      <c r="B779" s="14"/>
      <c r="C779" s="14"/>
      <c r="D779" s="276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12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</row>
    <row r="780">
      <c r="A780" s="14"/>
      <c r="B780" s="14"/>
      <c r="C780" s="14"/>
      <c r="D780" s="276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12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</row>
    <row r="781">
      <c r="A781" s="14"/>
      <c r="B781" s="14"/>
      <c r="C781" s="14"/>
      <c r="D781" s="276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12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</row>
    <row r="782">
      <c r="A782" s="14"/>
      <c r="B782" s="14"/>
      <c r="C782" s="14"/>
      <c r="D782" s="276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12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</row>
    <row r="783">
      <c r="A783" s="14"/>
      <c r="B783" s="14"/>
      <c r="C783" s="14"/>
      <c r="D783" s="276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12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</row>
    <row r="784">
      <c r="A784" s="14"/>
      <c r="B784" s="14"/>
      <c r="C784" s="14"/>
      <c r="D784" s="276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12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</row>
    <row r="785">
      <c r="A785" s="14"/>
      <c r="B785" s="14"/>
      <c r="C785" s="14"/>
      <c r="D785" s="276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12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</row>
    <row r="786">
      <c r="A786" s="14"/>
      <c r="B786" s="14"/>
      <c r="C786" s="14"/>
      <c r="D786" s="276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12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</row>
    <row r="787">
      <c r="A787" s="14"/>
      <c r="B787" s="14"/>
      <c r="C787" s="14"/>
      <c r="D787" s="276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12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</row>
    <row r="788">
      <c r="A788" s="14"/>
      <c r="B788" s="14"/>
      <c r="C788" s="14"/>
      <c r="D788" s="276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12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</row>
    <row r="789">
      <c r="A789" s="14"/>
      <c r="B789" s="14"/>
      <c r="C789" s="14"/>
      <c r="D789" s="276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12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</row>
    <row r="790">
      <c r="A790" s="14"/>
      <c r="B790" s="14"/>
      <c r="C790" s="14"/>
      <c r="D790" s="276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12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</row>
    <row r="791">
      <c r="A791" s="14"/>
      <c r="B791" s="14"/>
      <c r="C791" s="14"/>
      <c r="D791" s="276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12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</row>
    <row r="792">
      <c r="A792" s="14"/>
      <c r="B792" s="14"/>
      <c r="C792" s="14"/>
      <c r="D792" s="276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12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</row>
    <row r="793">
      <c r="A793" s="14"/>
      <c r="B793" s="14"/>
      <c r="C793" s="14"/>
      <c r="D793" s="276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12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</row>
    <row r="794">
      <c r="A794" s="14"/>
      <c r="B794" s="14"/>
      <c r="C794" s="14"/>
      <c r="D794" s="276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12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</row>
    <row r="795">
      <c r="A795" s="14"/>
      <c r="B795" s="14"/>
      <c r="C795" s="14"/>
      <c r="D795" s="276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12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</row>
    <row r="796">
      <c r="A796" s="14"/>
      <c r="B796" s="14"/>
      <c r="C796" s="14"/>
      <c r="D796" s="276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12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</row>
    <row r="797">
      <c r="A797" s="14"/>
      <c r="B797" s="14"/>
      <c r="C797" s="14"/>
      <c r="D797" s="276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12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</row>
    <row r="798">
      <c r="A798" s="14"/>
      <c r="B798" s="14"/>
      <c r="C798" s="14"/>
      <c r="D798" s="276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12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</row>
    <row r="799">
      <c r="A799" s="14"/>
      <c r="B799" s="14"/>
      <c r="C799" s="14"/>
      <c r="D799" s="276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12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</row>
    <row r="800">
      <c r="A800" s="14"/>
      <c r="B800" s="14"/>
      <c r="C800" s="14"/>
      <c r="D800" s="276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12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</row>
    <row r="801">
      <c r="A801" s="14"/>
      <c r="B801" s="14"/>
      <c r="C801" s="14"/>
      <c r="D801" s="276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12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</row>
    <row r="802">
      <c r="A802" s="14"/>
      <c r="B802" s="14"/>
      <c r="C802" s="14"/>
      <c r="D802" s="276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12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</row>
    <row r="803">
      <c r="A803" s="14"/>
      <c r="B803" s="14"/>
      <c r="C803" s="14"/>
      <c r="D803" s="276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12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</row>
    <row r="804">
      <c r="A804" s="14"/>
      <c r="B804" s="14"/>
      <c r="C804" s="14"/>
      <c r="D804" s="276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12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</row>
    <row r="805">
      <c r="A805" s="14"/>
      <c r="B805" s="14"/>
      <c r="C805" s="14"/>
      <c r="D805" s="276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12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</row>
    <row r="806">
      <c r="A806" s="14"/>
      <c r="B806" s="14"/>
      <c r="C806" s="14"/>
      <c r="D806" s="276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12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</row>
    <row r="807">
      <c r="A807" s="14"/>
      <c r="B807" s="14"/>
      <c r="C807" s="14"/>
      <c r="D807" s="276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12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</row>
    <row r="808">
      <c r="A808" s="14"/>
      <c r="B808" s="14"/>
      <c r="C808" s="14"/>
      <c r="D808" s="276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12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</row>
    <row r="809">
      <c r="A809" s="14"/>
      <c r="B809" s="14"/>
      <c r="C809" s="14"/>
      <c r="D809" s="276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12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</row>
    <row r="810">
      <c r="A810" s="14"/>
      <c r="B810" s="14"/>
      <c r="C810" s="14"/>
      <c r="D810" s="276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12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</row>
    <row r="811">
      <c r="A811" s="14"/>
      <c r="B811" s="14"/>
      <c r="C811" s="14"/>
      <c r="D811" s="276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12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</row>
    <row r="812">
      <c r="A812" s="14"/>
      <c r="B812" s="14"/>
      <c r="C812" s="14"/>
      <c r="D812" s="276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12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</row>
    <row r="813">
      <c r="A813" s="14"/>
      <c r="B813" s="14"/>
      <c r="C813" s="14"/>
      <c r="D813" s="276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12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</row>
    <row r="814">
      <c r="A814" s="14"/>
      <c r="B814" s="14"/>
      <c r="C814" s="14"/>
      <c r="D814" s="276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12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</row>
    <row r="815">
      <c r="A815" s="14"/>
      <c r="B815" s="14"/>
      <c r="C815" s="14"/>
      <c r="D815" s="276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12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</row>
    <row r="816">
      <c r="A816" s="14"/>
      <c r="B816" s="14"/>
      <c r="C816" s="14"/>
      <c r="D816" s="276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12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</row>
    <row r="817">
      <c r="A817" s="14"/>
      <c r="B817" s="14"/>
      <c r="C817" s="14"/>
      <c r="D817" s="276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12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</row>
    <row r="818">
      <c r="A818" s="14"/>
      <c r="B818" s="14"/>
      <c r="C818" s="14"/>
      <c r="D818" s="276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12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</row>
    <row r="819">
      <c r="A819" s="14"/>
      <c r="B819" s="14"/>
      <c r="C819" s="14"/>
      <c r="D819" s="276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12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</row>
    <row r="820">
      <c r="A820" s="14"/>
      <c r="B820" s="14"/>
      <c r="C820" s="14"/>
      <c r="D820" s="276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12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</row>
    <row r="821">
      <c r="A821" s="14"/>
      <c r="B821" s="14"/>
      <c r="C821" s="14"/>
      <c r="D821" s="276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12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</row>
    <row r="822">
      <c r="A822" s="14"/>
      <c r="B822" s="14"/>
      <c r="C822" s="14"/>
      <c r="D822" s="276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12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</row>
    <row r="823">
      <c r="A823" s="14"/>
      <c r="B823" s="14"/>
      <c r="C823" s="14"/>
      <c r="D823" s="276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12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</row>
    <row r="824">
      <c r="A824" s="14"/>
      <c r="B824" s="14"/>
      <c r="C824" s="14"/>
      <c r="D824" s="276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12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</row>
    <row r="825">
      <c r="A825" s="14"/>
      <c r="B825" s="14"/>
      <c r="C825" s="14"/>
      <c r="D825" s="276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12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</row>
    <row r="826">
      <c r="A826" s="14"/>
      <c r="B826" s="14"/>
      <c r="C826" s="14"/>
      <c r="D826" s="276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12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</row>
    <row r="827">
      <c r="A827" s="14"/>
      <c r="B827" s="14"/>
      <c r="C827" s="14"/>
      <c r="D827" s="276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12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</row>
    <row r="828">
      <c r="A828" s="14"/>
      <c r="B828" s="14"/>
      <c r="C828" s="14"/>
      <c r="D828" s="276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12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</row>
    <row r="829">
      <c r="A829" s="14"/>
      <c r="B829" s="14"/>
      <c r="C829" s="14"/>
      <c r="D829" s="276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12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</row>
    <row r="830">
      <c r="A830" s="14"/>
      <c r="B830" s="14"/>
      <c r="C830" s="14"/>
      <c r="D830" s="276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12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</row>
    <row r="831">
      <c r="A831" s="14"/>
      <c r="B831" s="14"/>
      <c r="C831" s="14"/>
      <c r="D831" s="276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12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</row>
    <row r="832">
      <c r="A832" s="14"/>
      <c r="B832" s="14"/>
      <c r="C832" s="14"/>
      <c r="D832" s="276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12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</row>
    <row r="833">
      <c r="A833" s="14"/>
      <c r="B833" s="14"/>
      <c r="C833" s="14"/>
      <c r="D833" s="276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12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</row>
    <row r="834">
      <c r="A834" s="14"/>
      <c r="B834" s="14"/>
      <c r="C834" s="14"/>
      <c r="D834" s="276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12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</row>
    <row r="835">
      <c r="A835" s="14"/>
      <c r="B835" s="14"/>
      <c r="C835" s="14"/>
      <c r="D835" s="276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12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</row>
    <row r="836">
      <c r="A836" s="14"/>
      <c r="B836" s="14"/>
      <c r="C836" s="14"/>
      <c r="D836" s="276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12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</row>
    <row r="837">
      <c r="A837" s="14"/>
      <c r="B837" s="14"/>
      <c r="C837" s="14"/>
      <c r="D837" s="276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12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</row>
    <row r="838">
      <c r="A838" s="14"/>
      <c r="B838" s="14"/>
      <c r="C838" s="14"/>
      <c r="D838" s="276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12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</row>
    <row r="839">
      <c r="A839" s="14"/>
      <c r="B839" s="14"/>
      <c r="C839" s="14"/>
      <c r="D839" s="276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12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</row>
    <row r="840">
      <c r="A840" s="14"/>
      <c r="B840" s="14"/>
      <c r="C840" s="14"/>
      <c r="D840" s="276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12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</row>
    <row r="841">
      <c r="A841" s="14"/>
      <c r="B841" s="14"/>
      <c r="C841" s="14"/>
      <c r="D841" s="276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12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</row>
    <row r="842">
      <c r="A842" s="14"/>
      <c r="B842" s="14"/>
      <c r="C842" s="14"/>
      <c r="D842" s="276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12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</row>
    <row r="843">
      <c r="A843" s="14"/>
      <c r="B843" s="14"/>
      <c r="C843" s="14"/>
      <c r="D843" s="276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12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</row>
    <row r="844">
      <c r="A844" s="14"/>
      <c r="B844" s="14"/>
      <c r="C844" s="14"/>
      <c r="D844" s="276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12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</row>
    <row r="845">
      <c r="A845" s="14"/>
      <c r="B845" s="14"/>
      <c r="C845" s="14"/>
      <c r="D845" s="276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12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</row>
    <row r="846">
      <c r="A846" s="14"/>
      <c r="B846" s="14"/>
      <c r="C846" s="14"/>
      <c r="D846" s="276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12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</row>
    <row r="847">
      <c r="A847" s="14"/>
      <c r="B847" s="14"/>
      <c r="C847" s="14"/>
      <c r="D847" s="276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12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</row>
    <row r="848">
      <c r="A848" s="14"/>
      <c r="B848" s="14"/>
      <c r="C848" s="14"/>
      <c r="D848" s="276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12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</row>
    <row r="849">
      <c r="A849" s="14"/>
      <c r="B849" s="14"/>
      <c r="C849" s="14"/>
      <c r="D849" s="276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12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</row>
    <row r="850">
      <c r="A850" s="14"/>
      <c r="B850" s="14"/>
      <c r="C850" s="14"/>
      <c r="D850" s="276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12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</row>
    <row r="851">
      <c r="A851" s="14"/>
      <c r="B851" s="14"/>
      <c r="C851" s="14"/>
      <c r="D851" s="276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12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</row>
    <row r="852">
      <c r="A852" s="14"/>
      <c r="B852" s="14"/>
      <c r="C852" s="14"/>
      <c r="D852" s="276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12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</row>
    <row r="853">
      <c r="A853" s="14"/>
      <c r="B853" s="14"/>
      <c r="C853" s="14"/>
      <c r="D853" s="276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12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</row>
    <row r="854">
      <c r="A854" s="14"/>
      <c r="B854" s="14"/>
      <c r="C854" s="14"/>
      <c r="D854" s="276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12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</row>
    <row r="855">
      <c r="A855" s="14"/>
      <c r="B855" s="14"/>
      <c r="C855" s="14"/>
      <c r="D855" s="276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12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</row>
    <row r="856">
      <c r="A856" s="14"/>
      <c r="B856" s="14"/>
      <c r="C856" s="14"/>
      <c r="D856" s="276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12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</row>
    <row r="857">
      <c r="A857" s="14"/>
      <c r="B857" s="14"/>
      <c r="C857" s="14"/>
      <c r="D857" s="276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12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</row>
    <row r="858">
      <c r="A858" s="14"/>
      <c r="B858" s="14"/>
      <c r="C858" s="14"/>
      <c r="D858" s="276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12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</row>
    <row r="859">
      <c r="A859" s="14"/>
      <c r="B859" s="14"/>
      <c r="C859" s="14"/>
      <c r="D859" s="276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12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</row>
    <row r="860">
      <c r="A860" s="14"/>
      <c r="B860" s="14"/>
      <c r="C860" s="14"/>
      <c r="D860" s="276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12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</row>
    <row r="861">
      <c r="A861" s="14"/>
      <c r="B861" s="14"/>
      <c r="C861" s="14"/>
      <c r="D861" s="276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12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</row>
    <row r="862">
      <c r="A862" s="14"/>
      <c r="B862" s="14"/>
      <c r="C862" s="14"/>
      <c r="D862" s="276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12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</row>
    <row r="863">
      <c r="A863" s="14"/>
      <c r="B863" s="14"/>
      <c r="C863" s="14"/>
      <c r="D863" s="276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12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</row>
    <row r="864">
      <c r="A864" s="14"/>
      <c r="B864" s="14"/>
      <c r="C864" s="14"/>
      <c r="D864" s="276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12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</row>
    <row r="865">
      <c r="A865" s="14"/>
      <c r="B865" s="14"/>
      <c r="C865" s="14"/>
      <c r="D865" s="276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12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</row>
    <row r="866">
      <c r="A866" s="14"/>
      <c r="B866" s="14"/>
      <c r="C866" s="14"/>
      <c r="D866" s="276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12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</row>
    <row r="867">
      <c r="A867" s="14"/>
      <c r="B867" s="14"/>
      <c r="C867" s="14"/>
      <c r="D867" s="276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12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</row>
    <row r="868">
      <c r="A868" s="14"/>
      <c r="B868" s="14"/>
      <c r="C868" s="14"/>
      <c r="D868" s="276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12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</row>
    <row r="869">
      <c r="A869" s="14"/>
      <c r="B869" s="14"/>
      <c r="C869" s="14"/>
      <c r="D869" s="276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12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</row>
    <row r="870">
      <c r="A870" s="14"/>
      <c r="B870" s="14"/>
      <c r="C870" s="14"/>
      <c r="D870" s="276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12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</row>
    <row r="871">
      <c r="A871" s="14"/>
      <c r="B871" s="14"/>
      <c r="C871" s="14"/>
      <c r="D871" s="276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12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</row>
    <row r="872">
      <c r="A872" s="14"/>
      <c r="B872" s="14"/>
      <c r="C872" s="14"/>
      <c r="D872" s="276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12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</row>
    <row r="873">
      <c r="A873" s="14"/>
      <c r="B873" s="14"/>
      <c r="C873" s="14"/>
      <c r="D873" s="276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12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</row>
    <row r="874">
      <c r="A874" s="14"/>
      <c r="B874" s="14"/>
      <c r="C874" s="14"/>
      <c r="D874" s="276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12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</row>
    <row r="875">
      <c r="A875" s="14"/>
      <c r="B875" s="14"/>
      <c r="C875" s="14"/>
      <c r="D875" s="276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12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</row>
    <row r="876">
      <c r="A876" s="14"/>
      <c r="B876" s="14"/>
      <c r="C876" s="14"/>
      <c r="D876" s="276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12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</row>
    <row r="877">
      <c r="A877" s="14"/>
      <c r="B877" s="14"/>
      <c r="C877" s="14"/>
      <c r="D877" s="276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12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</row>
    <row r="878">
      <c r="A878" s="14"/>
      <c r="B878" s="14"/>
      <c r="C878" s="14"/>
      <c r="D878" s="276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12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</row>
    <row r="879">
      <c r="A879" s="14"/>
      <c r="B879" s="14"/>
      <c r="C879" s="14"/>
      <c r="D879" s="276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12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</row>
    <row r="880">
      <c r="A880" s="14"/>
      <c r="B880" s="14"/>
      <c r="C880" s="14"/>
      <c r="D880" s="276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12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</row>
    <row r="881">
      <c r="A881" s="14"/>
      <c r="B881" s="14"/>
      <c r="C881" s="14"/>
      <c r="D881" s="276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12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</row>
    <row r="882">
      <c r="A882" s="14"/>
      <c r="B882" s="14"/>
      <c r="C882" s="14"/>
      <c r="D882" s="276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12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</row>
    <row r="883">
      <c r="A883" s="14"/>
      <c r="B883" s="14"/>
      <c r="C883" s="14"/>
      <c r="D883" s="276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12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</row>
    <row r="884">
      <c r="A884" s="14"/>
      <c r="B884" s="14"/>
      <c r="C884" s="14"/>
      <c r="D884" s="276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12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</row>
    <row r="885">
      <c r="A885" s="14"/>
      <c r="B885" s="14"/>
      <c r="C885" s="14"/>
      <c r="D885" s="276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12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</row>
    <row r="886">
      <c r="A886" s="14"/>
      <c r="B886" s="14"/>
      <c r="C886" s="14"/>
      <c r="D886" s="276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12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</row>
    <row r="887">
      <c r="A887" s="14"/>
      <c r="B887" s="14"/>
      <c r="C887" s="14"/>
      <c r="D887" s="276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12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</row>
    <row r="888">
      <c r="A888" s="14"/>
      <c r="B888" s="14"/>
      <c r="C888" s="14"/>
      <c r="D888" s="276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12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</row>
    <row r="889">
      <c r="A889" s="14"/>
      <c r="B889" s="14"/>
      <c r="C889" s="14"/>
      <c r="D889" s="276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12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</row>
    <row r="890">
      <c r="A890" s="14"/>
      <c r="B890" s="14"/>
      <c r="C890" s="14"/>
      <c r="D890" s="276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12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</row>
    <row r="891">
      <c r="A891" s="14"/>
      <c r="B891" s="14"/>
      <c r="C891" s="14"/>
      <c r="D891" s="276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12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</row>
    <row r="892">
      <c r="A892" s="14"/>
      <c r="B892" s="14"/>
      <c r="C892" s="14"/>
      <c r="D892" s="276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12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</row>
    <row r="893">
      <c r="A893" s="14"/>
      <c r="B893" s="14"/>
      <c r="C893" s="14"/>
      <c r="D893" s="276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12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</row>
    <row r="894">
      <c r="A894" s="14"/>
      <c r="B894" s="14"/>
      <c r="C894" s="14"/>
      <c r="D894" s="276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12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</row>
    <row r="895">
      <c r="A895" s="14"/>
      <c r="B895" s="14"/>
      <c r="C895" s="14"/>
      <c r="D895" s="276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12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</row>
    <row r="896">
      <c r="A896" s="14"/>
      <c r="B896" s="14"/>
      <c r="C896" s="14"/>
      <c r="D896" s="276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12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</row>
    <row r="897">
      <c r="A897" s="14"/>
      <c r="B897" s="14"/>
      <c r="C897" s="14"/>
      <c r="D897" s="276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12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</row>
    <row r="898">
      <c r="A898" s="14"/>
      <c r="B898" s="14"/>
      <c r="C898" s="14"/>
      <c r="D898" s="276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12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</row>
    <row r="899">
      <c r="A899" s="14"/>
      <c r="B899" s="14"/>
      <c r="C899" s="14"/>
      <c r="D899" s="276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12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</row>
    <row r="900">
      <c r="A900" s="14"/>
      <c r="B900" s="14"/>
      <c r="C900" s="14"/>
      <c r="D900" s="276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12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</row>
    <row r="901">
      <c r="A901" s="14"/>
      <c r="B901" s="14"/>
      <c r="C901" s="14"/>
      <c r="D901" s="276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12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</row>
    <row r="902">
      <c r="A902" s="14"/>
      <c r="B902" s="14"/>
      <c r="C902" s="14"/>
      <c r="D902" s="276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12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</row>
    <row r="903">
      <c r="A903" s="14"/>
      <c r="B903" s="14"/>
      <c r="C903" s="14"/>
      <c r="D903" s="276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12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</row>
    <row r="904">
      <c r="A904" s="14"/>
      <c r="B904" s="14"/>
      <c r="C904" s="14"/>
      <c r="D904" s="276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12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</row>
    <row r="905">
      <c r="A905" s="14"/>
      <c r="B905" s="14"/>
      <c r="C905" s="14"/>
      <c r="D905" s="276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12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</row>
    <row r="906">
      <c r="A906" s="14"/>
      <c r="B906" s="14"/>
      <c r="C906" s="14"/>
      <c r="D906" s="276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12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</row>
    <row r="907">
      <c r="A907" s="14"/>
      <c r="B907" s="14"/>
      <c r="C907" s="14"/>
      <c r="D907" s="276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12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</row>
    <row r="908">
      <c r="A908" s="14"/>
      <c r="B908" s="14"/>
      <c r="C908" s="14"/>
      <c r="D908" s="276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12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</row>
    <row r="909">
      <c r="A909" s="14"/>
      <c r="B909" s="14"/>
      <c r="C909" s="14"/>
      <c r="D909" s="276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12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</row>
    <row r="910">
      <c r="A910" s="14"/>
      <c r="B910" s="14"/>
      <c r="C910" s="14"/>
      <c r="D910" s="276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12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</row>
    <row r="911">
      <c r="A911" s="14"/>
      <c r="B911" s="14"/>
      <c r="C911" s="14"/>
      <c r="D911" s="276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12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</row>
    <row r="912">
      <c r="A912" s="14"/>
      <c r="B912" s="14"/>
      <c r="C912" s="14"/>
      <c r="D912" s="276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12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</row>
    <row r="913">
      <c r="A913" s="14"/>
      <c r="B913" s="14"/>
      <c r="C913" s="14"/>
      <c r="D913" s="276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12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</row>
    <row r="914">
      <c r="A914" s="14"/>
      <c r="B914" s="14"/>
      <c r="C914" s="14"/>
      <c r="D914" s="276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12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</row>
    <row r="915">
      <c r="A915" s="14"/>
      <c r="B915" s="14"/>
      <c r="C915" s="14"/>
      <c r="D915" s="276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12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</row>
    <row r="916">
      <c r="A916" s="14"/>
      <c r="B916" s="14"/>
      <c r="C916" s="14"/>
      <c r="D916" s="276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12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</row>
    <row r="917">
      <c r="A917" s="14"/>
      <c r="B917" s="14"/>
      <c r="C917" s="14"/>
      <c r="D917" s="276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12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</row>
    <row r="918">
      <c r="A918" s="14"/>
      <c r="B918" s="14"/>
      <c r="C918" s="14"/>
      <c r="D918" s="276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12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</row>
    <row r="919">
      <c r="A919" s="14"/>
      <c r="B919" s="14"/>
      <c r="C919" s="14"/>
      <c r="D919" s="276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12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</row>
    <row r="920">
      <c r="A920" s="14"/>
      <c r="B920" s="14"/>
      <c r="C920" s="14"/>
      <c r="D920" s="276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12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</row>
    <row r="921">
      <c r="A921" s="14"/>
      <c r="B921" s="14"/>
      <c r="C921" s="14"/>
      <c r="D921" s="276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12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</row>
    <row r="922">
      <c r="A922" s="14"/>
      <c r="B922" s="14"/>
      <c r="C922" s="14"/>
      <c r="D922" s="276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12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</row>
    <row r="923">
      <c r="A923" s="14"/>
      <c r="B923" s="14"/>
      <c r="C923" s="14"/>
      <c r="D923" s="276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12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</row>
    <row r="924">
      <c r="A924" s="14"/>
      <c r="B924" s="14"/>
      <c r="C924" s="14"/>
      <c r="D924" s="276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12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</row>
    <row r="925">
      <c r="A925" s="14"/>
      <c r="B925" s="14"/>
      <c r="C925" s="14"/>
      <c r="D925" s="276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12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</row>
    <row r="926">
      <c r="A926" s="14"/>
      <c r="B926" s="14"/>
      <c r="C926" s="14"/>
      <c r="D926" s="276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12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</row>
    <row r="927">
      <c r="A927" s="14"/>
      <c r="B927" s="14"/>
      <c r="C927" s="14"/>
      <c r="D927" s="276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12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</row>
    <row r="928">
      <c r="A928" s="14"/>
      <c r="B928" s="14"/>
      <c r="C928" s="14"/>
      <c r="D928" s="276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12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</row>
    <row r="929">
      <c r="A929" s="14"/>
      <c r="B929" s="14"/>
      <c r="C929" s="14"/>
      <c r="D929" s="276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12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</row>
    <row r="930">
      <c r="A930" s="14"/>
      <c r="B930" s="14"/>
      <c r="C930" s="14"/>
      <c r="D930" s="276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12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</row>
    <row r="931">
      <c r="A931" s="14"/>
      <c r="B931" s="14"/>
      <c r="C931" s="14"/>
      <c r="D931" s="276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12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</row>
    <row r="932">
      <c r="A932" s="14"/>
      <c r="B932" s="14"/>
      <c r="C932" s="14"/>
      <c r="D932" s="276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12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</row>
    <row r="933">
      <c r="A933" s="14"/>
      <c r="B933" s="14"/>
      <c r="C933" s="14"/>
      <c r="D933" s="276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12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</row>
    <row r="934">
      <c r="A934" s="14"/>
      <c r="B934" s="14"/>
      <c r="C934" s="14"/>
      <c r="D934" s="276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12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</row>
    <row r="935">
      <c r="A935" s="14"/>
      <c r="B935" s="14"/>
      <c r="C935" s="14"/>
      <c r="D935" s="276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12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</row>
    <row r="936">
      <c r="A936" s="14"/>
      <c r="B936" s="14"/>
      <c r="C936" s="14"/>
      <c r="D936" s="276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12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</row>
    <row r="937">
      <c r="A937" s="14"/>
      <c r="B937" s="14"/>
      <c r="C937" s="14"/>
      <c r="D937" s="276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12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</row>
    <row r="938">
      <c r="A938" s="14"/>
      <c r="B938" s="14"/>
      <c r="C938" s="14"/>
      <c r="D938" s="276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12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</row>
    <row r="939">
      <c r="A939" s="14"/>
      <c r="B939" s="14"/>
      <c r="C939" s="14"/>
      <c r="D939" s="276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12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</row>
    <row r="940">
      <c r="A940" s="14"/>
      <c r="B940" s="14"/>
      <c r="C940" s="14"/>
      <c r="D940" s="276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12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</row>
    <row r="941">
      <c r="A941" s="14"/>
      <c r="B941" s="14"/>
      <c r="C941" s="14"/>
      <c r="D941" s="276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12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</row>
    <row r="942">
      <c r="A942" s="14"/>
      <c r="B942" s="14"/>
      <c r="C942" s="14"/>
      <c r="D942" s="276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12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</row>
    <row r="943">
      <c r="A943" s="14"/>
      <c r="B943" s="14"/>
      <c r="C943" s="14"/>
      <c r="D943" s="276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12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</row>
    <row r="944">
      <c r="A944" s="14"/>
      <c r="B944" s="14"/>
      <c r="C944" s="14"/>
      <c r="D944" s="276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12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</row>
    <row r="945">
      <c r="A945" s="14"/>
      <c r="B945" s="14"/>
      <c r="C945" s="14"/>
      <c r="D945" s="276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12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</row>
    <row r="946">
      <c r="A946" s="14"/>
      <c r="B946" s="14"/>
      <c r="C946" s="14"/>
      <c r="D946" s="276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12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</row>
    <row r="947">
      <c r="A947" s="14"/>
      <c r="B947" s="14"/>
      <c r="C947" s="14"/>
      <c r="D947" s="276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12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</row>
    <row r="948">
      <c r="A948" s="14"/>
      <c r="B948" s="14"/>
      <c r="C948" s="14"/>
      <c r="D948" s="276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12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</row>
    <row r="949">
      <c r="A949" s="14"/>
      <c r="B949" s="14"/>
      <c r="C949" s="14"/>
      <c r="D949" s="276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12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</row>
    <row r="950">
      <c r="A950" s="14"/>
      <c r="B950" s="14"/>
      <c r="C950" s="14"/>
      <c r="D950" s="276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12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</row>
    <row r="951">
      <c r="A951" s="14"/>
      <c r="B951" s="14"/>
      <c r="C951" s="14"/>
      <c r="D951" s="276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12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</row>
    <row r="952">
      <c r="A952" s="14"/>
      <c r="B952" s="14"/>
      <c r="C952" s="14"/>
      <c r="D952" s="276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12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</row>
    <row r="953">
      <c r="A953" s="14"/>
      <c r="B953" s="14"/>
      <c r="C953" s="14"/>
      <c r="D953" s="276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12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</row>
    <row r="954">
      <c r="A954" s="14"/>
      <c r="B954" s="14"/>
      <c r="C954" s="14"/>
      <c r="D954" s="276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12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</row>
    <row r="955">
      <c r="A955" s="14"/>
      <c r="B955" s="14"/>
      <c r="C955" s="14"/>
      <c r="D955" s="276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12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</row>
    <row r="956">
      <c r="A956" s="14"/>
      <c r="B956" s="14"/>
      <c r="C956" s="14"/>
      <c r="D956" s="276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12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</row>
    <row r="957">
      <c r="A957" s="14"/>
      <c r="B957" s="14"/>
      <c r="C957" s="14"/>
      <c r="D957" s="276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12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</row>
    <row r="958">
      <c r="A958" s="14"/>
      <c r="B958" s="14"/>
      <c r="C958" s="14"/>
      <c r="D958" s="276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12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</row>
    <row r="959">
      <c r="A959" s="14"/>
      <c r="B959" s="14"/>
      <c r="C959" s="14"/>
      <c r="D959" s="276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12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</row>
    <row r="960">
      <c r="A960" s="14"/>
      <c r="B960" s="14"/>
      <c r="C960" s="14"/>
      <c r="D960" s="276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12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</row>
    <row r="961">
      <c r="A961" s="14"/>
      <c r="B961" s="14"/>
      <c r="C961" s="14"/>
      <c r="D961" s="276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12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</row>
    <row r="962">
      <c r="A962" s="14"/>
      <c r="B962" s="14"/>
      <c r="C962" s="14"/>
      <c r="D962" s="276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12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</row>
    <row r="963">
      <c r="A963" s="14"/>
      <c r="B963" s="14"/>
      <c r="C963" s="14"/>
      <c r="D963" s="276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12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</row>
    <row r="964">
      <c r="A964" s="14"/>
      <c r="B964" s="14"/>
      <c r="C964" s="14"/>
      <c r="D964" s="276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12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</row>
    <row r="965">
      <c r="A965" s="14"/>
      <c r="B965" s="14"/>
      <c r="C965" s="14"/>
      <c r="D965" s="276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12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</row>
    <row r="966">
      <c r="A966" s="14"/>
      <c r="B966" s="14"/>
      <c r="C966" s="14"/>
      <c r="D966" s="276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12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</row>
    <row r="967">
      <c r="A967" s="14"/>
      <c r="B967" s="14"/>
      <c r="C967" s="14"/>
      <c r="D967" s="276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12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</row>
    <row r="968">
      <c r="A968" s="14"/>
      <c r="B968" s="14"/>
      <c r="C968" s="14"/>
      <c r="D968" s="276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12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</row>
    <row r="969">
      <c r="A969" s="14"/>
      <c r="B969" s="14"/>
      <c r="C969" s="14"/>
      <c r="D969" s="276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12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</row>
    <row r="970">
      <c r="A970" s="14"/>
      <c r="B970" s="14"/>
      <c r="C970" s="14"/>
      <c r="D970" s="276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12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</row>
    <row r="971">
      <c r="A971" s="14"/>
      <c r="B971" s="14"/>
      <c r="C971" s="14"/>
      <c r="D971" s="276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12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</row>
    <row r="972">
      <c r="A972" s="14"/>
      <c r="B972" s="14"/>
      <c r="C972" s="14"/>
      <c r="D972" s="276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12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</row>
    <row r="973">
      <c r="A973" s="14"/>
      <c r="B973" s="14"/>
      <c r="C973" s="14"/>
      <c r="D973" s="276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12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</row>
    <row r="974">
      <c r="A974" s="14"/>
      <c r="B974" s="14"/>
      <c r="C974" s="14"/>
      <c r="D974" s="276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12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</row>
    <row r="975">
      <c r="A975" s="14"/>
      <c r="B975" s="14"/>
      <c r="C975" s="14"/>
      <c r="D975" s="276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12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</row>
    <row r="976">
      <c r="A976" s="14"/>
      <c r="B976" s="14"/>
      <c r="C976" s="14"/>
      <c r="D976" s="276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12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</row>
    <row r="977">
      <c r="A977" s="14"/>
      <c r="B977" s="14"/>
      <c r="C977" s="14"/>
      <c r="D977" s="276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12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</row>
    <row r="978">
      <c r="A978" s="14"/>
      <c r="B978" s="14"/>
      <c r="C978" s="14"/>
      <c r="D978" s="276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12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</row>
    <row r="979">
      <c r="A979" s="14"/>
      <c r="B979" s="14"/>
      <c r="C979" s="14"/>
      <c r="D979" s="276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12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</row>
    <row r="980">
      <c r="A980" s="14"/>
      <c r="B980" s="14"/>
      <c r="C980" s="14"/>
      <c r="D980" s="276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12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</row>
    <row r="981">
      <c r="A981" s="14"/>
      <c r="B981" s="14"/>
      <c r="C981" s="14"/>
      <c r="D981" s="276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12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</row>
    <row r="982">
      <c r="A982" s="14"/>
      <c r="B982" s="14"/>
      <c r="C982" s="14"/>
      <c r="D982" s="276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12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</row>
    <row r="983">
      <c r="A983" s="14"/>
      <c r="B983" s="14"/>
      <c r="C983" s="14"/>
      <c r="D983" s="276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12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</row>
    <row r="984">
      <c r="A984" s="14"/>
      <c r="B984" s="14"/>
      <c r="C984" s="14"/>
      <c r="D984" s="276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12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</row>
    <row r="985">
      <c r="A985" s="14"/>
      <c r="B985" s="14"/>
      <c r="C985" s="14"/>
      <c r="D985" s="276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12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</row>
    <row r="986">
      <c r="A986" s="14"/>
      <c r="B986" s="14"/>
      <c r="C986" s="14"/>
      <c r="D986" s="276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12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</row>
    <row r="987">
      <c r="A987" s="14"/>
      <c r="B987" s="14"/>
      <c r="C987" s="14"/>
      <c r="D987" s="276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12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</row>
    <row r="988">
      <c r="A988" s="14"/>
      <c r="B988" s="14"/>
      <c r="C988" s="14"/>
      <c r="D988" s="276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12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</row>
    <row r="989">
      <c r="A989" s="14"/>
      <c r="B989" s="14"/>
      <c r="C989" s="14"/>
      <c r="D989" s="276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12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</row>
    <row r="990">
      <c r="A990" s="14"/>
      <c r="B990" s="14"/>
      <c r="C990" s="14"/>
      <c r="D990" s="276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12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</row>
    <row r="991">
      <c r="A991" s="14"/>
      <c r="B991" s="14"/>
      <c r="C991" s="14"/>
      <c r="D991" s="276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12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</row>
    <row r="992">
      <c r="A992" s="14"/>
      <c r="B992" s="14"/>
      <c r="C992" s="14"/>
      <c r="D992" s="276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12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</row>
    <row r="993">
      <c r="A993" s="14"/>
      <c r="B993" s="14"/>
      <c r="C993" s="14"/>
      <c r="D993" s="276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12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</row>
    <row r="994">
      <c r="A994" s="14"/>
      <c r="B994" s="14"/>
      <c r="C994" s="14"/>
      <c r="D994" s="276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12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</row>
    <row r="995">
      <c r="A995" s="14"/>
      <c r="B995" s="14"/>
      <c r="C995" s="14"/>
      <c r="D995" s="276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12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</row>
    <row r="996">
      <c r="A996" s="14"/>
      <c r="B996" s="14"/>
      <c r="C996" s="14"/>
      <c r="D996" s="276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12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</row>
    <row r="997">
      <c r="A997" s="14"/>
      <c r="B997" s="14"/>
      <c r="C997" s="14"/>
      <c r="D997" s="276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12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</row>
    <row r="998">
      <c r="A998" s="14"/>
      <c r="B998" s="14"/>
      <c r="C998" s="14"/>
      <c r="D998" s="276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12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</row>
    <row r="999">
      <c r="A999" s="14"/>
      <c r="B999" s="14"/>
      <c r="C999" s="14"/>
      <c r="D999" s="276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12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</row>
    <row r="1000">
      <c r="A1000" s="14"/>
      <c r="B1000" s="14"/>
      <c r="C1000" s="14"/>
      <c r="D1000" s="276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12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</row>
    <row r="1001">
      <c r="A1001" s="14"/>
      <c r="B1001" s="14"/>
      <c r="C1001" s="14"/>
      <c r="D1001" s="276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12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</row>
    <row r="1002">
      <c r="A1002" s="14"/>
      <c r="B1002" s="14"/>
      <c r="C1002" s="14"/>
      <c r="D1002" s="276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12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</row>
    <row r="1003">
      <c r="A1003" s="14"/>
      <c r="B1003" s="14"/>
      <c r="C1003" s="14"/>
      <c r="D1003" s="276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12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</row>
    <row r="1004">
      <c r="A1004" s="14"/>
      <c r="B1004" s="14"/>
      <c r="C1004" s="14"/>
      <c r="D1004" s="276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12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</row>
    <row r="1005">
      <c r="A1005" s="14"/>
      <c r="B1005" s="14"/>
      <c r="C1005" s="14"/>
      <c r="D1005" s="276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12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</row>
    <row r="1006">
      <c r="A1006" s="14"/>
      <c r="B1006" s="14"/>
      <c r="C1006" s="14"/>
      <c r="D1006" s="276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12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</row>
    <row r="1007">
      <c r="A1007" s="14"/>
      <c r="B1007" s="14"/>
      <c r="C1007" s="14"/>
      <c r="D1007" s="276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12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</row>
    <row r="1008">
      <c r="A1008" s="14"/>
      <c r="B1008" s="14"/>
      <c r="C1008" s="14"/>
      <c r="D1008" s="276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12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</row>
    <row r="1009">
      <c r="A1009" s="14"/>
      <c r="B1009" s="14"/>
      <c r="C1009" s="14"/>
      <c r="D1009" s="276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12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</row>
    <row r="1010">
      <c r="A1010" s="14"/>
      <c r="B1010" s="14"/>
      <c r="C1010" s="14"/>
      <c r="D1010" s="276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12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</row>
    <row r="1011">
      <c r="A1011" s="14"/>
      <c r="B1011" s="14"/>
      <c r="C1011" s="14"/>
      <c r="D1011" s="276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12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</row>
    <row r="1012">
      <c r="A1012" s="14"/>
      <c r="B1012" s="14"/>
      <c r="C1012" s="14"/>
      <c r="D1012" s="276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12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3" t="s">
        <v>1</v>
      </c>
      <c r="B1" s="3" t="s">
        <v>4</v>
      </c>
      <c r="C1" s="5" t="s">
        <v>5</v>
      </c>
      <c r="D1" s="3" t="s">
        <v>7</v>
      </c>
      <c r="E1" s="7" t="s">
        <v>3</v>
      </c>
      <c r="F1" s="7" t="s">
        <v>8</v>
      </c>
      <c r="G1" s="11" t="s">
        <v>9</v>
      </c>
      <c r="H1" s="11">
        <v>4.7</v>
      </c>
      <c r="I1" s="3"/>
      <c r="J1" s="16" t="s">
        <v>11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23" t="s">
        <v>12</v>
      </c>
      <c r="B2" s="26">
        <v>2741.0</v>
      </c>
      <c r="C2" s="29">
        <v>1304.92</v>
      </c>
      <c r="D2" s="36">
        <f t="shared" ref="D2:D25" si="1">(C2/$H$1)/F2</f>
        <v>55.52851064</v>
      </c>
      <c r="E2" s="40" t="s">
        <v>21</v>
      </c>
      <c r="F2" s="26">
        <v>5.0</v>
      </c>
      <c r="G2" s="16" t="s">
        <v>26</v>
      </c>
      <c r="H2" s="42"/>
      <c r="I2" s="43" t="s">
        <v>34</v>
      </c>
      <c r="J2" s="44" t="s">
        <v>40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3" t="s">
        <v>12</v>
      </c>
      <c r="B3" s="26">
        <v>2738.0</v>
      </c>
      <c r="C3" s="29">
        <v>1304.92</v>
      </c>
      <c r="D3" s="36">
        <f t="shared" si="1"/>
        <v>55.52851064</v>
      </c>
      <c r="E3" s="36" t="s">
        <v>57</v>
      </c>
      <c r="F3" s="26">
        <v>5.0</v>
      </c>
      <c r="G3" s="42"/>
      <c r="H3" s="42"/>
      <c r="I3" s="43" t="s">
        <v>34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52">
        <v>46143.0</v>
      </c>
      <c r="B4" s="54">
        <v>2708.0</v>
      </c>
      <c r="C4" s="56">
        <v>593.5</v>
      </c>
      <c r="D4" s="54">
        <f t="shared" si="1"/>
        <v>42.09219858</v>
      </c>
      <c r="E4" s="54" t="s">
        <v>67</v>
      </c>
      <c r="F4" s="54">
        <v>3.0</v>
      </c>
      <c r="G4" s="42"/>
      <c r="H4" s="42"/>
      <c r="I4" s="43" t="s">
        <v>69</v>
      </c>
      <c r="J4" s="43" t="s">
        <v>70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61" t="s">
        <v>73</v>
      </c>
      <c r="B5" s="63">
        <v>2723.0</v>
      </c>
      <c r="C5" s="29">
        <v>287.83</v>
      </c>
      <c r="D5" s="63">
        <f t="shared" si="1"/>
        <v>61.24042553</v>
      </c>
      <c r="E5" s="63" t="s">
        <v>76</v>
      </c>
      <c r="F5" s="63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9" t="s">
        <v>78</v>
      </c>
      <c r="B6" s="70">
        <v>2742.0</v>
      </c>
      <c r="C6" s="29">
        <v>266.75</v>
      </c>
      <c r="D6" s="70">
        <f t="shared" si="1"/>
        <v>56.75531915</v>
      </c>
      <c r="E6" s="70" t="s">
        <v>82</v>
      </c>
      <c r="F6" s="70">
        <v>1.0</v>
      </c>
      <c r="H6" s="45"/>
      <c r="I6" s="16" t="s">
        <v>83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52">
        <v>46143.0</v>
      </c>
      <c r="B7" s="54">
        <v>2703.0</v>
      </c>
      <c r="C7" s="56">
        <v>593.5</v>
      </c>
      <c r="D7" s="54">
        <f t="shared" si="1"/>
        <v>42.09219858</v>
      </c>
      <c r="E7" s="54" t="s">
        <v>74</v>
      </c>
      <c r="F7" s="54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52">
        <v>46143.0</v>
      </c>
      <c r="B8" s="54">
        <v>2702.0</v>
      </c>
      <c r="C8" s="56">
        <v>593.5</v>
      </c>
      <c r="D8" s="54">
        <f t="shared" si="1"/>
        <v>42.09219858</v>
      </c>
      <c r="E8" s="87" t="s">
        <v>89</v>
      </c>
      <c r="F8" s="54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61" t="s">
        <v>91</v>
      </c>
      <c r="B9" s="90">
        <v>2704.0</v>
      </c>
      <c r="C9" s="56">
        <v>39.25</v>
      </c>
      <c r="D9" s="90">
        <f t="shared" si="1"/>
        <v>8.35106383</v>
      </c>
      <c r="E9" s="90" t="s">
        <v>95</v>
      </c>
      <c r="F9" s="90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9" t="s">
        <v>97</v>
      </c>
      <c r="B10" s="16">
        <v>2731.0</v>
      </c>
      <c r="C10" s="56">
        <v>250.58</v>
      </c>
      <c r="D10" s="16">
        <f t="shared" si="1"/>
        <v>17.77163121</v>
      </c>
      <c r="E10" s="16" t="s">
        <v>100</v>
      </c>
      <c r="F10" s="16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9" t="s">
        <v>97</v>
      </c>
      <c r="B11" s="16">
        <v>2733.0</v>
      </c>
      <c r="C11" s="56">
        <v>250.58</v>
      </c>
      <c r="D11" s="16">
        <f t="shared" si="1"/>
        <v>17.77163121</v>
      </c>
      <c r="E11" s="16" t="s">
        <v>90</v>
      </c>
      <c r="F11" s="16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9" t="s">
        <v>97</v>
      </c>
      <c r="B12" s="16">
        <v>2739.0</v>
      </c>
      <c r="C12" s="56">
        <v>250.58</v>
      </c>
      <c r="D12" s="16">
        <f t="shared" si="1"/>
        <v>17.77163121</v>
      </c>
      <c r="E12" s="16" t="s">
        <v>106</v>
      </c>
      <c r="F12" s="16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61" t="s">
        <v>107</v>
      </c>
      <c r="B13" s="90">
        <v>2727.0</v>
      </c>
      <c r="C13" s="56">
        <v>164.75</v>
      </c>
      <c r="D13" s="90">
        <f t="shared" si="1"/>
        <v>35.05319149</v>
      </c>
      <c r="E13" s="90" t="s">
        <v>108</v>
      </c>
      <c r="F13" s="90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52">
        <v>46143.0</v>
      </c>
      <c r="B14" s="87">
        <v>2728.0</v>
      </c>
      <c r="C14" s="56">
        <v>593.5</v>
      </c>
      <c r="D14" s="87" t="str">
        <f t="shared" si="1"/>
        <v>#DIV/0!</v>
      </c>
      <c r="E14" s="87" t="s">
        <v>109</v>
      </c>
      <c r="F14" s="87">
        <v>0.0</v>
      </c>
      <c r="G14" s="16" t="s">
        <v>111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52">
        <v>46143.0</v>
      </c>
      <c r="B15" s="87">
        <v>2729.0</v>
      </c>
      <c r="C15" s="56">
        <v>593.5</v>
      </c>
      <c r="D15" s="87" t="str">
        <f t="shared" si="1"/>
        <v>#DIV/0!</v>
      </c>
      <c r="E15" s="87" t="s">
        <v>109</v>
      </c>
      <c r="F15" s="87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110" t="s">
        <v>114</v>
      </c>
      <c r="B16" s="111">
        <v>2721.0</v>
      </c>
      <c r="C16" s="56">
        <v>0.0</v>
      </c>
      <c r="D16" s="111" t="str">
        <f t="shared" si="1"/>
        <v>#DIV/0!</v>
      </c>
      <c r="E16" s="111" t="s">
        <v>109</v>
      </c>
      <c r="F16" s="111">
        <v>0.0</v>
      </c>
      <c r="G16" s="113" t="s">
        <v>118</v>
      </c>
      <c r="H16" s="114" t="s">
        <v>119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61" t="s">
        <v>122</v>
      </c>
      <c r="B17" s="90">
        <v>2719.0</v>
      </c>
      <c r="C17" s="56">
        <v>556.92</v>
      </c>
      <c r="D17" s="90">
        <f t="shared" si="1"/>
        <v>59.24680851</v>
      </c>
      <c r="E17" s="90" t="s">
        <v>81</v>
      </c>
      <c r="F17" s="90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61" t="s">
        <v>122</v>
      </c>
      <c r="B18" s="90">
        <v>2722.0</v>
      </c>
      <c r="C18" s="56">
        <v>556.92</v>
      </c>
      <c r="D18" s="90">
        <f t="shared" si="1"/>
        <v>59.24680851</v>
      </c>
      <c r="E18" s="90" t="s">
        <v>125</v>
      </c>
      <c r="F18" s="90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9" t="s">
        <v>129</v>
      </c>
      <c r="B19" s="16">
        <v>2743.0</v>
      </c>
      <c r="C19" s="56">
        <v>447.16</v>
      </c>
      <c r="D19" s="16">
        <f t="shared" si="1"/>
        <v>95.14042553</v>
      </c>
      <c r="E19" s="16" t="s">
        <v>113</v>
      </c>
      <c r="F19" s="16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110" t="s">
        <v>131</v>
      </c>
      <c r="B20" s="111">
        <v>2709.0</v>
      </c>
      <c r="C20" s="56">
        <v>482.92</v>
      </c>
      <c r="D20" s="111">
        <f t="shared" si="1"/>
        <v>51.37446809</v>
      </c>
      <c r="E20" s="111" t="s">
        <v>132</v>
      </c>
      <c r="F20" s="111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110" t="s">
        <v>131</v>
      </c>
      <c r="B21" s="111">
        <v>2720.0</v>
      </c>
      <c r="C21" s="56">
        <v>482.92</v>
      </c>
      <c r="D21" s="111">
        <f t="shared" si="1"/>
        <v>51.37446809</v>
      </c>
      <c r="E21" s="111" t="s">
        <v>133</v>
      </c>
      <c r="F21" s="111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3" t="s">
        <v>12</v>
      </c>
      <c r="B22" s="122">
        <v>2736.0</v>
      </c>
      <c r="C22" s="29">
        <v>1304.92</v>
      </c>
      <c r="D22" s="122">
        <f t="shared" si="1"/>
        <v>55.52851064</v>
      </c>
      <c r="E22" s="122" t="s">
        <v>101</v>
      </c>
      <c r="F22" s="122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3" t="s">
        <v>12</v>
      </c>
      <c r="B23" s="122">
        <v>2737.0</v>
      </c>
      <c r="C23" s="29">
        <v>1304.92</v>
      </c>
      <c r="D23" s="122">
        <f t="shared" si="1"/>
        <v>55.52851064</v>
      </c>
      <c r="E23" s="122" t="s">
        <v>130</v>
      </c>
      <c r="F23" s="122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3" t="s">
        <v>12</v>
      </c>
      <c r="B24" s="122">
        <v>2740.0</v>
      </c>
      <c r="C24" s="29">
        <v>1304.92</v>
      </c>
      <c r="D24" s="122">
        <f t="shared" si="1"/>
        <v>55.52851064</v>
      </c>
      <c r="E24" s="122" t="s">
        <v>98</v>
      </c>
      <c r="F24" s="122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3" t="s">
        <v>12</v>
      </c>
      <c r="B25" s="122">
        <v>2732.0</v>
      </c>
      <c r="C25" s="29">
        <v>1304.92</v>
      </c>
      <c r="D25" s="122" t="str">
        <f t="shared" si="1"/>
        <v>#DIV/0!</v>
      </c>
      <c r="E25" s="122" t="s">
        <v>109</v>
      </c>
      <c r="F25" s="122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9"/>
      <c r="B26" s="16"/>
      <c r="C26" s="7"/>
      <c r="D26" s="16"/>
      <c r="E26" s="16"/>
      <c r="F26" s="16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6"/>
      <c r="D27" s="16"/>
      <c r="E27" s="16"/>
      <c r="G27" s="45"/>
      <c r="H27" s="45"/>
      <c r="J27" s="16"/>
      <c r="K27" s="16"/>
      <c r="L27" s="16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29" t="s">
        <v>148</v>
      </c>
      <c r="B28" s="129" t="s">
        <v>149</v>
      </c>
      <c r="C28" s="129" t="s">
        <v>150</v>
      </c>
      <c r="D28" s="129" t="s">
        <v>151</v>
      </c>
      <c r="E28" s="129" t="s">
        <v>153</v>
      </c>
      <c r="F28" s="131" t="s">
        <v>154</v>
      </c>
      <c r="G28" s="16" t="s">
        <v>155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33">
        <v>1.0</v>
      </c>
      <c r="B29" s="134">
        <v>46143.0</v>
      </c>
      <c r="C29" s="56">
        <v>1529.16</v>
      </c>
      <c r="D29" s="135">
        <v>1.0</v>
      </c>
      <c r="E29" s="56">
        <v>3.0</v>
      </c>
      <c r="F29" s="136">
        <f t="shared" ref="F29:F39" si="2">(C29/E29)/(13-$A$29)</f>
        <v>42.47666667</v>
      </c>
      <c r="G29" s="137">
        <v>2702.0</v>
      </c>
      <c r="H29" s="138">
        <v>3044000.0</v>
      </c>
      <c r="I29" s="138" t="s">
        <v>161</v>
      </c>
      <c r="J29" s="139" t="s">
        <v>89</v>
      </c>
      <c r="K29" s="139" t="s">
        <v>114</v>
      </c>
      <c r="L29" s="69"/>
      <c r="M29" s="140"/>
      <c r="N29" s="140"/>
      <c r="O29" s="140"/>
      <c r="P29" s="140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41"/>
      <c r="B30" s="142" t="s">
        <v>110</v>
      </c>
      <c r="C30" s="56">
        <v>1217.0</v>
      </c>
      <c r="D30" s="135">
        <v>1.0</v>
      </c>
      <c r="E30" s="56">
        <v>3.0</v>
      </c>
      <c r="F30" s="136">
        <f t="shared" si="2"/>
        <v>33.80555556</v>
      </c>
      <c r="G30" s="137">
        <v>2703.0</v>
      </c>
      <c r="H30" s="138" t="s">
        <v>62</v>
      </c>
      <c r="I30" s="138" t="s">
        <v>166</v>
      </c>
      <c r="J30" s="139" t="s">
        <v>74</v>
      </c>
      <c r="K30" s="139" t="s">
        <v>114</v>
      </c>
      <c r="L30" s="69"/>
      <c r="M30" s="140"/>
      <c r="N30" s="140"/>
      <c r="O30" s="140"/>
      <c r="P30" s="140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41"/>
      <c r="B31" s="142" t="s">
        <v>79</v>
      </c>
      <c r="C31" s="56">
        <v>1025.0</v>
      </c>
      <c r="D31" s="135">
        <v>1.0</v>
      </c>
      <c r="E31" s="56">
        <v>2.0</v>
      </c>
      <c r="F31" s="136">
        <f t="shared" si="2"/>
        <v>42.70833333</v>
      </c>
      <c r="G31" s="137">
        <v>2704.0</v>
      </c>
      <c r="H31" s="138">
        <v>3044000.0</v>
      </c>
      <c r="I31" s="138" t="s">
        <v>161</v>
      </c>
      <c r="J31" s="139" t="s">
        <v>95</v>
      </c>
      <c r="K31" s="139" t="s">
        <v>91</v>
      </c>
      <c r="L31" s="69"/>
      <c r="M31" s="140"/>
      <c r="N31" s="140"/>
      <c r="O31" s="140"/>
      <c r="P31" s="140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46"/>
      <c r="B32" s="135" t="s">
        <v>169</v>
      </c>
      <c r="C32" s="56">
        <v>850.0</v>
      </c>
      <c r="D32" s="135">
        <v>1.0</v>
      </c>
      <c r="E32" s="56">
        <v>1.0</v>
      </c>
      <c r="F32" s="136">
        <f t="shared" si="2"/>
        <v>70.83333333</v>
      </c>
      <c r="G32" s="137">
        <v>2708.0</v>
      </c>
      <c r="H32" s="138">
        <v>3044000.0</v>
      </c>
      <c r="I32" s="138" t="s">
        <v>161</v>
      </c>
      <c r="J32" s="139" t="s">
        <v>67</v>
      </c>
      <c r="K32" s="139" t="s">
        <v>114</v>
      </c>
      <c r="L32" s="69"/>
      <c r="M32" s="140"/>
      <c r="N32" s="140"/>
      <c r="O32" s="140"/>
      <c r="P32" s="140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47"/>
      <c r="B33" s="135" t="s">
        <v>171</v>
      </c>
      <c r="C33" s="56">
        <v>970.0</v>
      </c>
      <c r="D33" s="135">
        <v>1.0</v>
      </c>
      <c r="E33" s="56">
        <v>2.0</v>
      </c>
      <c r="F33" s="136">
        <f t="shared" si="2"/>
        <v>40.41666667</v>
      </c>
      <c r="G33" s="137">
        <v>2709.0</v>
      </c>
      <c r="H33" s="138">
        <v>3044000.0</v>
      </c>
      <c r="I33" s="138" t="s">
        <v>161</v>
      </c>
      <c r="J33" s="139" t="s">
        <v>132</v>
      </c>
      <c r="K33" s="139" t="s">
        <v>131</v>
      </c>
      <c r="L33" s="69"/>
      <c r="M33" s="140"/>
      <c r="N33" s="140"/>
      <c r="O33" s="140"/>
      <c r="P33" s="140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47"/>
      <c r="B34" s="148" t="s">
        <v>96</v>
      </c>
      <c r="C34" s="150">
        <v>2978.0</v>
      </c>
      <c r="D34" s="148">
        <v>1.0</v>
      </c>
      <c r="E34" s="150">
        <v>5.0</v>
      </c>
      <c r="F34" s="136">
        <f t="shared" si="2"/>
        <v>49.63333333</v>
      </c>
      <c r="G34" s="137">
        <v>2719.0</v>
      </c>
      <c r="H34" s="138">
        <v>3044000.0</v>
      </c>
      <c r="I34" s="138" t="s">
        <v>161</v>
      </c>
      <c r="J34" s="139" t="s">
        <v>81</v>
      </c>
      <c r="K34" s="139" t="s">
        <v>122</v>
      </c>
      <c r="L34" s="69"/>
      <c r="M34" s="140"/>
      <c r="N34" s="140"/>
      <c r="O34" s="140"/>
      <c r="P34" s="140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35" t="s">
        <v>73</v>
      </c>
      <c r="C35" s="56">
        <v>465.0</v>
      </c>
      <c r="D35" s="135">
        <v>1.0</v>
      </c>
      <c r="E35" s="56">
        <v>1.0</v>
      </c>
      <c r="F35" s="136">
        <f t="shared" si="2"/>
        <v>38.75</v>
      </c>
      <c r="G35" s="137">
        <v>2720.0</v>
      </c>
      <c r="H35" s="138">
        <v>3044000.0</v>
      </c>
      <c r="I35" s="138" t="s">
        <v>161</v>
      </c>
      <c r="J35" s="139" t="s">
        <v>133</v>
      </c>
      <c r="K35" s="139" t="s">
        <v>131</v>
      </c>
      <c r="L35" s="69"/>
      <c r="M35" s="140"/>
      <c r="N35" s="140"/>
      <c r="O35" s="140"/>
      <c r="P35" s="140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48" t="s">
        <v>78</v>
      </c>
      <c r="C36" s="150">
        <v>555.0</v>
      </c>
      <c r="D36" s="148">
        <v>1.0</v>
      </c>
      <c r="E36" s="150">
        <v>1.0</v>
      </c>
      <c r="F36" s="136">
        <f t="shared" si="2"/>
        <v>46.25</v>
      </c>
      <c r="G36" s="137">
        <v>2722.0</v>
      </c>
      <c r="H36" s="138">
        <v>3044000.0</v>
      </c>
      <c r="I36" s="138" t="s">
        <v>161</v>
      </c>
      <c r="J36" s="139" t="s">
        <v>125</v>
      </c>
      <c r="K36" s="139" t="s">
        <v>122</v>
      </c>
      <c r="L36" s="69"/>
      <c r="M36" s="140"/>
      <c r="N36" s="140"/>
      <c r="O36" s="140"/>
      <c r="P36" s="140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48" t="s">
        <v>91</v>
      </c>
      <c r="C37" s="150">
        <v>171.83</v>
      </c>
      <c r="D37" s="148">
        <v>1.0</v>
      </c>
      <c r="E37" s="150">
        <v>1.0</v>
      </c>
      <c r="F37" s="136">
        <f t="shared" si="2"/>
        <v>14.31916667</v>
      </c>
      <c r="G37" s="137">
        <v>2723.0</v>
      </c>
      <c r="H37" s="138">
        <v>3044000.0</v>
      </c>
      <c r="I37" s="138" t="s">
        <v>161</v>
      </c>
      <c r="J37" s="139" t="s">
        <v>76</v>
      </c>
      <c r="K37" s="139" t="s">
        <v>73</v>
      </c>
      <c r="L37" s="69"/>
      <c r="M37" s="140"/>
      <c r="N37" s="140"/>
      <c r="O37" s="140"/>
      <c r="P37" s="140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48" t="s">
        <v>181</v>
      </c>
      <c r="C38" s="150">
        <v>270.0</v>
      </c>
      <c r="D38" s="148">
        <v>1.0</v>
      </c>
      <c r="E38" s="150">
        <v>1.0</v>
      </c>
      <c r="F38" s="136">
        <f t="shared" si="2"/>
        <v>22.5</v>
      </c>
      <c r="G38" s="137">
        <v>2727.0</v>
      </c>
      <c r="H38" s="138">
        <v>3044000.0</v>
      </c>
      <c r="I38" s="138" t="s">
        <v>161</v>
      </c>
      <c r="J38" s="139" t="s">
        <v>108</v>
      </c>
      <c r="K38" s="139" t="s">
        <v>107</v>
      </c>
      <c r="L38" s="69"/>
      <c r="M38" s="140"/>
      <c r="N38" s="140"/>
      <c r="O38" s="140"/>
      <c r="P38" s="140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55" t="s">
        <v>182</v>
      </c>
      <c r="B39" s="155"/>
      <c r="C39" s="155">
        <f>SUM(C29:C38)</f>
        <v>10030.99</v>
      </c>
      <c r="D39" s="155"/>
      <c r="E39" s="155">
        <f>SUM(E29:E38)</f>
        <v>20</v>
      </c>
      <c r="F39" s="136">
        <f t="shared" si="2"/>
        <v>41.79579167</v>
      </c>
      <c r="G39" s="137">
        <v>2731.0</v>
      </c>
      <c r="H39" s="138">
        <v>3044000.0</v>
      </c>
      <c r="I39" s="138" t="s">
        <v>161</v>
      </c>
      <c r="J39" s="139" t="s">
        <v>100</v>
      </c>
      <c r="K39" s="139" t="s">
        <v>97</v>
      </c>
      <c r="L39" s="69"/>
      <c r="M39" s="140"/>
      <c r="N39" s="140"/>
      <c r="O39" s="140"/>
      <c r="P39" s="140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46"/>
      <c r="B40" s="147"/>
      <c r="C40" s="147"/>
      <c r="D40" s="147"/>
      <c r="E40" s="155" t="s">
        <v>183</v>
      </c>
      <c r="F40" s="136">
        <f>AVERAGE(F29:F38)</f>
        <v>40.16930556</v>
      </c>
      <c r="G40" s="137">
        <v>2733.0</v>
      </c>
      <c r="H40" s="138">
        <v>3044000.0</v>
      </c>
      <c r="I40" s="138" t="s">
        <v>161</v>
      </c>
      <c r="J40" s="139" t="s">
        <v>90</v>
      </c>
      <c r="K40" s="139" t="s">
        <v>97</v>
      </c>
      <c r="L40" s="69"/>
      <c r="M40" s="140"/>
      <c r="N40" s="140"/>
      <c r="O40" s="140"/>
      <c r="P40" s="140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47"/>
      <c r="B41" s="147"/>
      <c r="C41" s="141"/>
      <c r="D41" s="141"/>
      <c r="E41" s="141"/>
      <c r="F41" s="163"/>
      <c r="G41" s="137">
        <v>2736.0</v>
      </c>
      <c r="H41" s="138">
        <v>3044000.0</v>
      </c>
      <c r="I41" s="138" t="s">
        <v>161</v>
      </c>
      <c r="J41" s="139" t="s">
        <v>101</v>
      </c>
      <c r="K41" s="139" t="s">
        <v>12</v>
      </c>
      <c r="L41" s="69"/>
      <c r="M41" s="140"/>
      <c r="N41" s="140"/>
      <c r="O41" s="140"/>
      <c r="P41" s="140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47"/>
      <c r="B42" s="147"/>
      <c r="C42" s="147"/>
      <c r="D42" s="147"/>
      <c r="E42" s="147"/>
      <c r="F42" s="164"/>
      <c r="G42" s="137">
        <v>2737.0</v>
      </c>
      <c r="H42" s="138">
        <v>3044000.0</v>
      </c>
      <c r="I42" s="138" t="s">
        <v>161</v>
      </c>
      <c r="J42" s="139" t="s">
        <v>130</v>
      </c>
      <c r="K42" s="139" t="s">
        <v>12</v>
      </c>
      <c r="L42" s="69"/>
      <c r="M42" s="140"/>
      <c r="N42" s="140"/>
      <c r="O42" s="140"/>
      <c r="P42" s="140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65" t="s">
        <v>184</v>
      </c>
      <c r="C43" s="147"/>
      <c r="D43" s="147"/>
      <c r="E43" s="147"/>
      <c r="F43" s="164"/>
      <c r="G43" s="137">
        <v>2738.0</v>
      </c>
      <c r="H43" s="138">
        <v>3044000.0</v>
      </c>
      <c r="I43" s="138" t="s">
        <v>161</v>
      </c>
      <c r="J43" s="139" t="s">
        <v>57</v>
      </c>
      <c r="K43" s="139" t="s">
        <v>12</v>
      </c>
      <c r="L43" s="69"/>
      <c r="M43" s="140"/>
      <c r="N43" s="140"/>
      <c r="O43" s="140"/>
      <c r="P43" s="140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47"/>
      <c r="D44" s="147"/>
      <c r="E44" s="147"/>
      <c r="F44" s="164"/>
      <c r="G44" s="137">
        <v>2739.0</v>
      </c>
      <c r="H44" s="138">
        <v>3044000.0</v>
      </c>
      <c r="I44" s="138" t="s">
        <v>161</v>
      </c>
      <c r="J44" s="139" t="s">
        <v>106</v>
      </c>
      <c r="K44" s="139" t="s">
        <v>97</v>
      </c>
      <c r="L44" s="69"/>
      <c r="M44" s="140"/>
      <c r="N44" s="140"/>
      <c r="O44" s="140"/>
      <c r="P44" s="140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47"/>
      <c r="B45" s="147"/>
      <c r="C45" s="147"/>
      <c r="D45" s="146"/>
      <c r="E45" s="147"/>
      <c r="F45" s="164"/>
      <c r="G45" s="137">
        <v>2740.0</v>
      </c>
      <c r="H45" s="138">
        <v>3044000.0</v>
      </c>
      <c r="I45" s="138" t="s">
        <v>161</v>
      </c>
      <c r="J45" s="139" t="s">
        <v>98</v>
      </c>
      <c r="K45" s="139" t="s">
        <v>12</v>
      </c>
      <c r="L45" s="69"/>
      <c r="M45" s="140"/>
      <c r="N45" s="140"/>
      <c r="O45" s="140"/>
      <c r="P45" s="140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65" t="s">
        <v>185</v>
      </c>
      <c r="C46" s="147"/>
      <c r="D46" s="146"/>
      <c r="E46" s="147"/>
      <c r="F46" s="164"/>
      <c r="G46" s="137">
        <v>2741.0</v>
      </c>
      <c r="H46" s="138">
        <v>3044000.0</v>
      </c>
      <c r="I46" s="138" t="s">
        <v>161</v>
      </c>
      <c r="J46" s="139" t="s">
        <v>21</v>
      </c>
      <c r="K46" s="139" t="s">
        <v>12</v>
      </c>
      <c r="L46" s="69"/>
      <c r="M46" s="140"/>
      <c r="N46" s="140"/>
      <c r="O46" s="140"/>
      <c r="P46" s="140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47"/>
      <c r="D47" s="146"/>
      <c r="E47" s="147"/>
      <c r="F47" s="164"/>
      <c r="G47" s="137">
        <v>2742.0</v>
      </c>
      <c r="H47" s="138">
        <v>3044000.0</v>
      </c>
      <c r="I47" s="138" t="s">
        <v>161</v>
      </c>
      <c r="J47" s="139" t="s">
        <v>82</v>
      </c>
      <c r="K47" s="139" t="s">
        <v>78</v>
      </c>
      <c r="L47" s="69"/>
      <c r="M47" s="140"/>
      <c r="N47" s="140"/>
      <c r="O47" s="140"/>
      <c r="P47" s="140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67">
        <v>2743.0</v>
      </c>
      <c r="H48" s="168">
        <v>3044000.0</v>
      </c>
      <c r="I48" s="168" t="s">
        <v>161</v>
      </c>
      <c r="J48" s="169" t="s">
        <v>113</v>
      </c>
      <c r="K48" s="169" t="s">
        <v>129</v>
      </c>
      <c r="L48" s="69"/>
      <c r="M48" s="140"/>
      <c r="N48" s="140"/>
      <c r="O48" s="140"/>
      <c r="P48" s="140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9"/>
      <c r="H49" s="140"/>
      <c r="I49" s="140"/>
      <c r="J49" s="140"/>
      <c r="K49" s="140"/>
      <c r="L49" s="69"/>
      <c r="M49" s="140"/>
      <c r="N49" s="140"/>
      <c r="O49" s="140"/>
      <c r="P49" s="140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9"/>
      <c r="H50" s="140"/>
      <c r="I50" s="140"/>
      <c r="J50" s="140"/>
      <c r="K50" s="140"/>
      <c r="L50" s="69"/>
      <c r="M50" s="140"/>
      <c r="N50" s="140"/>
      <c r="O50" s="140"/>
      <c r="P50" s="140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9"/>
      <c r="H51" s="140"/>
      <c r="I51" s="140"/>
      <c r="J51" s="140"/>
      <c r="K51" s="140"/>
      <c r="L51" s="69"/>
      <c r="M51" s="140"/>
      <c r="N51" s="140"/>
      <c r="O51" s="140"/>
      <c r="P51" s="140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9"/>
      <c r="H52" s="140"/>
      <c r="I52" s="140"/>
      <c r="J52" s="140"/>
      <c r="K52" s="140"/>
      <c r="L52" s="69"/>
      <c r="M52" s="140"/>
      <c r="N52" s="140"/>
      <c r="O52" s="140"/>
      <c r="P52" s="140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71" t="s">
        <v>188</v>
      </c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73"/>
      <c r="X58" s="45"/>
      <c r="Y58" s="45"/>
      <c r="Z58" s="45"/>
      <c r="AA58" s="45"/>
    </row>
    <row r="59">
      <c r="A59" s="174" t="s">
        <v>191</v>
      </c>
      <c r="B59" s="175"/>
      <c r="C59" s="148" t="s">
        <v>192</v>
      </c>
      <c r="D59" s="175"/>
      <c r="E59" s="148" t="s">
        <v>193</v>
      </c>
      <c r="F59" s="148" t="s">
        <v>194</v>
      </c>
      <c r="G59" s="148" t="s">
        <v>195</v>
      </c>
      <c r="H59" s="175"/>
      <c r="I59" s="148" t="s">
        <v>196</v>
      </c>
      <c r="J59" s="148" t="s">
        <v>197</v>
      </c>
      <c r="K59" s="175"/>
      <c r="L59" s="148" t="s">
        <v>198</v>
      </c>
      <c r="M59" s="148" t="s">
        <v>199</v>
      </c>
      <c r="N59" s="148" t="s">
        <v>200</v>
      </c>
      <c r="O59" s="175"/>
      <c r="P59" s="148" t="s">
        <v>201</v>
      </c>
      <c r="Q59" s="175"/>
      <c r="R59" s="174" t="s">
        <v>202</v>
      </c>
      <c r="S59" s="148" t="s">
        <v>203</v>
      </c>
      <c r="T59" s="174" t="s">
        <v>204</v>
      </c>
      <c r="U59" s="148" t="s">
        <v>205</v>
      </c>
      <c r="V59" s="148" t="s">
        <v>206</v>
      </c>
      <c r="W59" s="148" t="s">
        <v>207</v>
      </c>
      <c r="X59" s="45"/>
      <c r="Y59" s="45"/>
      <c r="Z59" s="45"/>
      <c r="AA59" s="45"/>
    </row>
    <row r="60">
      <c r="A60" s="180" t="s">
        <v>208</v>
      </c>
      <c r="B60" s="182"/>
      <c r="C60" s="183"/>
      <c r="D60" s="175"/>
      <c r="E60" s="185">
        <v>60.0</v>
      </c>
      <c r="F60" s="185">
        <v>0.0</v>
      </c>
      <c r="G60" s="185">
        <v>67.74</v>
      </c>
      <c r="H60" s="175"/>
      <c r="I60" s="185">
        <v>0.0</v>
      </c>
      <c r="J60" s="185">
        <v>67.26</v>
      </c>
      <c r="K60" s="182"/>
      <c r="L60" s="185">
        <v>0.0</v>
      </c>
      <c r="M60" s="185">
        <v>1.0</v>
      </c>
      <c r="N60" s="185">
        <v>1.0</v>
      </c>
      <c r="O60" s="175"/>
      <c r="P60" s="185">
        <v>0.0</v>
      </c>
      <c r="Q60" s="175"/>
      <c r="R60" s="186">
        <v>19.375</v>
      </c>
      <c r="S60" s="187">
        <v>7.388888888888889</v>
      </c>
      <c r="T60" s="186">
        <v>11.98611111111111</v>
      </c>
      <c r="U60" s="187">
        <v>1.1770833333333333</v>
      </c>
      <c r="V60" s="188">
        <v>0.0</v>
      </c>
      <c r="W60" s="187">
        <v>1.1770833333333333</v>
      </c>
      <c r="X60" s="45"/>
      <c r="Y60" s="45"/>
      <c r="Z60" s="45"/>
      <c r="AA60" s="45"/>
    </row>
    <row r="61">
      <c r="A61" s="189"/>
      <c r="B61" s="190"/>
      <c r="C61" s="191" t="s">
        <v>212</v>
      </c>
      <c r="D61" s="182"/>
      <c r="E61" s="192"/>
      <c r="F61" s="193">
        <v>0.0</v>
      </c>
      <c r="G61" s="193">
        <v>67.74</v>
      </c>
      <c r="H61" s="175"/>
      <c r="I61" s="193">
        <v>0.0</v>
      </c>
      <c r="J61" s="193">
        <v>67.26</v>
      </c>
      <c r="K61" s="182"/>
      <c r="L61" s="193">
        <v>0.0</v>
      </c>
      <c r="M61" s="193">
        <v>1.0</v>
      </c>
      <c r="N61" s="193">
        <v>1.0</v>
      </c>
      <c r="O61" s="175"/>
      <c r="P61" s="193">
        <v>0.0</v>
      </c>
      <c r="Q61" s="182"/>
      <c r="R61" s="195">
        <v>19.375</v>
      </c>
      <c r="S61" s="196">
        <v>7.388888888888889</v>
      </c>
      <c r="T61" s="195">
        <v>11.98611111111111</v>
      </c>
      <c r="U61" s="196">
        <v>1.1770833333333333</v>
      </c>
      <c r="V61" s="199">
        <v>0.0</v>
      </c>
      <c r="W61" s="196">
        <v>1.1770833333333333</v>
      </c>
      <c r="X61" s="45"/>
      <c r="Y61" s="45"/>
      <c r="Z61" s="45"/>
      <c r="AA61" s="45"/>
    </row>
    <row r="62">
      <c r="A62" s="180" t="s">
        <v>214</v>
      </c>
      <c r="B62" s="182"/>
      <c r="C62" s="183"/>
      <c r="D62" s="175"/>
      <c r="E62" s="185">
        <v>60.0</v>
      </c>
      <c r="F62" s="185">
        <v>100.0</v>
      </c>
      <c r="G62" s="185">
        <v>77.17</v>
      </c>
      <c r="H62" s="175"/>
      <c r="I62" s="185">
        <v>100.0</v>
      </c>
      <c r="J62" s="185">
        <v>77.27</v>
      </c>
      <c r="K62" s="182"/>
      <c r="L62" s="185">
        <v>1.0</v>
      </c>
      <c r="M62" s="185">
        <v>0.0</v>
      </c>
      <c r="N62" s="185">
        <v>1.0</v>
      </c>
      <c r="O62" s="175"/>
      <c r="P62" s="185">
        <v>0.0</v>
      </c>
      <c r="Q62" s="175"/>
      <c r="R62" s="186">
        <v>23.125</v>
      </c>
      <c r="S62" s="187">
        <v>12.010416666666666</v>
      </c>
      <c r="T62" s="186">
        <v>11.114583333333334</v>
      </c>
      <c r="U62" s="187">
        <v>2.7083333333333335</v>
      </c>
      <c r="V62" s="188">
        <v>0.7256944444444444</v>
      </c>
      <c r="W62" s="187">
        <v>1.9826388888888888</v>
      </c>
      <c r="X62" s="45"/>
      <c r="Y62" s="45"/>
      <c r="Z62" s="45"/>
      <c r="AA62" s="45"/>
    </row>
    <row r="63">
      <c r="A63" s="189"/>
      <c r="B63" s="190"/>
      <c r="C63" s="191" t="s">
        <v>212</v>
      </c>
      <c r="D63" s="182"/>
      <c r="E63" s="192"/>
      <c r="F63" s="193">
        <v>100.0</v>
      </c>
      <c r="G63" s="193">
        <v>77.17</v>
      </c>
      <c r="H63" s="175"/>
      <c r="I63" s="193">
        <v>100.0</v>
      </c>
      <c r="J63" s="193">
        <v>77.27</v>
      </c>
      <c r="K63" s="182"/>
      <c r="L63" s="193">
        <v>1.0</v>
      </c>
      <c r="M63" s="193">
        <v>0.0</v>
      </c>
      <c r="N63" s="193">
        <v>1.0</v>
      </c>
      <c r="O63" s="175"/>
      <c r="P63" s="193">
        <v>0.0</v>
      </c>
      <c r="Q63" s="182"/>
      <c r="R63" s="195">
        <v>23.125</v>
      </c>
      <c r="S63" s="196">
        <v>12.010416666666666</v>
      </c>
      <c r="T63" s="202">
        <v>11.114583333333334</v>
      </c>
      <c r="U63" s="199">
        <v>2.7083333333333335</v>
      </c>
      <c r="V63" s="199">
        <v>0.7256944444444444</v>
      </c>
      <c r="W63" s="199">
        <v>1.9826388888888888</v>
      </c>
      <c r="X63" s="45"/>
      <c r="Y63" s="45"/>
      <c r="Z63" s="45"/>
      <c r="AA63" s="45"/>
    </row>
    <row r="64">
      <c r="A64" s="180" t="s">
        <v>216</v>
      </c>
      <c r="B64" s="182"/>
      <c r="C64" s="183"/>
      <c r="D64" s="175"/>
      <c r="E64" s="185">
        <v>60.0</v>
      </c>
      <c r="F64" s="185">
        <v>0.0</v>
      </c>
      <c r="G64" s="185">
        <v>93.2</v>
      </c>
      <c r="H64" s="175"/>
      <c r="I64" s="185">
        <v>0.0</v>
      </c>
      <c r="J64" s="185">
        <v>93.88</v>
      </c>
      <c r="K64" s="182"/>
      <c r="L64" s="185">
        <v>0.0</v>
      </c>
      <c r="M64" s="185">
        <v>0.0</v>
      </c>
      <c r="N64" s="185">
        <v>0.0</v>
      </c>
      <c r="O64" s="175"/>
      <c r="P64" s="185">
        <v>0.0</v>
      </c>
      <c r="Q64" s="175"/>
      <c r="R64" s="186">
        <v>1.28125</v>
      </c>
      <c r="S64" s="187">
        <v>1.2916666666666667</v>
      </c>
      <c r="T64" s="206">
        <v>0.010416666666666666</v>
      </c>
      <c r="U64" s="188">
        <v>0.0</v>
      </c>
      <c r="V64" s="188">
        <v>0.0</v>
      </c>
      <c r="W64" s="188">
        <v>0.0</v>
      </c>
      <c r="X64" s="45"/>
      <c r="Y64" s="45"/>
      <c r="Z64" s="45"/>
      <c r="AA64" s="45"/>
    </row>
    <row r="65">
      <c r="A65" s="189"/>
      <c r="B65" s="190"/>
      <c r="C65" s="191" t="s">
        <v>217</v>
      </c>
      <c r="D65" s="182"/>
      <c r="E65" s="192"/>
      <c r="F65" s="193">
        <v>0.0</v>
      </c>
      <c r="G65" s="193">
        <v>93.2</v>
      </c>
      <c r="H65" s="175"/>
      <c r="I65" s="193">
        <v>0.0</v>
      </c>
      <c r="J65" s="193">
        <v>93.88</v>
      </c>
      <c r="K65" s="182"/>
      <c r="L65" s="193">
        <v>0.0</v>
      </c>
      <c r="M65" s="193">
        <v>0.0</v>
      </c>
      <c r="N65" s="193">
        <v>0.0</v>
      </c>
      <c r="O65" s="175"/>
      <c r="P65" s="193">
        <v>0.0</v>
      </c>
      <c r="Q65" s="182"/>
      <c r="R65" s="202">
        <v>1.28125</v>
      </c>
      <c r="S65" s="199">
        <v>1.2916666666666667</v>
      </c>
      <c r="T65" s="208">
        <v>0.010416666666666666</v>
      </c>
      <c r="U65" s="199">
        <v>0.0</v>
      </c>
      <c r="V65" s="199">
        <v>0.0</v>
      </c>
      <c r="W65" s="199">
        <v>0.0</v>
      </c>
      <c r="X65" s="45"/>
      <c r="Y65" s="45"/>
      <c r="Z65" s="45"/>
      <c r="AA65" s="45"/>
    </row>
    <row r="66">
      <c r="A66" s="180" t="s">
        <v>218</v>
      </c>
      <c r="B66" s="182"/>
      <c r="C66" s="183"/>
      <c r="D66" s="175"/>
      <c r="E66" s="185">
        <v>60.0</v>
      </c>
      <c r="F66" s="185">
        <v>0.0</v>
      </c>
      <c r="G66" s="185">
        <v>100.0</v>
      </c>
      <c r="H66" s="175"/>
      <c r="I66" s="185">
        <v>0.0</v>
      </c>
      <c r="J66" s="185">
        <v>100.0</v>
      </c>
      <c r="K66" s="182"/>
      <c r="L66" s="185">
        <v>0.0</v>
      </c>
      <c r="M66" s="185">
        <v>0.0</v>
      </c>
      <c r="N66" s="185">
        <v>0.0</v>
      </c>
      <c r="O66" s="175"/>
      <c r="P66" s="185">
        <v>0.0</v>
      </c>
      <c r="Q66" s="175"/>
      <c r="R66" s="214">
        <v>0.34375</v>
      </c>
      <c r="S66" s="188">
        <v>0.625</v>
      </c>
      <c r="T66" s="206">
        <v>-0.28125</v>
      </c>
      <c r="U66" s="188">
        <v>0.0</v>
      </c>
      <c r="V66" s="188">
        <v>0.0</v>
      </c>
      <c r="W66" s="188">
        <v>0.0</v>
      </c>
      <c r="X66" s="45"/>
      <c r="Y66" s="45"/>
      <c r="Z66" s="45"/>
      <c r="AA66" s="45"/>
    </row>
    <row r="67">
      <c r="A67" s="215"/>
      <c r="B67" s="190"/>
      <c r="C67" s="191" t="s">
        <v>217</v>
      </c>
      <c r="D67" s="182"/>
      <c r="E67" s="175"/>
      <c r="F67" s="193">
        <v>0.0</v>
      </c>
      <c r="G67" s="193">
        <v>100.0</v>
      </c>
      <c r="H67" s="175"/>
      <c r="I67" s="193">
        <v>0.0</v>
      </c>
      <c r="J67" s="193">
        <v>100.0</v>
      </c>
      <c r="K67" s="182"/>
      <c r="L67" s="193">
        <v>0.0</v>
      </c>
      <c r="M67" s="193">
        <v>0.0</v>
      </c>
      <c r="N67" s="193">
        <v>0.0</v>
      </c>
      <c r="O67" s="175"/>
      <c r="P67" s="193">
        <v>0.0</v>
      </c>
      <c r="Q67" s="182"/>
      <c r="R67" s="202">
        <v>0.34375</v>
      </c>
      <c r="S67" s="199">
        <v>0.625</v>
      </c>
      <c r="T67" s="208">
        <v>-0.28125</v>
      </c>
      <c r="U67" s="199">
        <v>0.0</v>
      </c>
      <c r="V67" s="199">
        <v>0.0</v>
      </c>
      <c r="W67" s="199">
        <v>0.0</v>
      </c>
      <c r="X67" s="45"/>
      <c r="Y67" s="45"/>
      <c r="Z67" s="45"/>
      <c r="AA67" s="45"/>
    </row>
    <row r="68">
      <c r="A68" s="189"/>
      <c r="B68" s="190"/>
      <c r="C68" s="191" t="s">
        <v>212</v>
      </c>
      <c r="D68" s="182"/>
      <c r="E68" s="192"/>
      <c r="F68" s="193">
        <v>0.0</v>
      </c>
      <c r="G68" s="193">
        <v>0.0</v>
      </c>
      <c r="H68" s="175"/>
      <c r="I68" s="193">
        <v>0.0</v>
      </c>
      <c r="J68" s="193">
        <v>0.0</v>
      </c>
      <c r="K68" s="182"/>
      <c r="L68" s="193">
        <v>0.0</v>
      </c>
      <c r="M68" s="193">
        <v>0.0</v>
      </c>
      <c r="N68" s="193">
        <v>0.0</v>
      </c>
      <c r="O68" s="175"/>
      <c r="P68" s="193">
        <v>0.0</v>
      </c>
      <c r="Q68" s="182"/>
      <c r="R68" s="195">
        <v>0.0</v>
      </c>
      <c r="S68" s="196">
        <v>0.0</v>
      </c>
      <c r="T68" s="195">
        <v>0.0</v>
      </c>
      <c r="U68" s="199">
        <v>0.0</v>
      </c>
      <c r="V68" s="199">
        <v>0.0</v>
      </c>
      <c r="W68" s="196">
        <v>0.0</v>
      </c>
      <c r="X68" s="45"/>
      <c r="Y68" s="45"/>
      <c r="Z68" s="45"/>
      <c r="AA68" s="45"/>
    </row>
    <row r="69">
      <c r="A69" s="180" t="s">
        <v>219</v>
      </c>
      <c r="B69" s="182"/>
      <c r="C69" s="183"/>
      <c r="D69" s="175"/>
      <c r="E69" s="185">
        <v>60.0</v>
      </c>
      <c r="F69" s="185">
        <v>100.0</v>
      </c>
      <c r="G69" s="185">
        <v>67.95</v>
      </c>
      <c r="H69" s="175"/>
      <c r="I69" s="185">
        <v>0.0</v>
      </c>
      <c r="J69" s="185">
        <v>0.0</v>
      </c>
      <c r="K69" s="182"/>
      <c r="L69" s="185">
        <v>1.0</v>
      </c>
      <c r="M69" s="185">
        <v>0.0</v>
      </c>
      <c r="N69" s="185">
        <v>1.0</v>
      </c>
      <c r="O69" s="175"/>
      <c r="P69" s="185">
        <v>0.0</v>
      </c>
      <c r="Q69" s="175"/>
      <c r="R69" s="186">
        <v>7.159722222222222</v>
      </c>
      <c r="S69" s="187">
        <v>5.524305555555555</v>
      </c>
      <c r="T69" s="186">
        <v>1.6354166666666667</v>
      </c>
      <c r="U69" s="188">
        <v>0.16666666666666666</v>
      </c>
      <c r="V69" s="188">
        <v>0.3194444444444444</v>
      </c>
      <c r="W69" s="217">
        <v>-0.1527777777777778</v>
      </c>
      <c r="X69" s="45"/>
      <c r="Y69" s="45"/>
      <c r="Z69" s="45"/>
      <c r="AA69" s="45"/>
    </row>
    <row r="70">
      <c r="A70" s="215"/>
      <c r="B70" s="190"/>
      <c r="C70" s="191" t="s">
        <v>217</v>
      </c>
      <c r="D70" s="182"/>
      <c r="E70" s="175"/>
      <c r="F70" s="193">
        <v>100.0</v>
      </c>
      <c r="G70" s="193">
        <v>67.95</v>
      </c>
      <c r="H70" s="175"/>
      <c r="I70" s="193">
        <v>0.0</v>
      </c>
      <c r="J70" s="193">
        <v>0.0</v>
      </c>
      <c r="K70" s="182"/>
      <c r="L70" s="193">
        <v>1.0</v>
      </c>
      <c r="M70" s="193">
        <v>0.0</v>
      </c>
      <c r="N70" s="193">
        <v>1.0</v>
      </c>
      <c r="O70" s="175"/>
      <c r="P70" s="193">
        <v>0.0</v>
      </c>
      <c r="Q70" s="182"/>
      <c r="R70" s="195">
        <v>5.284722222222222</v>
      </c>
      <c r="S70" s="199">
        <v>5.524305555555555</v>
      </c>
      <c r="T70" s="219">
        <v>-0.23958333333333334</v>
      </c>
      <c r="U70" s="199">
        <v>0.16666666666666666</v>
      </c>
      <c r="V70" s="199">
        <v>0.3194444444444444</v>
      </c>
      <c r="W70" s="220">
        <v>-0.1527777777777778</v>
      </c>
      <c r="X70" s="45"/>
      <c r="Y70" s="45"/>
      <c r="Z70" s="45"/>
      <c r="AA70" s="45"/>
    </row>
    <row r="71">
      <c r="A71" s="189"/>
      <c r="B71" s="190"/>
      <c r="C71" s="191" t="s">
        <v>212</v>
      </c>
      <c r="D71" s="182"/>
      <c r="E71" s="192"/>
      <c r="F71" s="193">
        <v>0.0</v>
      </c>
      <c r="G71" s="193">
        <v>0.0</v>
      </c>
      <c r="H71" s="175"/>
      <c r="I71" s="193">
        <v>0.0</v>
      </c>
      <c r="J71" s="193">
        <v>0.0</v>
      </c>
      <c r="K71" s="182"/>
      <c r="L71" s="193">
        <v>0.0</v>
      </c>
      <c r="M71" s="193">
        <v>0.0</v>
      </c>
      <c r="N71" s="193">
        <v>0.0</v>
      </c>
      <c r="O71" s="175"/>
      <c r="P71" s="193">
        <v>0.0</v>
      </c>
      <c r="Q71" s="182"/>
      <c r="R71" s="195">
        <v>1.875</v>
      </c>
      <c r="S71" s="196">
        <v>0.0</v>
      </c>
      <c r="T71" s="195">
        <v>1.875</v>
      </c>
      <c r="U71" s="196">
        <v>0.0</v>
      </c>
      <c r="V71" s="199">
        <v>0.0</v>
      </c>
      <c r="W71" s="196">
        <v>0.0</v>
      </c>
      <c r="X71" s="45"/>
      <c r="Y71" s="45"/>
      <c r="Z71" s="45"/>
      <c r="AA71" s="45"/>
    </row>
    <row r="72">
      <c r="A72" s="180" t="s">
        <v>222</v>
      </c>
      <c r="B72" s="182"/>
      <c r="C72" s="183"/>
      <c r="D72" s="175"/>
      <c r="E72" s="185">
        <v>60.0</v>
      </c>
      <c r="F72" s="185">
        <v>57.05</v>
      </c>
      <c r="G72" s="185">
        <v>63.34</v>
      </c>
      <c r="H72" s="175"/>
      <c r="I72" s="185">
        <v>57.58</v>
      </c>
      <c r="J72" s="185">
        <v>63.53</v>
      </c>
      <c r="K72" s="182"/>
      <c r="L72" s="185">
        <v>2.0</v>
      </c>
      <c r="M72" s="185">
        <v>1.0</v>
      </c>
      <c r="N72" s="185">
        <v>3.0</v>
      </c>
      <c r="O72" s="175"/>
      <c r="P72" s="185">
        <v>0.0</v>
      </c>
      <c r="Q72" s="175"/>
      <c r="R72" s="186">
        <v>50.708333333333336</v>
      </c>
      <c r="S72" s="187">
        <v>40.267361111111114</v>
      </c>
      <c r="T72" s="186">
        <v>10.440972222222221</v>
      </c>
      <c r="U72" s="187">
        <v>2.625</v>
      </c>
      <c r="V72" s="188">
        <v>1.625</v>
      </c>
      <c r="W72" s="187">
        <v>1.0</v>
      </c>
      <c r="X72" s="45"/>
      <c r="Y72" s="45"/>
      <c r="Z72" s="45"/>
      <c r="AA72" s="45"/>
    </row>
    <row r="73">
      <c r="A73" s="189"/>
      <c r="B73" s="190"/>
      <c r="C73" s="191" t="s">
        <v>212</v>
      </c>
      <c r="D73" s="182"/>
      <c r="E73" s="192"/>
      <c r="F73" s="193">
        <v>57.05</v>
      </c>
      <c r="G73" s="193">
        <v>63.34</v>
      </c>
      <c r="H73" s="175"/>
      <c r="I73" s="193">
        <v>57.58</v>
      </c>
      <c r="J73" s="193">
        <v>63.53</v>
      </c>
      <c r="K73" s="182"/>
      <c r="L73" s="193">
        <v>2.0</v>
      </c>
      <c r="M73" s="193">
        <v>1.0</v>
      </c>
      <c r="N73" s="193">
        <v>3.0</v>
      </c>
      <c r="O73" s="175"/>
      <c r="P73" s="193">
        <v>0.0</v>
      </c>
      <c r="Q73" s="182"/>
      <c r="R73" s="195">
        <v>50.708333333333336</v>
      </c>
      <c r="S73" s="199">
        <v>40.267361111111114</v>
      </c>
      <c r="T73" s="195">
        <v>10.440972222222221</v>
      </c>
      <c r="U73" s="196">
        <v>2.625</v>
      </c>
      <c r="V73" s="199">
        <v>1.625</v>
      </c>
      <c r="W73" s="196">
        <v>1.0</v>
      </c>
      <c r="X73" s="45"/>
      <c r="Y73" s="45"/>
      <c r="Z73" s="45"/>
      <c r="AA73" s="45"/>
    </row>
    <row r="74">
      <c r="A74" s="180" t="s">
        <v>224</v>
      </c>
      <c r="B74" s="182"/>
      <c r="C74" s="183"/>
      <c r="D74" s="175"/>
      <c r="E74" s="185">
        <v>60.0</v>
      </c>
      <c r="F74" s="185">
        <v>89.31</v>
      </c>
      <c r="G74" s="185">
        <v>20.69</v>
      </c>
      <c r="H74" s="175"/>
      <c r="I74" s="185">
        <v>80.0</v>
      </c>
      <c r="J74" s="185">
        <v>20.66</v>
      </c>
      <c r="K74" s="182"/>
      <c r="L74" s="185">
        <v>0.0</v>
      </c>
      <c r="M74" s="185">
        <v>1.0</v>
      </c>
      <c r="N74" s="185">
        <v>1.0</v>
      </c>
      <c r="O74" s="175"/>
      <c r="P74" s="185">
        <v>0.0</v>
      </c>
      <c r="Q74" s="175"/>
      <c r="R74" s="214">
        <v>11.25</v>
      </c>
      <c r="S74" s="188">
        <v>4.385416666666667</v>
      </c>
      <c r="T74" s="214">
        <v>6.864583333333333</v>
      </c>
      <c r="U74" s="188">
        <v>1.617361111111111</v>
      </c>
      <c r="V74" s="188">
        <v>1.0694444444444444</v>
      </c>
      <c r="W74" s="188">
        <v>0.5479166666666667</v>
      </c>
      <c r="X74" s="45"/>
      <c r="Y74" s="45"/>
      <c r="Z74" s="45"/>
      <c r="AA74" s="45"/>
    </row>
    <row r="75">
      <c r="A75" s="215"/>
      <c r="B75" s="190"/>
      <c r="C75" s="191" t="s">
        <v>217</v>
      </c>
      <c r="D75" s="182"/>
      <c r="E75" s="175"/>
      <c r="F75" s="193">
        <v>0.0</v>
      </c>
      <c r="G75" s="193">
        <v>0.0</v>
      </c>
      <c r="H75" s="175"/>
      <c r="I75" s="193">
        <v>0.0</v>
      </c>
      <c r="J75" s="193">
        <v>0.0</v>
      </c>
      <c r="K75" s="182"/>
      <c r="L75" s="193">
        <v>0.0</v>
      </c>
      <c r="M75" s="193">
        <v>0.0</v>
      </c>
      <c r="N75" s="193">
        <v>0.0</v>
      </c>
      <c r="O75" s="175"/>
      <c r="P75" s="193">
        <v>0.0</v>
      </c>
      <c r="Q75" s="182"/>
      <c r="R75" s="195">
        <v>0.0</v>
      </c>
      <c r="S75" s="199">
        <v>0.0</v>
      </c>
      <c r="T75" s="195">
        <v>0.0</v>
      </c>
      <c r="U75" s="196">
        <v>0.0</v>
      </c>
      <c r="V75" s="199">
        <v>0.0</v>
      </c>
      <c r="W75" s="196">
        <v>0.0</v>
      </c>
      <c r="X75" s="45"/>
      <c r="Y75" s="45"/>
      <c r="Z75" s="45"/>
      <c r="AA75" s="45"/>
    </row>
    <row r="76">
      <c r="A76" s="189"/>
      <c r="B76" s="190"/>
      <c r="C76" s="191" t="s">
        <v>212</v>
      </c>
      <c r="D76" s="182"/>
      <c r="E76" s="192"/>
      <c r="F76" s="193">
        <v>89.31</v>
      </c>
      <c r="G76" s="193">
        <v>20.69</v>
      </c>
      <c r="H76" s="175"/>
      <c r="I76" s="193">
        <v>80.0</v>
      </c>
      <c r="J76" s="193">
        <v>20.66</v>
      </c>
      <c r="K76" s="182"/>
      <c r="L76" s="193">
        <v>0.0</v>
      </c>
      <c r="M76" s="193">
        <v>1.0</v>
      </c>
      <c r="N76" s="193">
        <v>1.0</v>
      </c>
      <c r="O76" s="175"/>
      <c r="P76" s="193">
        <v>0.0</v>
      </c>
      <c r="Q76" s="182"/>
      <c r="R76" s="195">
        <v>11.25</v>
      </c>
      <c r="S76" s="196">
        <v>4.385416666666667</v>
      </c>
      <c r="T76" s="195">
        <v>6.864583333333333</v>
      </c>
      <c r="U76" s="196">
        <v>1.617361111111111</v>
      </c>
      <c r="V76" s="196">
        <v>1.0694444444444444</v>
      </c>
      <c r="W76" s="196">
        <v>0.5479166666666667</v>
      </c>
      <c r="X76" s="45"/>
      <c r="Y76" s="45"/>
      <c r="Z76" s="45"/>
      <c r="AA76" s="45"/>
    </row>
    <row r="77">
      <c r="A77" s="180" t="s">
        <v>226</v>
      </c>
      <c r="B77" s="182"/>
      <c r="C77" s="183"/>
      <c r="D77" s="175"/>
      <c r="E77" s="185">
        <v>60.0</v>
      </c>
      <c r="F77" s="185">
        <v>51.73</v>
      </c>
      <c r="G77" s="185">
        <v>60.5</v>
      </c>
      <c r="H77" s="175"/>
      <c r="I77" s="185">
        <v>95.45</v>
      </c>
      <c r="J77" s="185">
        <v>122.05</v>
      </c>
      <c r="K77" s="182"/>
      <c r="L77" s="185">
        <v>1.0</v>
      </c>
      <c r="M77" s="185">
        <v>3.0</v>
      </c>
      <c r="N77" s="185">
        <v>4.0</v>
      </c>
      <c r="O77" s="175"/>
      <c r="P77" s="185">
        <v>0.0</v>
      </c>
      <c r="Q77" s="175"/>
      <c r="R77" s="186">
        <v>63.71527777777778</v>
      </c>
      <c r="S77" s="187">
        <v>38.986111111111114</v>
      </c>
      <c r="T77" s="186">
        <v>24.729166666666668</v>
      </c>
      <c r="U77" s="188">
        <v>6.375</v>
      </c>
      <c r="V77" s="188">
        <v>3.0347222222222223</v>
      </c>
      <c r="W77" s="187">
        <v>3.3402777777777777</v>
      </c>
      <c r="X77" s="45"/>
      <c r="Y77" s="45"/>
      <c r="Z77" s="45"/>
      <c r="AA77" s="45"/>
    </row>
    <row r="78">
      <c r="A78" s="215"/>
      <c r="B78" s="190"/>
      <c r="C78" s="191" t="s">
        <v>217</v>
      </c>
      <c r="D78" s="182"/>
      <c r="E78" s="175"/>
      <c r="F78" s="193">
        <v>68.97</v>
      </c>
      <c r="G78" s="193">
        <v>69.4</v>
      </c>
      <c r="H78" s="175"/>
      <c r="I78" s="193">
        <v>190.91</v>
      </c>
      <c r="J78" s="193">
        <v>129.03</v>
      </c>
      <c r="K78" s="182"/>
      <c r="L78" s="193">
        <v>1.0</v>
      </c>
      <c r="M78" s="193">
        <v>2.0</v>
      </c>
      <c r="N78" s="193">
        <v>3.0</v>
      </c>
      <c r="O78" s="175"/>
      <c r="P78" s="193">
        <v>0.0</v>
      </c>
      <c r="Q78" s="182"/>
      <c r="R78" s="195">
        <v>20.131944444444443</v>
      </c>
      <c r="S78" s="196">
        <v>26.822916666666668</v>
      </c>
      <c r="T78" s="219">
        <v>-6.690972222222222</v>
      </c>
      <c r="U78" s="196">
        <v>6.375</v>
      </c>
      <c r="V78" s="196">
        <v>1.4722222222222223</v>
      </c>
      <c r="W78" s="196">
        <v>4.902777777777778</v>
      </c>
      <c r="X78" s="45"/>
      <c r="Y78" s="45"/>
      <c r="Z78" s="45"/>
      <c r="AA78" s="45"/>
    </row>
    <row r="79">
      <c r="A79" s="189"/>
      <c r="B79" s="190"/>
      <c r="C79" s="191" t="s">
        <v>212</v>
      </c>
      <c r="D79" s="182"/>
      <c r="E79" s="192"/>
      <c r="F79" s="193">
        <v>0.0</v>
      </c>
      <c r="G79" s="193">
        <v>53.15</v>
      </c>
      <c r="H79" s="175"/>
      <c r="I79" s="193">
        <v>0.0</v>
      </c>
      <c r="J79" s="193">
        <v>115.25</v>
      </c>
      <c r="K79" s="182"/>
      <c r="L79" s="193">
        <v>0.0</v>
      </c>
      <c r="M79" s="193">
        <v>1.0</v>
      </c>
      <c r="N79" s="193">
        <v>1.0</v>
      </c>
      <c r="O79" s="175"/>
      <c r="P79" s="193">
        <v>0.0</v>
      </c>
      <c r="Q79" s="182"/>
      <c r="R79" s="195">
        <v>43.583333333333336</v>
      </c>
      <c r="S79" s="196">
        <v>12.163194444444445</v>
      </c>
      <c r="T79" s="195">
        <v>31.42013888888889</v>
      </c>
      <c r="U79" s="196">
        <v>0.0</v>
      </c>
      <c r="V79" s="199">
        <v>1.5625</v>
      </c>
      <c r="W79" s="223">
        <v>-1.5625</v>
      </c>
      <c r="X79" s="45"/>
      <c r="Y79" s="45"/>
      <c r="Z79" s="45"/>
      <c r="AA79" s="45"/>
    </row>
    <row r="80">
      <c r="A80" s="180" t="s">
        <v>229</v>
      </c>
      <c r="B80" s="182"/>
      <c r="C80" s="183"/>
      <c r="D80" s="175"/>
      <c r="E80" s="185">
        <v>60.0</v>
      </c>
      <c r="F80" s="185">
        <v>99.17</v>
      </c>
      <c r="G80" s="185">
        <v>49.89</v>
      </c>
      <c r="H80" s="175"/>
      <c r="I80" s="185">
        <v>100.0</v>
      </c>
      <c r="J80" s="185">
        <v>50.22</v>
      </c>
      <c r="K80" s="182"/>
      <c r="L80" s="185">
        <v>2.0</v>
      </c>
      <c r="M80" s="185">
        <v>0.0</v>
      </c>
      <c r="N80" s="185">
        <v>2.0</v>
      </c>
      <c r="O80" s="175"/>
      <c r="P80" s="185">
        <v>0.0</v>
      </c>
      <c r="Q80" s="175"/>
      <c r="R80" s="214">
        <v>42.708333333333336</v>
      </c>
      <c r="S80" s="188">
        <v>19.50347222222222</v>
      </c>
      <c r="T80" s="186">
        <v>23.20486111111111</v>
      </c>
      <c r="U80" s="188">
        <v>7.083333333333333</v>
      </c>
      <c r="V80" s="188">
        <v>2.4444444444444446</v>
      </c>
      <c r="W80" s="188">
        <v>4.638888888888889</v>
      </c>
      <c r="X80" s="45"/>
      <c r="Y80" s="45"/>
      <c r="Z80" s="45"/>
      <c r="AA80" s="45"/>
    </row>
    <row r="81">
      <c r="A81" s="215"/>
      <c r="B81" s="190"/>
      <c r="C81" s="191" t="s">
        <v>217</v>
      </c>
      <c r="D81" s="182"/>
      <c r="E81" s="175"/>
      <c r="F81" s="193">
        <v>0.0</v>
      </c>
      <c r="G81" s="193">
        <v>0.0</v>
      </c>
      <c r="H81" s="175"/>
      <c r="I81" s="193">
        <v>0.0</v>
      </c>
      <c r="J81" s="193">
        <v>0.0</v>
      </c>
      <c r="K81" s="182"/>
      <c r="L81" s="193">
        <v>0.0</v>
      </c>
      <c r="M81" s="193">
        <v>0.0</v>
      </c>
      <c r="N81" s="193">
        <v>0.0</v>
      </c>
      <c r="O81" s="175"/>
      <c r="P81" s="193">
        <v>0.0</v>
      </c>
      <c r="Q81" s="182"/>
      <c r="R81" s="195">
        <v>0.0</v>
      </c>
      <c r="S81" s="196">
        <v>0.8680555555555556</v>
      </c>
      <c r="T81" s="219">
        <v>-0.8680555555555556</v>
      </c>
      <c r="U81" s="196">
        <v>0.0</v>
      </c>
      <c r="V81" s="199">
        <v>0.0</v>
      </c>
      <c r="W81" s="196">
        <v>0.0</v>
      </c>
      <c r="X81" s="45"/>
      <c r="Y81" s="45"/>
      <c r="Z81" s="45"/>
      <c r="AA81" s="45"/>
    </row>
    <row r="82">
      <c r="A82" s="189"/>
      <c r="B82" s="190"/>
      <c r="C82" s="191" t="s">
        <v>212</v>
      </c>
      <c r="D82" s="182"/>
      <c r="E82" s="192"/>
      <c r="F82" s="193">
        <v>99.17</v>
      </c>
      <c r="G82" s="193">
        <v>49.89</v>
      </c>
      <c r="H82" s="175"/>
      <c r="I82" s="193">
        <v>100.0</v>
      </c>
      <c r="J82" s="193">
        <v>50.22</v>
      </c>
      <c r="K82" s="182"/>
      <c r="L82" s="193">
        <v>2.0</v>
      </c>
      <c r="M82" s="193">
        <v>0.0</v>
      </c>
      <c r="N82" s="193">
        <v>2.0</v>
      </c>
      <c r="O82" s="175"/>
      <c r="P82" s="193">
        <v>0.0</v>
      </c>
      <c r="Q82" s="182"/>
      <c r="R82" s="195">
        <v>42.708333333333336</v>
      </c>
      <c r="S82" s="196">
        <v>18.635416666666668</v>
      </c>
      <c r="T82" s="195">
        <v>24.072916666666668</v>
      </c>
      <c r="U82" s="196">
        <v>7.083333333333333</v>
      </c>
      <c r="V82" s="199">
        <v>2.4444444444444446</v>
      </c>
      <c r="W82" s="196">
        <v>4.638888888888889</v>
      </c>
      <c r="X82" s="45"/>
      <c r="Y82" s="45"/>
      <c r="Z82" s="45"/>
      <c r="AA82" s="45"/>
    </row>
    <row r="83">
      <c r="A83" s="180" t="s">
        <v>230</v>
      </c>
      <c r="B83" s="182"/>
      <c r="C83" s="183"/>
      <c r="D83" s="175"/>
      <c r="E83" s="185">
        <v>60.0</v>
      </c>
      <c r="F83" s="185">
        <v>100.0</v>
      </c>
      <c r="G83" s="185">
        <v>78.81</v>
      </c>
      <c r="H83" s="175"/>
      <c r="I83" s="185">
        <v>100.0</v>
      </c>
      <c r="J83" s="185">
        <v>79.53</v>
      </c>
      <c r="K83" s="182"/>
      <c r="L83" s="185">
        <v>1.0</v>
      </c>
      <c r="M83" s="185">
        <v>0.0</v>
      </c>
      <c r="N83" s="185">
        <v>1.0</v>
      </c>
      <c r="O83" s="175"/>
      <c r="P83" s="185">
        <v>0.0</v>
      </c>
      <c r="Q83" s="175"/>
      <c r="R83" s="186">
        <v>35.416666666666664</v>
      </c>
      <c r="S83" s="187">
        <v>16.78472222222222</v>
      </c>
      <c r="T83" s="186">
        <v>18.631944444444443</v>
      </c>
      <c r="U83" s="187">
        <v>3.125</v>
      </c>
      <c r="V83" s="188">
        <v>2.1770833333333335</v>
      </c>
      <c r="W83" s="187">
        <v>0.9479166666666666</v>
      </c>
      <c r="X83" s="45"/>
      <c r="Y83" s="45"/>
      <c r="Z83" s="45"/>
      <c r="AA83" s="45"/>
    </row>
    <row r="84">
      <c r="A84" s="189"/>
      <c r="B84" s="190"/>
      <c r="C84" s="191" t="s">
        <v>212</v>
      </c>
      <c r="D84" s="182"/>
      <c r="E84" s="192"/>
      <c r="F84" s="193">
        <v>100.0</v>
      </c>
      <c r="G84" s="193">
        <v>78.81</v>
      </c>
      <c r="H84" s="175"/>
      <c r="I84" s="193">
        <v>100.0</v>
      </c>
      <c r="J84" s="193">
        <v>79.53</v>
      </c>
      <c r="K84" s="182"/>
      <c r="L84" s="193">
        <v>1.0</v>
      </c>
      <c r="M84" s="193">
        <v>0.0</v>
      </c>
      <c r="N84" s="193">
        <v>1.0</v>
      </c>
      <c r="O84" s="175"/>
      <c r="P84" s="193">
        <v>0.0</v>
      </c>
      <c r="Q84" s="182"/>
      <c r="R84" s="195">
        <v>35.416666666666664</v>
      </c>
      <c r="S84" s="196">
        <v>16.78472222222222</v>
      </c>
      <c r="T84" s="195">
        <v>18.631944444444443</v>
      </c>
      <c r="U84" s="196">
        <v>3.125</v>
      </c>
      <c r="V84" s="196">
        <v>2.1770833333333335</v>
      </c>
      <c r="W84" s="196">
        <v>0.9479166666666666</v>
      </c>
      <c r="X84" s="45"/>
      <c r="Y84" s="45"/>
      <c r="Z84" s="45"/>
      <c r="AA84" s="45"/>
    </row>
    <row r="85">
      <c r="A85" s="180" t="s">
        <v>231</v>
      </c>
      <c r="B85" s="182"/>
      <c r="C85" s="183"/>
      <c r="D85" s="175"/>
      <c r="E85" s="185">
        <v>60.0</v>
      </c>
      <c r="F85" s="185">
        <v>21.54</v>
      </c>
      <c r="G85" s="185">
        <v>43.3</v>
      </c>
      <c r="H85" s="175"/>
      <c r="I85" s="185">
        <v>31.82</v>
      </c>
      <c r="J85" s="185">
        <v>54.93</v>
      </c>
      <c r="K85" s="182"/>
      <c r="L85" s="185">
        <v>1.0</v>
      </c>
      <c r="M85" s="185">
        <v>2.0</v>
      </c>
      <c r="N85" s="185">
        <v>3.0</v>
      </c>
      <c r="O85" s="175"/>
      <c r="P85" s="185">
        <v>0.0</v>
      </c>
      <c r="Q85" s="175"/>
      <c r="R85" s="186">
        <v>40.416666666666664</v>
      </c>
      <c r="S85" s="187">
        <v>20.29513888888889</v>
      </c>
      <c r="T85" s="186">
        <v>20.12152777777778</v>
      </c>
      <c r="U85" s="187">
        <v>3.7395833333333335</v>
      </c>
      <c r="V85" s="187">
        <v>0.6423611111111112</v>
      </c>
      <c r="W85" s="187">
        <v>3.0972222222222223</v>
      </c>
      <c r="X85" s="45"/>
      <c r="Y85" s="45"/>
      <c r="Z85" s="45"/>
      <c r="AA85" s="45"/>
    </row>
    <row r="86">
      <c r="A86" s="189"/>
      <c r="B86" s="190"/>
      <c r="C86" s="191" t="s">
        <v>212</v>
      </c>
      <c r="D86" s="182"/>
      <c r="E86" s="192"/>
      <c r="F86" s="193">
        <v>21.54</v>
      </c>
      <c r="G86" s="193">
        <v>43.3</v>
      </c>
      <c r="H86" s="175"/>
      <c r="I86" s="193">
        <v>31.82</v>
      </c>
      <c r="J86" s="193">
        <v>54.93</v>
      </c>
      <c r="K86" s="182"/>
      <c r="L86" s="193">
        <v>1.0</v>
      </c>
      <c r="M86" s="193">
        <v>2.0</v>
      </c>
      <c r="N86" s="193">
        <v>3.0</v>
      </c>
      <c r="O86" s="175"/>
      <c r="P86" s="193">
        <v>0.0</v>
      </c>
      <c r="Q86" s="182"/>
      <c r="R86" s="195">
        <v>40.416666666666664</v>
      </c>
      <c r="S86" s="196">
        <v>20.29513888888889</v>
      </c>
      <c r="T86" s="195">
        <v>20.12152777777778</v>
      </c>
      <c r="U86" s="196">
        <v>3.7395833333333335</v>
      </c>
      <c r="V86" s="196">
        <v>0.6423611111111112</v>
      </c>
      <c r="W86" s="196">
        <v>3.0972222222222223</v>
      </c>
      <c r="X86" s="45"/>
      <c r="Y86" s="45"/>
      <c r="Z86" s="45"/>
      <c r="AA86" s="45"/>
    </row>
    <row r="87">
      <c r="A87" s="180" t="s">
        <v>234</v>
      </c>
      <c r="B87" s="182"/>
      <c r="C87" s="183"/>
      <c r="D87" s="175"/>
      <c r="E87" s="185">
        <v>60.0</v>
      </c>
      <c r="F87" s="185">
        <v>77.58</v>
      </c>
      <c r="G87" s="185">
        <v>65.36</v>
      </c>
      <c r="H87" s="175"/>
      <c r="I87" s="185">
        <v>121.21</v>
      </c>
      <c r="J87" s="185">
        <v>105.83</v>
      </c>
      <c r="K87" s="182"/>
      <c r="L87" s="185">
        <v>2.0</v>
      </c>
      <c r="M87" s="185">
        <v>3.0</v>
      </c>
      <c r="N87" s="185">
        <v>5.0</v>
      </c>
      <c r="O87" s="175"/>
      <c r="P87" s="185">
        <v>0.0</v>
      </c>
      <c r="Q87" s="175"/>
      <c r="R87" s="186">
        <v>124.08333333333333</v>
      </c>
      <c r="S87" s="187">
        <v>69.71180555555556</v>
      </c>
      <c r="T87" s="186">
        <v>54.37152777777778</v>
      </c>
      <c r="U87" s="187">
        <v>10.0</v>
      </c>
      <c r="V87" s="187">
        <v>5.815972222222222</v>
      </c>
      <c r="W87" s="187">
        <v>4.184027777777778</v>
      </c>
      <c r="X87" s="45"/>
      <c r="Y87" s="45"/>
      <c r="Z87" s="45"/>
      <c r="AA87" s="45"/>
    </row>
    <row r="88">
      <c r="A88" s="215"/>
      <c r="B88" s="190"/>
      <c r="C88" s="191" t="s">
        <v>212</v>
      </c>
      <c r="D88" s="182"/>
      <c r="E88" s="175"/>
      <c r="F88" s="193">
        <v>77.58</v>
      </c>
      <c r="G88" s="193">
        <v>65.36</v>
      </c>
      <c r="H88" s="175"/>
      <c r="I88" s="193">
        <v>121.21</v>
      </c>
      <c r="J88" s="193">
        <v>105.83</v>
      </c>
      <c r="K88" s="182"/>
      <c r="L88" s="193">
        <v>2.0</v>
      </c>
      <c r="M88" s="193">
        <v>3.0</v>
      </c>
      <c r="N88" s="193">
        <v>5.0</v>
      </c>
      <c r="O88" s="192"/>
      <c r="P88" s="193">
        <v>0.0</v>
      </c>
      <c r="Q88" s="228"/>
      <c r="R88" s="195">
        <v>124.08333333333333</v>
      </c>
      <c r="S88" s="196">
        <v>69.71180555555556</v>
      </c>
      <c r="T88" s="195">
        <v>54.37152777777778</v>
      </c>
      <c r="U88" s="196">
        <v>10.0</v>
      </c>
      <c r="V88" s="196">
        <v>5.815972222222222</v>
      </c>
      <c r="W88" s="196">
        <v>4.184027777777778</v>
      </c>
      <c r="X88" s="45"/>
      <c r="Y88" s="45"/>
      <c r="Z88" s="45"/>
      <c r="AA88" s="45"/>
    </row>
    <row r="89">
      <c r="A89" s="229"/>
      <c r="B89" s="172"/>
      <c r="C89" s="172"/>
      <c r="D89" s="172"/>
      <c r="E89" s="172"/>
      <c r="F89" s="172"/>
      <c r="G89" s="172"/>
      <c r="H89" s="172"/>
      <c r="I89" s="172"/>
      <c r="J89" s="173"/>
      <c r="K89" s="175"/>
      <c r="L89" s="230" t="s">
        <v>236</v>
      </c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3"/>
      <c r="X89" s="45"/>
      <c r="Y89" s="45"/>
      <c r="Z89" s="45"/>
      <c r="AA89" s="45"/>
    </row>
    <row r="90">
      <c r="A90" s="229"/>
      <c r="B90" s="172"/>
      <c r="C90" s="172"/>
      <c r="D90" s="172"/>
      <c r="E90" s="172"/>
      <c r="F90" s="172"/>
      <c r="G90" s="172"/>
      <c r="H90" s="172"/>
      <c r="I90" s="172"/>
      <c r="J90" s="173"/>
      <c r="K90" s="175"/>
      <c r="L90" s="185">
        <v>11.0</v>
      </c>
      <c r="M90" s="185">
        <v>11.0</v>
      </c>
      <c r="N90" s="185">
        <v>22.0</v>
      </c>
      <c r="O90" s="175"/>
      <c r="P90" s="185">
        <v>0.0</v>
      </c>
      <c r="Q90" s="175"/>
      <c r="R90" s="186">
        <v>419.5833333333333</v>
      </c>
      <c r="S90" s="187">
        <v>236.77430555555554</v>
      </c>
      <c r="T90" s="186">
        <v>182.80902777777777</v>
      </c>
      <c r="U90" s="187">
        <v>38.61736111111111</v>
      </c>
      <c r="V90" s="187">
        <v>17.854166666666668</v>
      </c>
      <c r="W90" s="187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2"/>
      <c r="D1" s="15"/>
      <c r="E1" s="12"/>
      <c r="F1" s="12"/>
      <c r="G1" s="12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4"/>
      <c r="AS1" s="24"/>
    </row>
    <row r="2">
      <c r="A2" s="27"/>
      <c r="B2" s="28"/>
      <c r="C2" s="12"/>
      <c r="D2" s="15"/>
      <c r="E2" s="12"/>
      <c r="F2" s="12"/>
      <c r="G2" s="12"/>
      <c r="H2" s="18">
        <v>2025.0</v>
      </c>
      <c r="T2" s="30">
        <v>2026.0</v>
      </c>
      <c r="AF2" s="31" t="s">
        <v>15</v>
      </c>
      <c r="AR2" s="24"/>
      <c r="AS2" s="24"/>
    </row>
    <row r="3">
      <c r="A3" s="32" t="s">
        <v>16</v>
      </c>
      <c r="B3" s="32" t="s">
        <v>2</v>
      </c>
      <c r="C3" s="33" t="s">
        <v>17</v>
      </c>
      <c r="D3" s="35" t="s">
        <v>18</v>
      </c>
      <c r="E3" s="33" t="s">
        <v>19</v>
      </c>
      <c r="F3" s="38" t="s">
        <v>20</v>
      </c>
      <c r="G3" s="33" t="s">
        <v>22</v>
      </c>
      <c r="H3" s="32" t="s">
        <v>23</v>
      </c>
      <c r="I3" s="32" t="s">
        <v>24</v>
      </c>
      <c r="J3" s="32" t="s">
        <v>25</v>
      </c>
      <c r="K3" s="32" t="s">
        <v>28</v>
      </c>
      <c r="L3" s="32" t="s">
        <v>30</v>
      </c>
      <c r="M3" s="32" t="s">
        <v>33</v>
      </c>
      <c r="N3" s="32" t="s">
        <v>36</v>
      </c>
      <c r="O3" s="32" t="s">
        <v>39</v>
      </c>
      <c r="P3" s="32" t="s">
        <v>42</v>
      </c>
      <c r="Q3" s="32" t="s">
        <v>44</v>
      </c>
      <c r="R3" s="32" t="s">
        <v>46</v>
      </c>
      <c r="S3" s="32" t="s">
        <v>49</v>
      </c>
      <c r="T3" s="32" t="s">
        <v>23</v>
      </c>
      <c r="U3" s="32" t="s">
        <v>24</v>
      </c>
      <c r="V3" s="32" t="s">
        <v>25</v>
      </c>
      <c r="W3" s="32" t="s">
        <v>28</v>
      </c>
      <c r="X3" s="32" t="s">
        <v>30</v>
      </c>
      <c r="Y3" s="32" t="s">
        <v>33</v>
      </c>
      <c r="Z3" s="32" t="s">
        <v>36</v>
      </c>
      <c r="AA3" s="32" t="s">
        <v>39</v>
      </c>
      <c r="AB3" s="32" t="s">
        <v>42</v>
      </c>
      <c r="AC3" s="32" t="s">
        <v>44</v>
      </c>
      <c r="AD3" s="32" t="s">
        <v>46</v>
      </c>
      <c r="AE3" s="32" t="s">
        <v>49</v>
      </c>
      <c r="AF3" s="47" t="s">
        <v>23</v>
      </c>
      <c r="AG3" s="47" t="s">
        <v>24</v>
      </c>
      <c r="AH3" s="47" t="s">
        <v>25</v>
      </c>
      <c r="AI3" s="47" t="s">
        <v>28</v>
      </c>
      <c r="AJ3" s="47" t="s">
        <v>30</v>
      </c>
      <c r="AK3" s="47" t="s">
        <v>33</v>
      </c>
      <c r="AL3" s="47" t="s">
        <v>36</v>
      </c>
      <c r="AM3" s="47" t="s">
        <v>39</v>
      </c>
      <c r="AN3" s="47" t="s">
        <v>42</v>
      </c>
      <c r="AO3" s="47" t="s">
        <v>44</v>
      </c>
      <c r="AP3" s="47" t="s">
        <v>46</v>
      </c>
      <c r="AQ3" s="47" t="s">
        <v>49</v>
      </c>
      <c r="AR3" s="48" t="s">
        <v>58</v>
      </c>
      <c r="AS3" s="50"/>
    </row>
    <row r="4">
      <c r="A4" s="51" t="s">
        <v>59</v>
      </c>
      <c r="B4" s="51" t="b">
        <f>VLOOKUP(A4,SILOMS!C:F,4,0)</f>
        <v>0</v>
      </c>
      <c r="C4" s="58">
        <f>VLOOKUP(A4,SILOMS!O:Q,3,0)</f>
        <v>185.4131944</v>
      </c>
      <c r="D4" s="60">
        <f>IF(C4*24&lt;1500,1500-(C4*24),IF(C4*24&lt;3000,3000-(C4*24),4450-(C4*24)))
</f>
        <v>0.08333333333</v>
      </c>
      <c r="E4" s="62">
        <v>45.49722222</v>
      </c>
      <c r="F4" s="65">
        <f>E4*'Hora por anv'!$H$1</f>
        <v>213.8369444</v>
      </c>
      <c r="G4" s="67">
        <f t="shared" ref="G4:G42" si="1">D4/E4</f>
        <v>0.001831613652</v>
      </c>
      <c r="H4" s="68" t="s">
        <v>77</v>
      </c>
      <c r="I4" s="68" t="s">
        <v>77</v>
      </c>
      <c r="J4" s="68" t="s">
        <v>77</v>
      </c>
      <c r="K4" s="68" t="s">
        <v>77</v>
      </c>
      <c r="L4" s="68" t="s">
        <v>77</v>
      </c>
      <c r="M4" s="71"/>
      <c r="N4" s="71"/>
      <c r="O4" s="72"/>
      <c r="Q4" s="73" t="s">
        <v>84</v>
      </c>
      <c r="R4" s="74"/>
      <c r="S4" s="72"/>
      <c r="T4" s="75"/>
      <c r="U4" s="75"/>
      <c r="V4" s="75"/>
      <c r="W4" s="75"/>
      <c r="X4" s="78" t="s">
        <v>51</v>
      </c>
      <c r="Y4" s="75"/>
      <c r="Z4" s="75"/>
      <c r="AA4" s="75"/>
      <c r="AB4" s="75"/>
      <c r="AC4" s="75"/>
      <c r="AD4" s="75"/>
      <c r="AE4" s="75"/>
      <c r="AF4" s="82"/>
      <c r="AG4" s="82"/>
      <c r="AH4" s="83"/>
      <c r="AI4" s="82"/>
      <c r="AJ4" s="82"/>
      <c r="AK4" s="82"/>
      <c r="AL4" s="82"/>
      <c r="AM4" s="82"/>
      <c r="AN4" s="82"/>
      <c r="AO4" s="82"/>
      <c r="AP4" s="82"/>
      <c r="AQ4" s="82"/>
      <c r="AR4" s="84" t="s">
        <v>86</v>
      </c>
      <c r="AS4" s="85" t="s">
        <v>88</v>
      </c>
    </row>
    <row r="5">
      <c r="A5" s="51" t="s">
        <v>90</v>
      </c>
      <c r="B5" s="51">
        <f>VLOOKUP(A5,SILOMS!C:F,4,0)</f>
        <v>2733</v>
      </c>
      <c r="C5" s="89">
        <v>176.46527777777777</v>
      </c>
      <c r="D5" s="91">
        <f>IF(C5*24&lt;1500,1500-(C5*24),IF(C5*24&lt;4034,4034-(C5*24),4500-(C5*24)))
</f>
        <v>264.8333333</v>
      </c>
      <c r="E5" s="62">
        <v>37.18611111</v>
      </c>
      <c r="F5" s="65">
        <f>E5*'Hora por anv'!$H$1</f>
        <v>174.7747222</v>
      </c>
      <c r="G5" s="92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71"/>
      <c r="N5" s="71"/>
      <c r="O5" s="72"/>
      <c r="Q5" s="94" t="s">
        <v>99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82"/>
      <c r="AG5" s="82"/>
      <c r="AH5" s="82"/>
      <c r="AI5" s="82"/>
      <c r="AJ5" s="82"/>
      <c r="AK5" s="82"/>
      <c r="AL5" s="78" t="s">
        <v>51</v>
      </c>
      <c r="AM5" s="82"/>
      <c r="AN5" s="82"/>
      <c r="AO5" s="82"/>
      <c r="AP5" s="82"/>
      <c r="AQ5" s="82"/>
      <c r="AR5" s="97" t="s">
        <v>102</v>
      </c>
      <c r="AS5" s="98" t="s">
        <v>103</v>
      </c>
    </row>
    <row r="6">
      <c r="A6" s="51" t="s">
        <v>21</v>
      </c>
      <c r="B6" s="51">
        <f>VLOOKUP(A6,SILOMS!C:F,4,0)</f>
        <v>2741</v>
      </c>
      <c r="C6" s="58">
        <f>VLOOKUP(A6,SILOMS!O:Q,3,0)</f>
        <v>161.9444444</v>
      </c>
      <c r="D6" s="60">
        <f>IF(C6*24&lt;1500,1500-(C6*24),IF(C6*24&lt;3000,3000-(C6*24),4000-(C6*24)))
</f>
        <v>113.3333333</v>
      </c>
      <c r="E6" s="62">
        <v>45.49722222</v>
      </c>
      <c r="F6" s="65">
        <f>E6*'Hora por anv'!$H$1</f>
        <v>213.8369444</v>
      </c>
      <c r="G6" s="67">
        <f t="shared" si="1"/>
        <v>2.490994566</v>
      </c>
      <c r="H6" s="68" t="s">
        <v>77</v>
      </c>
      <c r="I6" s="68" t="s">
        <v>77</v>
      </c>
      <c r="J6" s="68" t="s">
        <v>77</v>
      </c>
      <c r="K6" s="104" t="s">
        <v>77</v>
      </c>
      <c r="L6" s="104" t="s">
        <v>77</v>
      </c>
      <c r="M6" s="71"/>
      <c r="N6" s="71"/>
      <c r="O6" s="72"/>
      <c r="Q6" s="73" t="s">
        <v>84</v>
      </c>
      <c r="R6" s="72"/>
      <c r="S6" s="72"/>
      <c r="T6" s="75"/>
      <c r="U6" s="75"/>
      <c r="V6" s="75"/>
      <c r="W6" s="75"/>
      <c r="X6" s="75"/>
      <c r="Y6" s="75"/>
      <c r="Z6" s="75"/>
      <c r="AA6" s="78" t="s">
        <v>51</v>
      </c>
      <c r="AB6" s="75"/>
      <c r="AC6" s="75"/>
      <c r="AD6" s="75"/>
      <c r="AE6" s="75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07" t="s">
        <v>112</v>
      </c>
      <c r="AS6" s="108"/>
    </row>
    <row r="7">
      <c r="A7" s="51" t="s">
        <v>113</v>
      </c>
      <c r="B7" s="51">
        <f>VLOOKUP(A7,SILOMS!C:F,4,0)</f>
        <v>2743</v>
      </c>
      <c r="C7" s="58">
        <f>VLOOKUP(A7,SILOMS!O:Q,3,0)</f>
        <v>183.8715278</v>
      </c>
      <c r="D7" s="60">
        <f>IF(C7*24&lt;1500,1500-(C7*24),IF(C7*24&lt;3000,3000-(C7*24),4500-(C7*24)))
</f>
        <v>87.08333333</v>
      </c>
      <c r="E7" s="62">
        <v>77.91666667</v>
      </c>
      <c r="F7" s="65">
        <f>E7*'Hora por anv'!$H$1</f>
        <v>366.2083333</v>
      </c>
      <c r="G7" s="67">
        <f t="shared" si="1"/>
        <v>1.117647059</v>
      </c>
      <c r="H7" s="68">
        <v>1.0</v>
      </c>
      <c r="I7" s="68">
        <v>1.0</v>
      </c>
      <c r="J7" s="68">
        <v>1.0</v>
      </c>
      <c r="K7" s="68"/>
      <c r="L7" s="68"/>
      <c r="M7" s="71"/>
      <c r="N7" s="71"/>
      <c r="O7" s="72"/>
      <c r="Q7" s="73" t="s">
        <v>84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8" t="s">
        <v>51</v>
      </c>
      <c r="AC7" s="75"/>
      <c r="AD7" s="75"/>
      <c r="AE7" s="75"/>
      <c r="AF7" s="82"/>
      <c r="AG7" s="82"/>
      <c r="AH7" s="82"/>
      <c r="AI7" s="82"/>
      <c r="AJ7" s="82"/>
      <c r="AK7" s="83"/>
      <c r="AL7" s="82"/>
      <c r="AM7" s="82"/>
      <c r="AN7" s="82"/>
      <c r="AO7" s="82"/>
      <c r="AP7" s="82"/>
      <c r="AQ7" s="82"/>
      <c r="AR7" s="119" t="s">
        <v>127</v>
      </c>
      <c r="AS7" s="119" t="s">
        <v>128</v>
      </c>
    </row>
    <row r="8">
      <c r="A8" s="51" t="s">
        <v>101</v>
      </c>
      <c r="B8" s="51">
        <f>VLOOKUP(A8,SILOMS!C:F,4,0)</f>
        <v>2736</v>
      </c>
      <c r="C8" s="58">
        <f>VLOOKUP(A8,SILOMS!O:Q,3,0)</f>
        <v>166.3472222</v>
      </c>
      <c r="D8" s="60">
        <f>IF(C8*24&lt;1500,1500-(C8*24),IF(C8*24&lt;3000,3000-(C8*24),4000-(C8*24)))
</f>
        <v>7.666666667</v>
      </c>
      <c r="E8" s="62">
        <v>45.49722222</v>
      </c>
      <c r="F8" s="65">
        <f>E8*'Hora por anv'!$H$1</f>
        <v>213.8369444</v>
      </c>
      <c r="G8" s="67">
        <f t="shared" si="1"/>
        <v>0.168508456</v>
      </c>
      <c r="H8" s="68">
        <v>1.0</v>
      </c>
      <c r="I8" s="68">
        <v>1.0</v>
      </c>
      <c r="J8" s="68">
        <v>1.0</v>
      </c>
      <c r="K8" s="68"/>
      <c r="L8" s="68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21"/>
      <c r="AB8" s="75"/>
      <c r="AC8" s="78" t="s">
        <v>51</v>
      </c>
      <c r="AD8" s="75"/>
      <c r="AE8" s="75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07" t="s">
        <v>135</v>
      </c>
      <c r="AS8" s="118" t="s">
        <v>136</v>
      </c>
    </row>
    <row r="9">
      <c r="A9" s="51" t="s">
        <v>98</v>
      </c>
      <c r="B9" s="51">
        <f>VLOOKUP(A9,SILOMS!C:F,4,0)</f>
        <v>2740</v>
      </c>
      <c r="C9" s="58">
        <f>VLOOKUP(A9,SILOMS!O:Q,3,0)</f>
        <v>137.5729167</v>
      </c>
      <c r="D9" s="60">
        <f>IF(C9*24&lt;1500,1500-(C9*24),IF(C9*24&lt;3441,3441-(C9*24),4250-(C9*24)))
</f>
        <v>139.25</v>
      </c>
      <c r="E9" s="62">
        <v>45.49722222</v>
      </c>
      <c r="F9" s="65">
        <f>E9*'Hora por anv'!$H$1</f>
        <v>213.8369444</v>
      </c>
      <c r="G9" s="67">
        <f t="shared" si="1"/>
        <v>3.060626412</v>
      </c>
      <c r="H9" s="68">
        <v>1.0</v>
      </c>
      <c r="I9" s="68">
        <v>1.0</v>
      </c>
      <c r="J9" s="68">
        <v>1.0</v>
      </c>
      <c r="K9" s="68"/>
      <c r="L9" s="68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23" t="s">
        <v>139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24" t="s">
        <v>142</v>
      </c>
      <c r="AS9" s="98" t="s">
        <v>143</v>
      </c>
    </row>
    <row r="10">
      <c r="A10" s="51" t="s">
        <v>144</v>
      </c>
      <c r="B10" s="51" t="b">
        <f>VLOOKUP(A10,SILOMS!C:F,4,0)</f>
        <v>0</v>
      </c>
      <c r="C10" s="125">
        <v>131.125</v>
      </c>
      <c r="D10" s="126">
        <f>IF(C10*24&lt;1500,1500-(C10*24),IF(C10*24&lt;3146,3146-(C10*24),4000-(C10*24)))
</f>
        <v>853</v>
      </c>
      <c r="E10" s="62">
        <v>35.2</v>
      </c>
      <c r="F10" s="65">
        <f>E10*'Hora por anv'!$H$1</f>
        <v>165.44</v>
      </c>
      <c r="G10" s="127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71"/>
      <c r="N10" s="71"/>
      <c r="O10" s="72"/>
      <c r="Q10" s="73" t="s">
        <v>84</v>
      </c>
      <c r="R10" s="128"/>
      <c r="S10" s="72"/>
      <c r="T10" s="75"/>
      <c r="U10" s="75"/>
      <c r="V10" s="75"/>
      <c r="W10" s="75"/>
      <c r="X10" s="82"/>
      <c r="Y10" s="82"/>
      <c r="Z10" s="82"/>
      <c r="AA10" s="82"/>
      <c r="AB10" s="82"/>
      <c r="AC10" s="82"/>
      <c r="AD10" s="82"/>
      <c r="AE10" s="82"/>
      <c r="AF10" s="130" t="s">
        <v>139</v>
      </c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32"/>
      <c r="AS10" s="119" t="s">
        <v>156</v>
      </c>
    </row>
    <row r="11">
      <c r="A11" s="51" t="s">
        <v>132</v>
      </c>
      <c r="B11" s="51">
        <f>VLOOKUP(A11,SILOMS!C:F,4,0)</f>
        <v>2709</v>
      </c>
      <c r="C11" s="58">
        <f>VLOOKUP(A11,SILOMS!O:Q,3,0)</f>
        <v>114.8020833</v>
      </c>
      <c r="D11" s="60">
        <f>IF(C11*24&lt;1500,1500-(C11*24),IF(C11*24&lt;2903,2903-(C11*24),4000-(C11*24)))
</f>
        <v>147.75</v>
      </c>
      <c r="E11" s="62">
        <v>44.45833333</v>
      </c>
      <c r="F11" s="65">
        <f>E11*'Hora por anv'!$H$1</f>
        <v>208.9541667</v>
      </c>
      <c r="G11" s="67">
        <f t="shared" si="1"/>
        <v>3.323336458</v>
      </c>
      <c r="H11" s="68">
        <v>1.0</v>
      </c>
      <c r="I11" s="68">
        <v>1.0</v>
      </c>
      <c r="J11" s="68">
        <v>1.0</v>
      </c>
      <c r="K11" s="68"/>
      <c r="L11" s="68"/>
      <c r="M11" s="71"/>
      <c r="N11" s="71"/>
      <c r="O11" s="72"/>
      <c r="Q11" s="73" t="s">
        <v>84</v>
      </c>
      <c r="R11" s="72"/>
      <c r="S11" s="72"/>
      <c r="T11" s="75"/>
      <c r="U11" s="112"/>
      <c r="V11" s="75"/>
      <c r="W11" s="75"/>
      <c r="X11" s="82"/>
      <c r="Y11" s="82"/>
      <c r="Z11" s="82"/>
      <c r="AA11" s="82"/>
      <c r="AB11" s="82"/>
      <c r="AC11" s="82"/>
      <c r="AD11" s="82"/>
      <c r="AE11" s="82"/>
      <c r="AF11" s="123" t="s">
        <v>139</v>
      </c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43" t="s">
        <v>164</v>
      </c>
      <c r="AS11" s="84" t="s">
        <v>165</v>
      </c>
    </row>
    <row r="12" ht="23.25" customHeight="1">
      <c r="A12" s="51" t="s">
        <v>81</v>
      </c>
      <c r="B12" s="51">
        <f>VLOOKUP(A12,SILOMS!C:F,4,0)</f>
        <v>2719</v>
      </c>
      <c r="C12" s="58">
        <f>VLOOKUP(A12,SILOMS!O:Q,3,0)</f>
        <v>180.9548611</v>
      </c>
      <c r="D12" s="60">
        <f>IF(C12*24&lt;1500,1500-(C12*24),IF(C12*24&lt;3000,3000-(C12*24),4700-(C12*24)))
</f>
        <v>357.0833333</v>
      </c>
      <c r="E12" s="62">
        <v>46.97916667</v>
      </c>
      <c r="F12" s="65">
        <f>E12*'Hora por anv'!$H$1</f>
        <v>220.8020833</v>
      </c>
      <c r="G12" s="67">
        <f t="shared" si="1"/>
        <v>7.600886917</v>
      </c>
      <c r="H12" s="68">
        <v>1.0</v>
      </c>
      <c r="I12" s="68">
        <v>1.0</v>
      </c>
      <c r="J12" s="68">
        <v>1.0</v>
      </c>
      <c r="K12" s="68"/>
      <c r="L12" s="68"/>
      <c r="M12" s="71"/>
      <c r="N12" s="71"/>
      <c r="O12" s="72"/>
      <c r="Q12" s="94" t="s">
        <v>99</v>
      </c>
      <c r="R12" s="72"/>
      <c r="S12" s="72"/>
      <c r="T12" s="75"/>
      <c r="U12" s="75"/>
      <c r="V12" s="75"/>
      <c r="W12" s="75"/>
      <c r="X12" s="145"/>
      <c r="Y12" s="82"/>
      <c r="Z12" s="82"/>
      <c r="AA12" s="82"/>
      <c r="AB12" s="82"/>
      <c r="AC12" s="82"/>
      <c r="AD12" s="82"/>
      <c r="AE12" s="82"/>
      <c r="AF12" s="123" t="s">
        <v>167</v>
      </c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08"/>
      <c r="AS12" s="98" t="s">
        <v>168</v>
      </c>
    </row>
    <row r="13">
      <c r="A13" s="51" t="s">
        <v>125</v>
      </c>
      <c r="B13" s="51">
        <f>VLOOKUP(A13,SILOMS!C:F,4,0)</f>
        <v>2722</v>
      </c>
      <c r="C13" s="125">
        <v>179.57638888888889</v>
      </c>
      <c r="D13" s="126">
        <f>IF(C13*24&lt;1500,1500-(C13*24),IF(C13*24&lt;3000,3000-(C13*24),4400-(C13*24)))
</f>
        <v>90.16666667</v>
      </c>
      <c r="E13" s="62">
        <v>46.97916667</v>
      </c>
      <c r="F13" s="65">
        <f>E13*'Hora por anv'!$H$1</f>
        <v>220.8020833</v>
      </c>
      <c r="G13" s="127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71"/>
      <c r="N13" s="71"/>
      <c r="O13" s="72"/>
      <c r="Q13" s="73" t="s">
        <v>84</v>
      </c>
      <c r="R13" s="72"/>
      <c r="S13" s="72"/>
      <c r="T13" s="75"/>
      <c r="U13" s="75"/>
      <c r="V13" s="75"/>
      <c r="W13" s="75"/>
      <c r="X13" s="82"/>
      <c r="Y13" s="82"/>
      <c r="Z13" s="82"/>
      <c r="AA13" s="82"/>
      <c r="AB13" s="82"/>
      <c r="AC13" s="82"/>
      <c r="AD13" s="82"/>
      <c r="AE13" s="82"/>
      <c r="AF13" s="82"/>
      <c r="AG13" s="78" t="s">
        <v>51</v>
      </c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08"/>
      <c r="AS13" s="118" t="s">
        <v>172</v>
      </c>
    </row>
    <row r="14">
      <c r="A14" s="51" t="s">
        <v>76</v>
      </c>
      <c r="B14" s="51">
        <f>VLOOKUP(A14,SILOMS!C:F,4,0)</f>
        <v>2723</v>
      </c>
      <c r="C14" s="125">
        <v>129.94791666666666</v>
      </c>
      <c r="D14" s="126">
        <f>IF(C14*24&lt;1500,1500-(C14*24),IF(C14*24&lt;3239,3239-(C14*24),4000-(C14*24)))
</f>
        <v>120.25</v>
      </c>
      <c r="E14" s="149">
        <v>42.625</v>
      </c>
      <c r="F14" s="151">
        <f>E14*'Hora por anv'!$H$1</f>
        <v>200.3375</v>
      </c>
      <c r="G14" s="127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71"/>
      <c r="N14" s="71"/>
      <c r="O14" s="72"/>
      <c r="Q14" s="73" t="s">
        <v>84</v>
      </c>
      <c r="R14" s="72"/>
      <c r="S14" s="72"/>
      <c r="T14" s="75"/>
      <c r="U14" s="75"/>
      <c r="V14" s="75"/>
      <c r="W14" s="75"/>
      <c r="X14" s="82"/>
      <c r="Y14" s="82"/>
      <c r="Z14" s="82"/>
      <c r="AA14" s="82"/>
      <c r="AB14" s="82"/>
      <c r="AC14" s="82"/>
      <c r="AD14" s="145"/>
      <c r="AE14" s="82"/>
      <c r="AF14" s="82"/>
      <c r="AG14" s="82"/>
      <c r="AH14" s="144" t="s">
        <v>139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152" t="s">
        <v>176</v>
      </c>
      <c r="AS14" s="118" t="s">
        <v>177</v>
      </c>
    </row>
    <row r="15">
      <c r="A15" s="51" t="s">
        <v>74</v>
      </c>
      <c r="B15" s="51">
        <f>VLOOKUP(A15,SILOMS!C:F,4,0)</f>
        <v>2703</v>
      </c>
      <c r="C15" s="89">
        <v>179.26736111111111</v>
      </c>
      <c r="D15" s="91">
        <f>IF(C15*24&lt;1500,1500-(C15*24),IF(C15*24&lt;3000,3000-(C15*24),4500-(C15*24)))
</f>
        <v>197.5833333</v>
      </c>
      <c r="E15" s="62">
        <v>35.2</v>
      </c>
      <c r="F15" s="65">
        <f>E15*'Hora por anv'!$H$1</f>
        <v>165.44</v>
      </c>
      <c r="G15" s="92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71"/>
      <c r="N15" s="71"/>
      <c r="O15" s="72"/>
      <c r="Q15" s="94" t="s">
        <v>99</v>
      </c>
      <c r="R15" s="72"/>
      <c r="S15" s="72"/>
      <c r="T15" s="75"/>
      <c r="U15" s="75"/>
      <c r="V15" s="75"/>
      <c r="W15" s="75"/>
      <c r="X15" s="82"/>
      <c r="Y15" s="82"/>
      <c r="Z15" s="82"/>
      <c r="AA15" s="82"/>
      <c r="AB15" s="82"/>
      <c r="AC15" s="82"/>
      <c r="AD15" s="82"/>
      <c r="AE15" s="83"/>
      <c r="AF15" s="82"/>
      <c r="AG15" s="145"/>
      <c r="AH15" s="82"/>
      <c r="AI15" s="82"/>
      <c r="AJ15" s="82"/>
      <c r="AK15" s="78" t="s">
        <v>51</v>
      </c>
      <c r="AL15" s="82"/>
      <c r="AM15" s="82"/>
      <c r="AN15" s="82"/>
      <c r="AO15" s="82"/>
      <c r="AP15" s="82"/>
      <c r="AQ15" s="82"/>
      <c r="AR15" s="143" t="s">
        <v>179</v>
      </c>
      <c r="AS15" s="154" t="s">
        <v>180</v>
      </c>
    </row>
    <row r="16">
      <c r="A16" s="51" t="s">
        <v>106</v>
      </c>
      <c r="B16" s="51">
        <f>VLOOKUP(A16,SILOMS!C:F,4,0)</f>
        <v>2739</v>
      </c>
      <c r="C16" s="125">
        <v>54.638888888888886</v>
      </c>
      <c r="D16" s="126">
        <f t="shared" ref="D16:D19" si="2">IF(C16*24&lt;1500,1500-(C16*24),IF(C16*24&lt;3000,3000-(C16*24),4000-(C16*24)))
</f>
        <v>188.6666667</v>
      </c>
      <c r="E16" s="62">
        <v>37.18611111</v>
      </c>
      <c r="F16" s="65">
        <f>E16*'Hora por anv'!$H$1</f>
        <v>174.7747222</v>
      </c>
      <c r="G16" s="127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71"/>
      <c r="N16" s="71"/>
      <c r="O16" s="72"/>
      <c r="Q16" s="73" t="s">
        <v>84</v>
      </c>
      <c r="R16" s="72"/>
      <c r="S16" s="72"/>
      <c r="T16" s="75"/>
      <c r="U16" s="75"/>
      <c r="V16" s="75"/>
      <c r="W16" s="75"/>
      <c r="X16" s="82"/>
      <c r="Y16" s="82"/>
      <c r="Z16" s="145"/>
      <c r="AA16" s="82"/>
      <c r="AB16" s="82"/>
      <c r="AC16" s="82"/>
      <c r="AD16" s="82"/>
      <c r="AE16" s="82"/>
      <c r="AF16" s="82"/>
      <c r="AG16" s="82"/>
      <c r="AH16" s="82"/>
      <c r="AI16" s="82"/>
      <c r="AJ16" s="144" t="s">
        <v>139</v>
      </c>
      <c r="AK16" s="82"/>
      <c r="AL16" s="156"/>
      <c r="AM16" s="156"/>
      <c r="AN16" s="82"/>
      <c r="AO16" s="82"/>
      <c r="AP16" s="82"/>
      <c r="AQ16" s="82"/>
      <c r="AR16" s="108"/>
      <c r="AS16" s="154" t="s">
        <v>162</v>
      </c>
    </row>
    <row r="17">
      <c r="A17" s="157" t="s">
        <v>82</v>
      </c>
      <c r="B17" s="51">
        <f>VLOOKUP(A17,SILOMS!C:F,4,0)</f>
        <v>2742</v>
      </c>
      <c r="C17" s="125">
        <v>43.947916666666664</v>
      </c>
      <c r="D17" s="126">
        <f t="shared" si="2"/>
        <v>445.25</v>
      </c>
      <c r="E17" s="62">
        <v>50.875</v>
      </c>
      <c r="F17" s="65">
        <f>E17*'Hora por anv'!$H$1</f>
        <v>239.1125</v>
      </c>
      <c r="G17" s="127">
        <f t="shared" si="1"/>
        <v>8.751842752</v>
      </c>
      <c r="H17" s="161" t="s">
        <v>77</v>
      </c>
      <c r="I17" s="161" t="s">
        <v>77</v>
      </c>
      <c r="J17" s="161" t="s">
        <v>77</v>
      </c>
      <c r="K17" s="161" t="s">
        <v>77</v>
      </c>
      <c r="L17" s="161" t="s">
        <v>77</v>
      </c>
      <c r="M17" s="162"/>
      <c r="N17" s="162"/>
      <c r="O17" s="162"/>
      <c r="P17" s="74"/>
      <c r="Q17" s="120"/>
      <c r="R17" s="120"/>
      <c r="S17" s="120"/>
      <c r="T17" s="112"/>
      <c r="U17" s="112"/>
      <c r="V17" s="112"/>
      <c r="W17" s="112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144" t="s">
        <v>139</v>
      </c>
      <c r="AO17" s="83"/>
      <c r="AP17" s="83"/>
      <c r="AQ17" s="83"/>
      <c r="AR17" s="154"/>
      <c r="AS17" s="108"/>
    </row>
    <row r="18">
      <c r="A18" s="51" t="s">
        <v>67</v>
      </c>
      <c r="B18" s="51">
        <f>VLOOKUP(A18,SILOMS!C:F,4,0)</f>
        <v>2708</v>
      </c>
      <c r="C18" s="125">
        <v>102.68402777777777</v>
      </c>
      <c r="D18" s="126">
        <f t="shared" si="2"/>
        <v>535.5833333</v>
      </c>
      <c r="E18" s="62">
        <v>35.2</v>
      </c>
      <c r="F18" s="65">
        <f>E18*'Hora por anv'!$H$1</f>
        <v>165.44</v>
      </c>
      <c r="G18" s="127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71"/>
      <c r="N18" s="71"/>
      <c r="O18" s="72"/>
      <c r="Q18" s="73" t="s">
        <v>84</v>
      </c>
      <c r="R18" s="72"/>
      <c r="S18" s="72"/>
      <c r="T18" s="75"/>
      <c r="U18" s="75"/>
      <c r="V18" s="75"/>
      <c r="W18" s="75"/>
      <c r="X18" s="82"/>
      <c r="Y18" s="82"/>
      <c r="Z18" s="82"/>
      <c r="AA18" s="82"/>
      <c r="AB18" s="82"/>
      <c r="AC18" s="82"/>
      <c r="AD18" s="82"/>
      <c r="AE18" s="82"/>
      <c r="AF18" s="145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32"/>
      <c r="AS18" s="118"/>
    </row>
    <row r="19">
      <c r="A19" s="51" t="s">
        <v>160</v>
      </c>
      <c r="B19" s="51" t="b">
        <f>VLOOKUP(A19,SILOMS!C:F,4,0)</f>
        <v>0</v>
      </c>
      <c r="C19" s="89">
        <v>141.98263888888889</v>
      </c>
      <c r="D19" s="91">
        <f t="shared" si="2"/>
        <v>592.4166667</v>
      </c>
      <c r="E19" s="62">
        <v>45.49722222</v>
      </c>
      <c r="F19" s="65">
        <f>E19*'Hora por anv'!$H$1</f>
        <v>213.8369444</v>
      </c>
      <c r="G19" s="92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162"/>
      <c r="N19" s="71"/>
      <c r="O19" s="128"/>
      <c r="P19" s="166" t="s">
        <v>139</v>
      </c>
      <c r="Q19" s="73" t="s">
        <v>84</v>
      </c>
      <c r="R19" s="72"/>
      <c r="S19" s="72"/>
      <c r="T19" s="75"/>
      <c r="U19" s="75"/>
      <c r="V19" s="75"/>
      <c r="W19" s="75"/>
      <c r="X19" s="82"/>
      <c r="Y19" s="82"/>
      <c r="Z19" s="82"/>
      <c r="AA19" s="82"/>
      <c r="AB19" s="82"/>
      <c r="AC19" s="82"/>
      <c r="AD19" s="82"/>
      <c r="AE19" s="82"/>
      <c r="AF19" s="82"/>
      <c r="AG19" s="145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71" t="s">
        <v>186</v>
      </c>
      <c r="AS19" s="119"/>
    </row>
    <row r="20">
      <c r="A20" s="51" t="s">
        <v>95</v>
      </c>
      <c r="B20" s="51">
        <f>VLOOKUP(A20,SILOMS!C:F,4,0)</f>
        <v>2704</v>
      </c>
      <c r="C20" s="62">
        <v>4860.0</v>
      </c>
      <c r="D20" s="91">
        <v>160.0</v>
      </c>
      <c r="E20" s="62">
        <v>15.125</v>
      </c>
      <c r="F20" s="170">
        <f>E20*'Hora por anv'!$H$1</f>
        <v>71.0875</v>
      </c>
      <c r="G20" s="92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44" t="s">
        <v>139</v>
      </c>
      <c r="M20" s="71"/>
      <c r="N20" s="71"/>
      <c r="O20" s="78" t="s">
        <v>51</v>
      </c>
      <c r="Q20" s="73" t="s">
        <v>84</v>
      </c>
      <c r="R20" s="72"/>
      <c r="S20" s="72"/>
      <c r="T20" s="75"/>
      <c r="U20" s="75"/>
      <c r="V20" s="75"/>
      <c r="W20" s="75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78" t="s">
        <v>51</v>
      </c>
      <c r="AQ20" s="82"/>
      <c r="AR20" s="108"/>
      <c r="AS20" s="118" t="s">
        <v>187</v>
      </c>
    </row>
    <row r="21">
      <c r="A21" s="51" t="s">
        <v>133</v>
      </c>
      <c r="B21" s="51">
        <f>VLOOKUP(A21,SILOMS!C:F,4,0)</f>
        <v>2720</v>
      </c>
      <c r="C21" s="89">
        <v>137.65972222222223</v>
      </c>
      <c r="D21" s="91">
        <f>IF(C21*24&lt;1500,1500-(C21*24),IF(C21*24&lt;2764.75,2764.75-(C21*24),4000-(C21*24)))
</f>
        <v>696.1666667</v>
      </c>
      <c r="E21" s="62">
        <v>44.45833333</v>
      </c>
      <c r="F21" s="65">
        <f>E21*'Hora por anv'!$H$1</f>
        <v>208.9541667</v>
      </c>
      <c r="G21" s="92">
        <f t="shared" si="1"/>
        <v>15.65885661</v>
      </c>
      <c r="H21" s="68">
        <v>1.0</v>
      </c>
      <c r="I21" s="68">
        <v>1.0</v>
      </c>
      <c r="J21" s="68">
        <v>1.0</v>
      </c>
      <c r="K21" s="68" t="s">
        <v>77</v>
      </c>
      <c r="L21" s="68" t="s">
        <v>77</v>
      </c>
      <c r="M21" s="71"/>
      <c r="N21" s="71"/>
      <c r="O21" s="72"/>
      <c r="Q21" s="73" t="s">
        <v>84</v>
      </c>
      <c r="R21" s="72"/>
      <c r="S21" s="72"/>
      <c r="T21" s="75"/>
      <c r="U21" s="75"/>
      <c r="V21" s="75"/>
      <c r="W21" s="75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97" t="s">
        <v>189</v>
      </c>
      <c r="AS21" s="119" t="s">
        <v>190</v>
      </c>
    </row>
    <row r="22">
      <c r="A22" s="51" t="s">
        <v>130</v>
      </c>
      <c r="B22" s="51">
        <f>VLOOKUP(A22,SILOMS!C:F,4,0)</f>
        <v>2737</v>
      </c>
      <c r="C22" s="58">
        <f>VLOOKUP(A22,SILOMS!O:Q,3,0)</f>
        <v>15.71875</v>
      </c>
      <c r="D22" s="60">
        <f t="shared" ref="D22:D29" si="3">IF(C22*24&lt;1500,1500-(C22*24),IF(C22*24&lt;3000,3000-(C22*24),4000-(C22*24)))
</f>
        <v>1122.75</v>
      </c>
      <c r="E22" s="62">
        <v>45.49722222</v>
      </c>
      <c r="F22" s="65">
        <f>E22*'Hora por anv'!$H$1</f>
        <v>213.8369444</v>
      </c>
      <c r="G22" s="67">
        <f t="shared" si="1"/>
        <v>24.67733073</v>
      </c>
      <c r="H22" s="161" t="s">
        <v>77</v>
      </c>
      <c r="I22" s="161" t="s">
        <v>77</v>
      </c>
      <c r="J22" s="161" t="s">
        <v>77</v>
      </c>
      <c r="K22" s="161" t="s">
        <v>77</v>
      </c>
      <c r="L22" s="161" t="s">
        <v>77</v>
      </c>
      <c r="M22" s="162"/>
      <c r="N22" s="162"/>
      <c r="O22" s="162"/>
      <c r="P22" s="74"/>
      <c r="Q22" s="120"/>
      <c r="R22" s="120"/>
      <c r="S22" s="120"/>
      <c r="T22" s="112"/>
      <c r="U22" s="112"/>
      <c r="V22" s="112"/>
      <c r="W22" s="112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107" t="s">
        <v>210</v>
      </c>
      <c r="AS22" s="108"/>
    </row>
    <row r="23">
      <c r="A23" s="51" t="s">
        <v>85</v>
      </c>
      <c r="B23" s="51" t="b">
        <f>VLOOKUP(A23,SILOMS!C:F,4,0)</f>
        <v>0</v>
      </c>
      <c r="C23" s="181">
        <f>VLOOKUP(A23,SILOMS!O:Q,3,0)</f>
        <v>2.465277778</v>
      </c>
      <c r="D23" s="60">
        <f t="shared" si="3"/>
        <v>1440.833333</v>
      </c>
      <c r="E23" s="62">
        <v>35.2</v>
      </c>
      <c r="F23" s="65">
        <f>E23*'Hora por anv'!$H$1</f>
        <v>165.44</v>
      </c>
      <c r="G23" s="67">
        <f t="shared" si="1"/>
        <v>40.93276515</v>
      </c>
      <c r="H23" s="161"/>
      <c r="I23" s="161"/>
      <c r="J23" s="161"/>
      <c r="K23" s="161"/>
      <c r="L23" s="161"/>
      <c r="M23" s="162"/>
      <c r="N23" s="162"/>
      <c r="O23" s="162"/>
      <c r="P23" s="74"/>
      <c r="Q23" s="120"/>
      <c r="R23" s="120"/>
      <c r="S23" s="120"/>
      <c r="T23" s="112"/>
      <c r="U23" s="112"/>
      <c r="V23" s="112"/>
      <c r="W23" s="11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54"/>
      <c r="AS23" s="108"/>
    </row>
    <row r="24">
      <c r="A24" s="51" t="s">
        <v>137</v>
      </c>
      <c r="B24" s="51" t="b">
        <f>VLOOKUP(A24,SILOMS!C:F,4,0)</f>
        <v>0</v>
      </c>
      <c r="C24" s="58">
        <f>VLOOKUP(A24,SILOMS!O:Q,3,0)</f>
        <v>11.13194444</v>
      </c>
      <c r="D24" s="60">
        <f t="shared" si="3"/>
        <v>1232.833333</v>
      </c>
      <c r="E24" s="62">
        <v>35.2</v>
      </c>
      <c r="F24" s="65">
        <f>E24*'Hora por anv'!$H$1</f>
        <v>165.44</v>
      </c>
      <c r="G24" s="67">
        <f t="shared" si="1"/>
        <v>35.02367424</v>
      </c>
      <c r="H24" s="161" t="s">
        <v>77</v>
      </c>
      <c r="I24" s="161" t="s">
        <v>77</v>
      </c>
      <c r="J24" s="161" t="s">
        <v>77</v>
      </c>
      <c r="K24" s="161" t="s">
        <v>77</v>
      </c>
      <c r="L24" s="161" t="s">
        <v>77</v>
      </c>
      <c r="M24" s="162"/>
      <c r="N24" s="162"/>
      <c r="O24" s="162"/>
      <c r="P24" s="120"/>
      <c r="Q24" s="73" t="s">
        <v>84</v>
      </c>
      <c r="R24" s="120"/>
      <c r="S24" s="120"/>
      <c r="T24" s="112"/>
      <c r="U24" s="112"/>
      <c r="V24" s="112"/>
      <c r="W24" s="112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154"/>
      <c r="AS24" s="154"/>
    </row>
    <row r="25">
      <c r="A25" s="194" t="s">
        <v>108</v>
      </c>
      <c r="B25" s="51">
        <f>VLOOKUP(A25,SILOMS!C:F,4,0)</f>
        <v>2727</v>
      </c>
      <c r="C25" s="181">
        <f>VLOOKUP(A25,SILOMS!O:Q,3,0)</f>
        <v>4.232638889</v>
      </c>
      <c r="D25" s="60">
        <f t="shared" si="3"/>
        <v>1398.416667</v>
      </c>
      <c r="E25" s="62">
        <v>24.75</v>
      </c>
      <c r="F25" s="65">
        <f>E25*'Hora por anv'!$H$1</f>
        <v>116.325</v>
      </c>
      <c r="G25" s="67">
        <f t="shared" si="1"/>
        <v>56.5016835</v>
      </c>
      <c r="H25" s="161" t="s">
        <v>77</v>
      </c>
      <c r="I25" s="161" t="s">
        <v>77</v>
      </c>
      <c r="J25" s="161" t="s">
        <v>77</v>
      </c>
      <c r="K25" s="161" t="s">
        <v>77</v>
      </c>
      <c r="L25" s="161" t="s">
        <v>77</v>
      </c>
      <c r="M25" s="162"/>
      <c r="N25" s="162"/>
      <c r="O25" s="162"/>
      <c r="P25" s="120"/>
      <c r="Q25" s="120"/>
      <c r="R25" s="120"/>
      <c r="S25" s="120"/>
      <c r="T25" s="112"/>
      <c r="U25" s="112"/>
      <c r="V25" s="112"/>
      <c r="W25" s="11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00"/>
      <c r="AQ25" s="83"/>
      <c r="AR25" s="154"/>
      <c r="AS25" s="201"/>
    </row>
    <row r="26">
      <c r="A26" s="51" t="s">
        <v>100</v>
      </c>
      <c r="B26" s="51">
        <f>VLOOKUP(A26,SILOMS!C:F,4,0)</f>
        <v>2731</v>
      </c>
      <c r="C26" s="58">
        <f>VLOOKUP(A26,SILOMS!O:Q,3,0)</f>
        <v>16.51041667</v>
      </c>
      <c r="D26" s="60">
        <f t="shared" si="3"/>
        <v>1103.75</v>
      </c>
      <c r="E26" s="62">
        <v>37.18611111</v>
      </c>
      <c r="F26" s="65">
        <f>E26*'Hora por anv'!$H$1</f>
        <v>174.7747222</v>
      </c>
      <c r="G26" s="67">
        <f t="shared" si="1"/>
        <v>29.68178083</v>
      </c>
      <c r="H26" s="161" t="s">
        <v>77</v>
      </c>
      <c r="I26" s="161" t="s">
        <v>77</v>
      </c>
      <c r="J26" s="161" t="s">
        <v>77</v>
      </c>
      <c r="K26" s="161" t="s">
        <v>77</v>
      </c>
      <c r="L26" s="161" t="s">
        <v>77</v>
      </c>
      <c r="M26" s="162"/>
      <c r="N26" s="162"/>
      <c r="O26" s="162"/>
      <c r="P26" s="120"/>
      <c r="Q26" s="73" t="s">
        <v>84</v>
      </c>
      <c r="R26" s="120"/>
      <c r="S26" s="120"/>
      <c r="T26" s="112"/>
      <c r="U26" s="112"/>
      <c r="V26" s="112"/>
      <c r="W26" s="112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54"/>
      <c r="AS26" s="108"/>
    </row>
    <row r="27">
      <c r="A27" s="203" t="s">
        <v>115</v>
      </c>
      <c r="B27" s="51" t="b">
        <f>VLOOKUP(A27,SILOMS!C:F,4,0)</f>
        <v>0</v>
      </c>
      <c r="C27" s="181">
        <f>VLOOKUP(A27,SILOMS!O:Q,3,0)</f>
        <v>0</v>
      </c>
      <c r="D27" s="60">
        <f t="shared" si="3"/>
        <v>1500</v>
      </c>
      <c r="E27" s="62">
        <v>17.41666667</v>
      </c>
      <c r="F27" s="65">
        <f>E27*'Hora por anv'!$H$1</f>
        <v>81.85833335</v>
      </c>
      <c r="G27" s="67">
        <f t="shared" si="1"/>
        <v>86.1244019</v>
      </c>
      <c r="H27" s="204"/>
      <c r="I27" s="204"/>
      <c r="J27" s="204"/>
      <c r="K27" s="204"/>
      <c r="L27" s="204"/>
      <c r="M27" s="204"/>
      <c r="N27" s="204"/>
      <c r="O27" s="204"/>
      <c r="P27" s="132"/>
      <c r="Q27" s="205"/>
      <c r="R27" s="204"/>
      <c r="S27" s="204"/>
      <c r="T27" s="204"/>
      <c r="U27" s="204"/>
      <c r="V27" s="204"/>
      <c r="W27" s="112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200"/>
      <c r="AI27" s="83"/>
      <c r="AJ27" s="83"/>
      <c r="AK27" s="83"/>
      <c r="AL27" s="83"/>
      <c r="AM27" s="83"/>
      <c r="AN27" s="83"/>
      <c r="AO27" s="83"/>
      <c r="AP27" s="83"/>
      <c r="AQ27" s="83"/>
      <c r="AR27" s="154"/>
      <c r="AS27" s="201"/>
    </row>
    <row r="28" hidden="1">
      <c r="A28" s="51" t="s">
        <v>92</v>
      </c>
      <c r="B28" s="51" t="b">
        <f>VLOOKUP(A28,SILOMS!C:F,4,0)</f>
        <v>0</v>
      </c>
      <c r="C28" s="58">
        <f>VLOOKUP(A28,SILOMS!O:Q,3,0)</f>
        <v>208.2083333</v>
      </c>
      <c r="D28" s="60">
        <f t="shared" si="3"/>
        <v>-997</v>
      </c>
      <c r="E28" s="51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61" t="s">
        <v>77</v>
      </c>
      <c r="I28" s="161" t="s">
        <v>77</v>
      </c>
      <c r="J28" s="161" t="s">
        <v>77</v>
      </c>
      <c r="K28" s="161" t="s">
        <v>77</v>
      </c>
      <c r="L28" s="161" t="s">
        <v>77</v>
      </c>
      <c r="M28" s="162"/>
      <c r="N28" s="162"/>
      <c r="O28" s="162"/>
      <c r="P28" s="120"/>
      <c r="Q28" s="120"/>
      <c r="R28" s="120"/>
      <c r="S28" s="120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154"/>
      <c r="AS28" s="108"/>
    </row>
    <row r="29" hidden="1">
      <c r="A29" s="157" t="s">
        <v>104</v>
      </c>
      <c r="B29" s="51" t="b">
        <f>VLOOKUP(A29,SILOMS!C:F,4,0)</f>
        <v>0</v>
      </c>
      <c r="C29" s="58">
        <f>VLOOKUP(A29,SILOMS!O:Q,3,0)</f>
        <v>120.3923611</v>
      </c>
      <c r="D29" s="60">
        <f t="shared" si="3"/>
        <v>110.5833333</v>
      </c>
      <c r="E29" s="51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61" t="s">
        <v>77</v>
      </c>
      <c r="I29" s="161" t="s">
        <v>77</v>
      </c>
      <c r="J29" s="161" t="s">
        <v>77</v>
      </c>
      <c r="K29" s="161" t="s">
        <v>77</v>
      </c>
      <c r="L29" s="161" t="s">
        <v>77</v>
      </c>
      <c r="M29" s="162"/>
      <c r="N29" s="162"/>
      <c r="O29" s="162"/>
      <c r="P29" s="120"/>
      <c r="Q29" s="120"/>
      <c r="R29" s="120"/>
      <c r="S29" s="120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83"/>
      <c r="AG29" s="200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154"/>
      <c r="AS29" s="108"/>
    </row>
    <row r="30" hidden="1">
      <c r="A30" s="51" t="s">
        <v>65</v>
      </c>
      <c r="B30" s="51" t="b">
        <f>VLOOKUP(A30,SILOMS!C:F,4,0)</f>
        <v>0</v>
      </c>
      <c r="C30" s="58">
        <f>VLOOKUP(A30,SILOMS!O:Q,3,0)</f>
        <v>214.1354167</v>
      </c>
      <c r="D30" s="60">
        <f>IF(C30*24&lt;1500,1500-(C30*24),IF(C30*24&lt;3000,3000-(C30*24),5250-(C30*24)))
</f>
        <v>110.75</v>
      </c>
      <c r="E30" s="51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1"/>
      <c r="N30" s="71"/>
      <c r="O30" s="78" t="s">
        <v>51</v>
      </c>
      <c r="P30" s="216"/>
      <c r="Q30" s="94" t="s">
        <v>99</v>
      </c>
      <c r="R30" s="72"/>
      <c r="S30" s="128"/>
      <c r="T30" s="75"/>
      <c r="U30" s="75"/>
      <c r="V30" s="75"/>
      <c r="W30" s="218" t="s">
        <v>220</v>
      </c>
      <c r="X30" s="172"/>
      <c r="Y30" s="172"/>
      <c r="Z30" s="172"/>
      <c r="AA30" s="173"/>
      <c r="AB30" s="78" t="s">
        <v>51</v>
      </c>
      <c r="AC30" s="75"/>
      <c r="AD30" s="75"/>
      <c r="AE30" s="75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43" t="s">
        <v>221</v>
      </c>
      <c r="AS30" s="118"/>
    </row>
    <row r="31" hidden="1">
      <c r="A31" s="51" t="s">
        <v>57</v>
      </c>
      <c r="B31" s="51">
        <f>VLOOKUP(A31,SILOMS!C:F,4,0)</f>
        <v>2738</v>
      </c>
      <c r="C31" s="181">
        <f>VLOOKUP(A31,SILOMS!O:Q,3,0)</f>
        <v>4.170138889</v>
      </c>
      <c r="D31" s="60">
        <f t="shared" ref="D31:D32" si="4">IF(C31*24&lt;1500,1500-(C31*24),IF(C31*24&lt;3000,3000-(C31*24),4000-(C31*24)))
</f>
        <v>1399.916667</v>
      </c>
      <c r="E31" s="51">
        <f>VLOOKUP(B31,'Hora por anv'!B:D,3,0)</f>
        <v>55.52851064</v>
      </c>
      <c r="F31" s="65">
        <f>E31*'Hora por anv'!$H$1</f>
        <v>260.984</v>
      </c>
      <c r="G31" s="67">
        <f t="shared" si="1"/>
        <v>25.21077282</v>
      </c>
      <c r="H31" s="161" t="s">
        <v>77</v>
      </c>
      <c r="I31" s="161" t="s">
        <v>77</v>
      </c>
      <c r="J31" s="161" t="s">
        <v>77</v>
      </c>
      <c r="K31" s="161" t="s">
        <v>77</v>
      </c>
      <c r="L31" s="161" t="s">
        <v>77</v>
      </c>
      <c r="M31" s="162"/>
      <c r="N31" s="162"/>
      <c r="O31" s="162"/>
      <c r="P31" s="120"/>
      <c r="Q31" s="120"/>
      <c r="R31" s="120"/>
      <c r="S31" s="120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83"/>
      <c r="AG31" s="83"/>
      <c r="AH31" s="83"/>
      <c r="AI31" s="83"/>
      <c r="AJ31" s="83"/>
      <c r="AK31" s="83"/>
      <c r="AL31" s="200"/>
      <c r="AM31" s="83"/>
      <c r="AN31" s="83"/>
      <c r="AO31" s="83"/>
      <c r="AP31" s="83"/>
      <c r="AQ31" s="83"/>
      <c r="AR31" s="154"/>
      <c r="AS31" s="108"/>
    </row>
    <row r="32" hidden="1">
      <c r="A32" s="51" t="s">
        <v>134</v>
      </c>
      <c r="B32" s="51" t="b">
        <f>VLOOKUP(A32,SILOMS!C:F,4,0)</f>
        <v>0</v>
      </c>
      <c r="C32" s="58">
        <f>VLOOKUP(A32,SILOMS!O:Q,3,0)</f>
        <v>186.6493056</v>
      </c>
      <c r="D32" s="60">
        <f t="shared" si="4"/>
        <v>-479.5833333</v>
      </c>
      <c r="E32" s="51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61" t="s">
        <v>77</v>
      </c>
      <c r="I32" s="161" t="s">
        <v>77</v>
      </c>
      <c r="J32" s="161" t="s">
        <v>77</v>
      </c>
      <c r="K32" s="161" t="s">
        <v>77</v>
      </c>
      <c r="L32" s="161" t="s">
        <v>77</v>
      </c>
      <c r="M32" s="162"/>
      <c r="N32" s="162"/>
      <c r="O32" s="162"/>
      <c r="P32" s="120"/>
      <c r="Q32" s="120"/>
      <c r="R32" s="120"/>
      <c r="S32" s="120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154"/>
      <c r="AS32" s="108"/>
    </row>
    <row r="33" hidden="1">
      <c r="A33" s="51" t="s">
        <v>140</v>
      </c>
      <c r="B33" s="51" t="b">
        <f>VLOOKUP(A33,SILOMS!C:F,4,0)</f>
        <v>0</v>
      </c>
      <c r="C33" s="58">
        <f>VLOOKUP(A33,SILOMS!O:Q,3,0)</f>
        <v>216.6666667</v>
      </c>
      <c r="D33" s="60">
        <f>IF(C33*24&lt;1500,1500-(C33*24),IF(C33*24&lt;3000,3000-(C33*24),5200-(C33*24)))
</f>
        <v>0</v>
      </c>
      <c r="E33" s="51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4" t="s">
        <v>77</v>
      </c>
      <c r="I33" s="104" t="s">
        <v>77</v>
      </c>
      <c r="J33" s="104" t="s">
        <v>77</v>
      </c>
      <c r="K33" s="104" t="s">
        <v>77</v>
      </c>
      <c r="L33" s="104" t="s">
        <v>77</v>
      </c>
      <c r="M33" s="71"/>
      <c r="N33" s="71"/>
      <c r="O33" s="78" t="s">
        <v>51</v>
      </c>
      <c r="P33" s="216"/>
      <c r="Q33" s="94" t="s">
        <v>99</v>
      </c>
      <c r="R33" s="72"/>
      <c r="S33" s="72"/>
      <c r="T33" s="78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221" t="s">
        <v>225</v>
      </c>
      <c r="AS33" s="84"/>
    </row>
    <row r="34" hidden="1">
      <c r="A34" s="51" t="s">
        <v>145</v>
      </c>
      <c r="B34" s="51" t="b">
        <f>VLOOKUP(A34,SILOMS!C:F,4,0)</f>
        <v>0</v>
      </c>
      <c r="C34" s="58">
        <f>VLOOKUP(A34,SILOMS!O:Q,3,0)</f>
        <v>201.3506944</v>
      </c>
      <c r="D34" s="60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61">
        <v>1.0</v>
      </c>
      <c r="I34" s="161">
        <v>1.0</v>
      </c>
      <c r="J34" s="161">
        <v>1.0</v>
      </c>
      <c r="K34" s="161"/>
      <c r="L34" s="161"/>
      <c r="M34" s="162"/>
      <c r="N34" s="162"/>
      <c r="O34" s="162"/>
      <c r="P34" s="120"/>
      <c r="Q34" s="120"/>
      <c r="R34" s="120"/>
      <c r="S34" s="120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54"/>
      <c r="AS34" s="118"/>
    </row>
    <row r="35" hidden="1">
      <c r="A35" s="51" t="s">
        <v>152</v>
      </c>
      <c r="B35" s="51" t="b">
        <f>VLOOKUP(A35,SILOMS!C:F,4,0)</f>
        <v>0</v>
      </c>
      <c r="C35" s="58">
        <f>VLOOKUP(A35,SILOMS!O:Q,3,0)</f>
        <v>192.9097222</v>
      </c>
      <c r="D35" s="60">
        <f t="shared" si="5"/>
        <v>-629.8333333</v>
      </c>
      <c r="E35" s="51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1"/>
      <c r="N35" s="71"/>
      <c r="O35" s="78" t="s">
        <v>51</v>
      </c>
      <c r="P35" s="78" t="s">
        <v>51</v>
      </c>
      <c r="Q35" s="72"/>
      <c r="R35" s="72"/>
      <c r="S35" s="72"/>
      <c r="T35" s="75"/>
      <c r="U35" s="75"/>
      <c r="V35" s="224"/>
      <c r="W35" s="75"/>
      <c r="X35" s="75"/>
      <c r="Y35" s="75"/>
      <c r="Z35" s="75"/>
      <c r="AA35" s="75"/>
      <c r="AB35" s="75"/>
      <c r="AC35" s="75"/>
      <c r="AD35" s="75"/>
      <c r="AE35" s="75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4"/>
      <c r="AS35" s="108"/>
    </row>
    <row r="36" hidden="1">
      <c r="A36" s="51" t="s">
        <v>158</v>
      </c>
      <c r="B36" s="51" t="b">
        <f>VLOOKUP(A36,SILOMS!C:F,4,0)</f>
        <v>0</v>
      </c>
      <c r="C36" s="58">
        <f>VLOOKUP(A36,SILOMS!O:Q,3,0)</f>
        <v>0</v>
      </c>
      <c r="D36" s="60">
        <f t="shared" si="5"/>
        <v>1500</v>
      </c>
      <c r="E36" s="51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61">
        <v>1.0</v>
      </c>
      <c r="I36" s="161">
        <v>1.0</v>
      </c>
      <c r="J36" s="161">
        <v>1.0</v>
      </c>
      <c r="K36" s="161"/>
      <c r="L36" s="161"/>
      <c r="M36" s="162"/>
      <c r="N36" s="162"/>
      <c r="O36" s="162"/>
      <c r="P36" s="120"/>
      <c r="Q36" s="120"/>
      <c r="R36" s="120"/>
      <c r="S36" s="120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83"/>
      <c r="AG36" s="83"/>
      <c r="AH36" s="83"/>
      <c r="AI36" s="83"/>
      <c r="AJ36" s="200"/>
      <c r="AK36" s="83"/>
      <c r="AL36" s="83"/>
      <c r="AM36" s="83"/>
      <c r="AN36" s="83"/>
      <c r="AO36" s="83"/>
      <c r="AP36" s="83"/>
      <c r="AQ36" s="83"/>
      <c r="AR36" s="225"/>
      <c r="AS36" s="108"/>
    </row>
    <row r="37" hidden="1">
      <c r="A37" s="51" t="s">
        <v>163</v>
      </c>
      <c r="B37" s="51" t="b">
        <f>VLOOKUP(A37,SILOMS!C:F,4,0)</f>
        <v>0</v>
      </c>
      <c r="C37" s="58">
        <f>VLOOKUP(A37,SILOMS!O:Q,3,0)</f>
        <v>222.8576389</v>
      </c>
      <c r="D37" s="60">
        <f t="shared" si="5"/>
        <v>-1348.583333</v>
      </c>
      <c r="E37" s="51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44" t="s">
        <v>139</v>
      </c>
      <c r="J37" s="68">
        <v>1.0</v>
      </c>
      <c r="K37" s="68"/>
      <c r="L37" s="68"/>
      <c r="M37" s="71"/>
      <c r="N37" s="71"/>
      <c r="O37" s="78" t="s">
        <v>51</v>
      </c>
      <c r="P37" s="78" t="s">
        <v>51</v>
      </c>
      <c r="Q37" s="72"/>
      <c r="R37" s="72"/>
      <c r="S37" s="72"/>
      <c r="T37" s="75"/>
      <c r="U37" s="121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5"/>
      <c r="AS37" s="118"/>
    </row>
    <row r="38" hidden="1">
      <c r="A38" s="51" t="s">
        <v>170</v>
      </c>
      <c r="B38" s="51" t="b">
        <f>VLOOKUP(A38,SILOMS!C:F,4,0)</f>
        <v>0</v>
      </c>
      <c r="C38" s="58">
        <f>VLOOKUP(A38,SILOMS!O:Q,3,0)</f>
        <v>139.4548611</v>
      </c>
      <c r="D38" s="60">
        <f t="shared" si="5"/>
        <v>653.0833333</v>
      </c>
      <c r="E38" s="51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61" t="s">
        <v>77</v>
      </c>
      <c r="I38" s="161" t="s">
        <v>77</v>
      </c>
      <c r="J38" s="161" t="s">
        <v>77</v>
      </c>
      <c r="K38" s="161" t="s">
        <v>77</v>
      </c>
      <c r="L38" s="161" t="s">
        <v>77</v>
      </c>
      <c r="M38" s="162"/>
      <c r="N38" s="162"/>
      <c r="O38" s="162"/>
      <c r="P38" s="120"/>
      <c r="Q38" s="120"/>
      <c r="R38" s="120"/>
      <c r="S38" s="120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154"/>
      <c r="AS38" s="108"/>
    </row>
    <row r="39" hidden="1">
      <c r="A39" s="51" t="s">
        <v>89</v>
      </c>
      <c r="B39" s="51">
        <f>VLOOKUP(A39,SILOMS!C:F,4,0)</f>
        <v>2702</v>
      </c>
      <c r="C39" s="58">
        <f>VLOOKUP(A39,SILOMS!O:Q,3,0)</f>
        <v>23.03472222</v>
      </c>
      <c r="D39" s="60">
        <f t="shared" si="5"/>
        <v>947.1666667</v>
      </c>
      <c r="E39" s="51">
        <f>VLOOKUP(B39,'Hora por anv'!B:D,3,0)</f>
        <v>42.09219858</v>
      </c>
      <c r="F39" s="65">
        <f>E39*'Hora por anv'!$H$1</f>
        <v>197.8333333</v>
      </c>
      <c r="G39" s="67">
        <f t="shared" si="1"/>
        <v>22.5021904</v>
      </c>
      <c r="H39" s="161">
        <v>1.0</v>
      </c>
      <c r="I39" s="161">
        <v>1.0</v>
      </c>
      <c r="J39" s="161">
        <v>1.0</v>
      </c>
      <c r="K39" s="161"/>
      <c r="L39" s="161"/>
      <c r="M39" s="162"/>
      <c r="N39" s="162"/>
      <c r="O39" s="162"/>
      <c r="P39" s="216"/>
      <c r="Q39" s="73" t="s">
        <v>84</v>
      </c>
      <c r="R39" s="120"/>
      <c r="S39" s="120"/>
      <c r="T39" s="112"/>
      <c r="U39" s="112"/>
      <c r="V39" s="112"/>
      <c r="W39" s="227" t="s">
        <v>235</v>
      </c>
      <c r="X39" s="75"/>
      <c r="Y39" s="75"/>
      <c r="Z39" s="75"/>
      <c r="AA39" s="112"/>
      <c r="AB39" s="112"/>
      <c r="AC39" s="112"/>
      <c r="AD39" s="112"/>
      <c r="AE39" s="112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43" t="s">
        <v>237</v>
      </c>
      <c r="AS39" s="119" t="s">
        <v>238</v>
      </c>
    </row>
    <row r="40" hidden="1">
      <c r="A40" s="51" t="s">
        <v>173</v>
      </c>
      <c r="B40" s="51" t="b">
        <f>VLOOKUP(A40,SILOMS!C:F,4,0)</f>
        <v>0</v>
      </c>
      <c r="C40" s="58">
        <f>VLOOKUP(A40,SILOMS!O:Q,3,0)</f>
        <v>20.08680556</v>
      </c>
      <c r="D40" s="60">
        <f t="shared" si="5"/>
        <v>1017.916667</v>
      </c>
      <c r="E40" s="51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61" t="s">
        <v>77</v>
      </c>
      <c r="I40" s="161" t="s">
        <v>77</v>
      </c>
      <c r="J40" s="161" t="s">
        <v>77</v>
      </c>
      <c r="K40" s="161" t="s">
        <v>77</v>
      </c>
      <c r="L40" s="161" t="s">
        <v>77</v>
      </c>
      <c r="M40" s="162"/>
      <c r="N40" s="162"/>
      <c r="O40" s="162"/>
      <c r="P40" s="120"/>
      <c r="Q40" s="120"/>
      <c r="R40" s="120"/>
      <c r="S40" s="120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154"/>
      <c r="AS40" s="108"/>
    </row>
    <row r="41" hidden="1">
      <c r="A41" s="231" t="s">
        <v>126</v>
      </c>
      <c r="B41" s="51" t="b">
        <f>VLOOKUP(A41,SILOMS!C:F,4,0)</f>
        <v>0</v>
      </c>
      <c r="C41" s="232">
        <f>VLOOKUP(A41,SILOMS!O:Q,3,0)</f>
        <v>5.954861111</v>
      </c>
      <c r="D41" s="233">
        <f t="shared" si="5"/>
        <v>1357.083333</v>
      </c>
      <c r="E41" s="231" t="str">
        <f>VLOOKUP(B41,'Hora por anv'!B:D,3,0)</f>
        <v>#N/A</v>
      </c>
      <c r="F41" s="234" t="str">
        <f>E41*'Hora por anv'!$H$1</f>
        <v>#N/A</v>
      </c>
      <c r="G41" s="235" t="str">
        <f t="shared" si="1"/>
        <v>#N/A</v>
      </c>
      <c r="H41" s="236">
        <v>1.0</v>
      </c>
      <c r="I41" s="236">
        <v>1.0</v>
      </c>
      <c r="J41" s="236">
        <v>1.0</v>
      </c>
      <c r="K41" s="236"/>
      <c r="L41" s="236"/>
      <c r="M41" s="236"/>
      <c r="N41" s="236"/>
      <c r="O41" s="236"/>
      <c r="P41" s="237"/>
      <c r="Q41" s="238" t="s">
        <v>84</v>
      </c>
      <c r="R41" s="236"/>
      <c r="S41" s="236"/>
      <c r="T41" s="112"/>
      <c r="U41" s="112"/>
      <c r="V41" s="112"/>
      <c r="W41" s="112"/>
      <c r="X41" s="239"/>
      <c r="Y41" s="239"/>
      <c r="Z41" s="239"/>
      <c r="AA41" s="239"/>
      <c r="AB41" s="239"/>
      <c r="AC41" s="239"/>
      <c r="AD41" s="239"/>
      <c r="AE41" s="239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84" t="s">
        <v>239</v>
      </c>
      <c r="AS41" s="241"/>
    </row>
    <row r="42" hidden="1">
      <c r="A42" s="157" t="s">
        <v>178</v>
      </c>
      <c r="B42" s="51" t="b">
        <f>VLOOKUP(A42,SILOMS!C:F,4,0)</f>
        <v>0</v>
      </c>
      <c r="C42" s="232">
        <f>VLOOKUP(A42,SILOMS!O:Q,3,0)</f>
        <v>75.78819444</v>
      </c>
      <c r="D42" s="233">
        <f t="shared" si="5"/>
        <v>1181.083333</v>
      </c>
      <c r="E42" s="231" t="str">
        <f>VLOOKUP(B42,'Hora por anv'!B:D,3,0)</f>
        <v>#N/A</v>
      </c>
      <c r="F42" s="234" t="str">
        <f>E42*'Hora por anv'!$H$1</f>
        <v>#N/A</v>
      </c>
      <c r="G42" s="235" t="str">
        <f t="shared" si="1"/>
        <v>#N/A</v>
      </c>
      <c r="H42" s="243" t="s">
        <v>77</v>
      </c>
      <c r="I42" s="243" t="s">
        <v>77</v>
      </c>
      <c r="J42" s="243" t="s">
        <v>77</v>
      </c>
      <c r="K42" s="243" t="s">
        <v>77</v>
      </c>
      <c r="L42" s="243" t="s">
        <v>77</v>
      </c>
      <c r="M42" s="244"/>
      <c r="N42" s="244"/>
      <c r="O42" s="244"/>
      <c r="P42" s="74"/>
      <c r="Q42" s="74"/>
      <c r="R42" s="74"/>
      <c r="S42" s="74"/>
      <c r="T42" s="245"/>
      <c r="U42" s="245"/>
      <c r="V42" s="245"/>
      <c r="W42" s="112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54"/>
      <c r="AS42" s="241"/>
    </row>
    <row r="43">
      <c r="A43" s="19"/>
      <c r="B43" s="19"/>
      <c r="C43" s="19"/>
      <c r="D43" s="19"/>
      <c r="E43" s="248"/>
      <c r="F43" s="14"/>
      <c r="G43" s="19"/>
      <c r="H43" s="14"/>
      <c r="I43" s="14"/>
      <c r="J43" s="14"/>
      <c r="K43" s="14"/>
      <c r="L43" s="14"/>
      <c r="M43" s="14"/>
      <c r="N43" s="14"/>
      <c r="O43" s="14"/>
      <c r="P43" s="19"/>
      <c r="Q43" s="248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19"/>
      <c r="B44" s="19"/>
      <c r="C44" s="19"/>
      <c r="D44" s="19"/>
      <c r="E44" s="248"/>
      <c r="F44" s="14"/>
      <c r="G44" s="19"/>
      <c r="H44" s="14"/>
      <c r="I44" s="14"/>
      <c r="J44" s="14"/>
      <c r="K44" s="14"/>
      <c r="L44" s="14"/>
      <c r="M44" s="14"/>
      <c r="N44" s="14"/>
      <c r="O44" s="14"/>
      <c r="P44" s="19"/>
      <c r="Q44" s="248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9"/>
      <c r="B45" s="19"/>
      <c r="C45" s="19"/>
      <c r="D45" s="19"/>
      <c r="E45" s="248"/>
      <c r="F45" s="14"/>
      <c r="G45" s="19"/>
      <c r="H45" s="14"/>
      <c r="I45" s="14"/>
      <c r="J45" s="14"/>
      <c r="K45" s="14"/>
      <c r="L45" s="14"/>
      <c r="M45" s="14"/>
      <c r="N45" s="14"/>
      <c r="O45" s="14"/>
      <c r="P45" s="19"/>
      <c r="Q45" s="248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19"/>
      <c r="B46" s="19"/>
      <c r="C46" s="19"/>
      <c r="D46" s="19"/>
      <c r="E46" s="249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9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19"/>
      <c r="B47" s="19"/>
      <c r="C47" s="19"/>
      <c r="D47" s="19"/>
      <c r="E47" s="250"/>
      <c r="F47" s="14"/>
      <c r="G47" s="19"/>
      <c r="H47" s="14"/>
      <c r="I47" s="14"/>
      <c r="J47" s="14"/>
      <c r="K47" s="14"/>
      <c r="L47" s="14"/>
      <c r="M47" s="14"/>
      <c r="N47" s="14"/>
      <c r="O47" s="14"/>
      <c r="P47" s="19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51"/>
      <c r="B48" s="252"/>
      <c r="C48" s="252"/>
      <c r="D48" s="253"/>
      <c r="E48" s="252"/>
      <c r="F48" s="252"/>
      <c r="G48" s="252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1"/>
      <c r="U48" s="251"/>
      <c r="V48" s="251"/>
      <c r="W48" s="251"/>
      <c r="X48" s="251"/>
      <c r="Y48" s="251"/>
      <c r="Z48" s="251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52"/>
    </row>
    <row r="49">
      <c r="A49" s="19"/>
      <c r="B49" s="19"/>
      <c r="C49" s="19"/>
      <c r="D49" s="19"/>
      <c r="E49" s="248"/>
      <c r="F49" s="14"/>
      <c r="G49" s="19"/>
      <c r="H49" s="14"/>
      <c r="I49" s="14"/>
      <c r="J49" s="14"/>
      <c r="K49" s="14"/>
      <c r="L49" s="14"/>
      <c r="M49" s="14"/>
      <c r="N49" s="14"/>
      <c r="O49" s="14"/>
      <c r="P49" s="19"/>
      <c r="Q49" s="248"/>
      <c r="R49" s="14"/>
      <c r="S49" s="14"/>
      <c r="T49" s="14"/>
      <c r="U49" s="14"/>
      <c r="V49" s="14"/>
      <c r="W49" s="14"/>
      <c r="X49" s="255" t="s">
        <v>1</v>
      </c>
      <c r="Y49" s="255" t="s">
        <v>4</v>
      </c>
      <c r="Z49" s="256" t="s">
        <v>5</v>
      </c>
      <c r="AA49" s="257" t="s">
        <v>7</v>
      </c>
      <c r="AB49" s="135" t="s">
        <v>3</v>
      </c>
      <c r="AC49" s="258" t="s">
        <v>8</v>
      </c>
      <c r="AD49" s="259" t="s">
        <v>9</v>
      </c>
      <c r="AE49" s="260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9"/>
      <c r="B50" s="19"/>
      <c r="C50" s="14"/>
      <c r="D50" s="19"/>
      <c r="E50" s="261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9"/>
      <c r="Q50" s="14"/>
      <c r="R50" s="14"/>
      <c r="S50" s="14"/>
      <c r="T50" s="14"/>
      <c r="U50" s="14"/>
      <c r="V50" s="14"/>
      <c r="W50" s="14"/>
      <c r="X50" s="262" t="s">
        <v>12</v>
      </c>
      <c r="Y50" s="263">
        <v>2741.0</v>
      </c>
      <c r="Z50" s="29">
        <v>3275.8</v>
      </c>
      <c r="AA50" s="264">
        <f t="shared" ref="AA50:AA73" si="6">(Z50/AC50)/12</f>
        <v>45.49722222</v>
      </c>
      <c r="AB50" s="265" t="s">
        <v>160</v>
      </c>
      <c r="AC50" s="263">
        <v>6.0</v>
      </c>
      <c r="AD50" s="148"/>
      <c r="AE50" s="266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9"/>
      <c r="B51" s="19"/>
      <c r="C51" s="14"/>
      <c r="D51" s="19"/>
      <c r="E51" s="267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9"/>
      <c r="R51" s="14"/>
      <c r="S51" s="14"/>
      <c r="T51" s="14"/>
      <c r="U51" s="14"/>
      <c r="V51" s="14"/>
      <c r="W51" s="14"/>
      <c r="X51" s="262" t="s">
        <v>12</v>
      </c>
      <c r="Y51" s="263">
        <v>2738.0</v>
      </c>
      <c r="Z51" s="29">
        <v>3275.8</v>
      </c>
      <c r="AA51" s="264">
        <f t="shared" si="6"/>
        <v>45.49722222</v>
      </c>
      <c r="AB51" s="265" t="s">
        <v>59</v>
      </c>
      <c r="AC51" s="263">
        <v>6.0</v>
      </c>
      <c r="AD51" s="266"/>
      <c r="AE51" s="266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9"/>
      <c r="B52" s="19"/>
      <c r="C52" s="14"/>
      <c r="D52" s="19"/>
      <c r="E52" s="267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9"/>
      <c r="R52" s="14"/>
      <c r="S52" s="14"/>
      <c r="T52" s="14"/>
      <c r="U52" s="14"/>
      <c r="V52" s="14"/>
      <c r="W52" s="14"/>
      <c r="X52" s="272" t="s">
        <v>114</v>
      </c>
      <c r="Y52" s="273">
        <v>2708.0</v>
      </c>
      <c r="Z52" s="56">
        <v>1689.6</v>
      </c>
      <c r="AA52" s="274">
        <f t="shared" si="6"/>
        <v>35.2</v>
      </c>
      <c r="AB52" s="275" t="s">
        <v>67</v>
      </c>
      <c r="AC52" s="273">
        <v>4.0</v>
      </c>
      <c r="AD52" s="266"/>
      <c r="AE52" s="266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276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277" t="s">
        <v>73</v>
      </c>
      <c r="Y53" s="274">
        <v>2723.0</v>
      </c>
      <c r="Z53" s="29">
        <v>511.5</v>
      </c>
      <c r="AA53" s="274">
        <f t="shared" si="6"/>
        <v>42.625</v>
      </c>
      <c r="AB53" s="279" t="s">
        <v>76</v>
      </c>
      <c r="AC53" s="274">
        <v>1.0</v>
      </c>
      <c r="AD53" s="175"/>
      <c r="AE53" s="175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276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85" t="s">
        <v>78</v>
      </c>
      <c r="Y54" s="282">
        <v>2742.0</v>
      </c>
      <c r="Z54" s="29">
        <v>610.5</v>
      </c>
      <c r="AA54" s="274">
        <f t="shared" si="6"/>
        <v>50.875</v>
      </c>
      <c r="AB54" s="283" t="s">
        <v>82</v>
      </c>
      <c r="AC54" s="282">
        <v>1.0</v>
      </c>
      <c r="AD54" s="216"/>
      <c r="AE54" s="175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276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277" t="s">
        <v>243</v>
      </c>
      <c r="Y55" s="274">
        <v>2703.0</v>
      </c>
      <c r="Z55" s="285">
        <v>231.0</v>
      </c>
      <c r="AA55" s="274">
        <f t="shared" si="6"/>
        <v>19.25</v>
      </c>
      <c r="AB55" s="279" t="s">
        <v>74</v>
      </c>
      <c r="AC55" s="274">
        <v>1.0</v>
      </c>
      <c r="AD55" s="286">
        <v>46143.0</v>
      </c>
      <c r="AE55" s="287" t="s">
        <v>244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289"/>
    </row>
    <row r="56">
      <c r="A56" s="14"/>
      <c r="B56" s="14"/>
      <c r="C56" s="14"/>
      <c r="D56" s="276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85" t="s">
        <v>245</v>
      </c>
      <c r="Y56" s="282">
        <v>2702.0</v>
      </c>
      <c r="Z56" s="285">
        <v>209.0</v>
      </c>
      <c r="AA56" s="274">
        <f t="shared" si="6"/>
        <v>17.41666667</v>
      </c>
      <c r="AB56" s="283" t="s">
        <v>115</v>
      </c>
      <c r="AC56" s="282">
        <v>1.0</v>
      </c>
      <c r="AD56" s="291" t="s">
        <v>246</v>
      </c>
      <c r="AE56" s="287" t="s">
        <v>247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276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277" t="s">
        <v>91</v>
      </c>
      <c r="Y57" s="203">
        <v>2704.0</v>
      </c>
      <c r="Z57" s="56">
        <v>181.5</v>
      </c>
      <c r="AA57" s="274">
        <f t="shared" si="6"/>
        <v>15.125</v>
      </c>
      <c r="AB57" s="292" t="s">
        <v>95</v>
      </c>
      <c r="AC57" s="203">
        <v>1.0</v>
      </c>
      <c r="AD57" s="175"/>
      <c r="AE57" s="175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293" t="s">
        <v>51</v>
      </c>
      <c r="B58" s="293" t="s">
        <v>139</v>
      </c>
      <c r="C58" s="19"/>
      <c r="D58" s="294"/>
      <c r="E58" s="19"/>
      <c r="F58" s="19"/>
      <c r="G58" s="19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85" t="s">
        <v>97</v>
      </c>
      <c r="Y58" s="148">
        <v>2731.0</v>
      </c>
      <c r="Z58" s="56">
        <v>1338.7</v>
      </c>
      <c r="AA58" s="274">
        <f t="shared" si="6"/>
        <v>37.18611111</v>
      </c>
      <c r="AB58" s="287" t="s">
        <v>100</v>
      </c>
      <c r="AC58" s="148">
        <v>3.0</v>
      </c>
      <c r="AD58" s="216"/>
      <c r="AE58" s="175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295">
        <v>4000.0</v>
      </c>
      <c r="B59" s="293">
        <v>1500.0</v>
      </c>
      <c r="C59" s="19"/>
      <c r="D59" s="294"/>
      <c r="E59" s="19"/>
      <c r="F59" s="19"/>
      <c r="G59" s="19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85" t="s">
        <v>97</v>
      </c>
      <c r="Y59" s="148">
        <v>2733.0</v>
      </c>
      <c r="Z59" s="56">
        <v>1338.7</v>
      </c>
      <c r="AA59" s="274">
        <f t="shared" si="6"/>
        <v>37.18611111</v>
      </c>
      <c r="AB59" s="287" t="s">
        <v>90</v>
      </c>
      <c r="AC59" s="148">
        <v>3.0</v>
      </c>
      <c r="AD59" s="175"/>
      <c r="AE59" s="175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9" t="s">
        <v>248</v>
      </c>
      <c r="C60" s="19"/>
      <c r="D60" s="294"/>
      <c r="E60" s="19"/>
      <c r="F60" s="19"/>
      <c r="G60" s="19"/>
      <c r="H60" s="14"/>
      <c r="I60" s="14"/>
      <c r="J60" s="14"/>
      <c r="K60" s="14"/>
      <c r="L60" s="14"/>
      <c r="M60" s="14"/>
      <c r="N60" s="14"/>
      <c r="O60" s="14"/>
      <c r="P60" s="296"/>
      <c r="Q60" s="14"/>
      <c r="R60" s="14"/>
      <c r="S60" s="14"/>
      <c r="T60" s="14"/>
      <c r="U60" s="14"/>
      <c r="V60" s="14"/>
      <c r="W60" s="14"/>
      <c r="X60" s="185" t="s">
        <v>97</v>
      </c>
      <c r="Y60" s="148">
        <v>2739.0</v>
      </c>
      <c r="Z60" s="56">
        <v>1338.7</v>
      </c>
      <c r="AA60" s="274">
        <f t="shared" si="6"/>
        <v>37.18611111</v>
      </c>
      <c r="AB60" s="287" t="s">
        <v>106</v>
      </c>
      <c r="AC60" s="148">
        <v>3.0</v>
      </c>
      <c r="AD60" s="175"/>
      <c r="AE60" s="175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297"/>
      <c r="AS60" s="14"/>
    </row>
    <row r="61">
      <c r="A61" s="14"/>
      <c r="B61" s="14"/>
      <c r="C61" s="14"/>
      <c r="D61" s="276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277" t="s">
        <v>107</v>
      </c>
      <c r="Y61" s="203">
        <v>2727.0</v>
      </c>
      <c r="Z61" s="56">
        <v>297.0</v>
      </c>
      <c r="AA61" s="274">
        <f t="shared" si="6"/>
        <v>24.75</v>
      </c>
      <c r="AB61" s="292" t="s">
        <v>108</v>
      </c>
      <c r="AC61" s="203">
        <v>1.0</v>
      </c>
      <c r="AD61" s="175"/>
      <c r="AE61" s="175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297"/>
      <c r="AS61" s="14"/>
    </row>
    <row r="62">
      <c r="A62" s="14"/>
      <c r="B62" s="14"/>
      <c r="C62" s="14"/>
      <c r="D62" s="276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272" t="s">
        <v>114</v>
      </c>
      <c r="Y62" s="298">
        <v>2728.0</v>
      </c>
      <c r="Z62" s="56">
        <v>1689.6</v>
      </c>
      <c r="AA62" s="274">
        <f t="shared" si="6"/>
        <v>35.2</v>
      </c>
      <c r="AB62" s="299" t="s">
        <v>85</v>
      </c>
      <c r="AC62" s="298">
        <v>4.0</v>
      </c>
      <c r="AD62" s="175"/>
      <c r="AE62" s="175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00"/>
      <c r="AS62" s="14"/>
    </row>
    <row r="63">
      <c r="A63" s="14"/>
      <c r="B63" s="14"/>
      <c r="C63" s="14"/>
      <c r="D63" s="276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272" t="s">
        <v>114</v>
      </c>
      <c r="Y63" s="298">
        <v>2729.0</v>
      </c>
      <c r="Z63" s="56">
        <v>1689.6</v>
      </c>
      <c r="AA63" s="274">
        <f t="shared" si="6"/>
        <v>35.2</v>
      </c>
      <c r="AB63" s="299" t="s">
        <v>144</v>
      </c>
      <c r="AC63" s="298">
        <v>4.0</v>
      </c>
      <c r="AD63" s="175"/>
      <c r="AE63" s="175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01"/>
      <c r="AS63" s="14"/>
    </row>
    <row r="64">
      <c r="A64" s="14"/>
      <c r="B64" s="14"/>
      <c r="C64" s="14"/>
      <c r="D64" s="276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272" t="s">
        <v>114</v>
      </c>
      <c r="Y64" s="298">
        <v>2721.0</v>
      </c>
      <c r="Z64" s="56">
        <v>1689.6</v>
      </c>
      <c r="AA64" s="274">
        <f t="shared" si="6"/>
        <v>35.2</v>
      </c>
      <c r="AB64" s="299" t="s">
        <v>137</v>
      </c>
      <c r="AC64" s="298">
        <v>4.0</v>
      </c>
      <c r="AD64" s="291" t="s">
        <v>118</v>
      </c>
      <c r="AE64" s="287" t="s">
        <v>244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02"/>
      <c r="AS64" s="14"/>
    </row>
    <row r="65">
      <c r="A65" s="14"/>
      <c r="B65" s="14"/>
      <c r="C65" s="14"/>
      <c r="D65" s="276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277" t="s">
        <v>122</v>
      </c>
      <c r="Y65" s="203">
        <v>2719.0</v>
      </c>
      <c r="Z65" s="56">
        <v>1127.5</v>
      </c>
      <c r="AA65" s="274">
        <f t="shared" si="6"/>
        <v>46.97916667</v>
      </c>
      <c r="AB65" s="292" t="s">
        <v>81</v>
      </c>
      <c r="AC65" s="203">
        <v>2.0</v>
      </c>
      <c r="AD65" s="175"/>
      <c r="AE65" s="175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276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277" t="s">
        <v>122</v>
      </c>
      <c r="Y66" s="203">
        <v>2722.0</v>
      </c>
      <c r="Z66" s="56">
        <v>1127.5</v>
      </c>
      <c r="AA66" s="274">
        <f t="shared" si="6"/>
        <v>46.97916667</v>
      </c>
      <c r="AB66" s="292" t="s">
        <v>125</v>
      </c>
      <c r="AC66" s="203">
        <v>2.0</v>
      </c>
      <c r="AD66" s="175"/>
      <c r="AE66" s="175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46"/>
      <c r="AS66" s="14"/>
    </row>
    <row r="67">
      <c r="A67" s="14"/>
      <c r="B67" s="14"/>
      <c r="C67" s="14"/>
      <c r="D67" s="276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85" t="s">
        <v>129</v>
      </c>
      <c r="Y67" s="148">
        <v>2743.0</v>
      </c>
      <c r="Z67" s="56">
        <v>935.0</v>
      </c>
      <c r="AA67" s="264">
        <f t="shared" si="6"/>
        <v>77.91666667</v>
      </c>
      <c r="AB67" s="287" t="s">
        <v>113</v>
      </c>
      <c r="AC67" s="148">
        <v>1.0</v>
      </c>
      <c r="AD67" s="175"/>
      <c r="AE67" s="175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276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277" t="s">
        <v>131</v>
      </c>
      <c r="Y68" s="203">
        <v>2709.0</v>
      </c>
      <c r="Z68" s="56">
        <v>1067.0</v>
      </c>
      <c r="AA68" s="264">
        <f t="shared" si="6"/>
        <v>44.45833333</v>
      </c>
      <c r="AB68" s="292" t="s">
        <v>132</v>
      </c>
      <c r="AC68" s="203">
        <v>2.0</v>
      </c>
      <c r="AD68" s="175"/>
      <c r="AE68" s="175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276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277" t="s">
        <v>131</v>
      </c>
      <c r="Y69" s="203">
        <v>2720.0</v>
      </c>
      <c r="Z69" s="56">
        <v>1067.0</v>
      </c>
      <c r="AA69" s="264">
        <f t="shared" si="6"/>
        <v>44.45833333</v>
      </c>
      <c r="AB69" s="292" t="s">
        <v>133</v>
      </c>
      <c r="AC69" s="203">
        <v>2.0</v>
      </c>
      <c r="AD69" s="175"/>
      <c r="AE69" s="175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276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62" t="s">
        <v>12</v>
      </c>
      <c r="Y70" s="303">
        <v>2736.0</v>
      </c>
      <c r="Z70" s="29">
        <v>3275.8</v>
      </c>
      <c r="AA70" s="264">
        <f t="shared" si="6"/>
        <v>45.49722222</v>
      </c>
      <c r="AB70" s="304" t="s">
        <v>101</v>
      </c>
      <c r="AC70" s="303">
        <v>6.0</v>
      </c>
      <c r="AD70" s="175"/>
      <c r="AE70" s="175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276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62" t="s">
        <v>12</v>
      </c>
      <c r="Y71" s="303">
        <v>2737.0</v>
      </c>
      <c r="Z71" s="29">
        <v>3275.8</v>
      </c>
      <c r="AA71" s="264">
        <f t="shared" si="6"/>
        <v>45.49722222</v>
      </c>
      <c r="AB71" s="304" t="s">
        <v>130</v>
      </c>
      <c r="AC71" s="303">
        <v>6.0</v>
      </c>
      <c r="AD71" s="175"/>
      <c r="AE71" s="175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276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62" t="s">
        <v>12</v>
      </c>
      <c r="Y72" s="303">
        <v>2740.0</v>
      </c>
      <c r="Z72" s="29">
        <v>3275.8</v>
      </c>
      <c r="AA72" s="264">
        <f t="shared" si="6"/>
        <v>45.49722222</v>
      </c>
      <c r="AB72" s="304" t="s">
        <v>98</v>
      </c>
      <c r="AC72" s="303">
        <v>6.0</v>
      </c>
      <c r="AD72" s="175"/>
      <c r="AE72" s="175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276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62" t="s">
        <v>12</v>
      </c>
      <c r="Y73" s="303">
        <v>2732.0</v>
      </c>
      <c r="Z73" s="29">
        <v>3275.8</v>
      </c>
      <c r="AA73" s="264">
        <f t="shared" si="6"/>
        <v>45.49722222</v>
      </c>
      <c r="AB73" s="304" t="s">
        <v>21</v>
      </c>
      <c r="AC73" s="303">
        <v>6.0</v>
      </c>
      <c r="AD73" s="175"/>
      <c r="AE73" s="175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276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276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276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276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276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276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276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276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276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276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276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276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276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276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276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276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276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276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276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276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276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276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276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276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276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276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276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276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276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276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276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276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276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276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276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276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276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276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276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276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276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276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276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276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276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276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276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276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276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276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276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276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276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276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276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276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276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276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276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276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276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276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276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276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276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276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276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276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276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276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276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276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276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276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276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276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276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276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276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276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276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276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276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276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276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276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276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276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276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276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276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276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276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276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276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276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276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276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276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276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276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276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276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276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276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276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276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276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276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276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276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276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276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276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276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276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276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276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276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276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276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276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276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276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276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276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276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276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276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276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276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276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276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276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276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276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276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276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276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276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276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276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276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276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276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276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276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276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276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276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276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276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276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276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276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276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276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276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276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276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276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276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276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276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276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276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276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276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276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276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276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276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276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276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276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276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276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276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276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276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276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276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276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276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276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276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276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276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276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276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276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276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276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276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276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276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276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276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276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276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276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276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276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276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276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276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276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276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276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276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276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276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276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276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276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276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276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276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276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276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276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276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276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276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276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276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276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276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276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276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276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276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276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276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276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276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276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276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276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276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276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276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276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276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276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276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276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276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276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276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276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276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276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276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276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276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276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276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276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276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276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276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276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276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276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276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276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276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276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276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276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276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276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276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276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276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276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276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276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276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276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276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276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276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276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276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276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276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276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276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276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276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276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276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276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276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276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276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276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276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276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276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276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276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276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276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276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276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276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276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276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276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276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276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276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276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276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276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276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276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276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276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276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276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276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276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276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276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276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276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276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276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276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276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276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276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276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276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276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276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276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276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276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276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276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276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276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276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276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276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276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276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276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276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276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276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276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276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276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276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276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276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276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276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276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276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276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276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276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276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276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276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276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276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276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276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276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276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276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276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276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276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276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276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276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276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276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276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276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276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276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276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276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276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276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276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276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276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276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276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276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276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276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276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276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276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276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276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276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276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276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276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276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276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276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276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276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276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276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276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276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276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276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276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276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276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276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276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276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276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276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276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276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276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276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276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276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276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276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276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276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276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276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276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276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276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276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276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276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276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276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276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276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276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276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276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276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276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276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276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276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276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276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276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276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276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276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276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276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276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276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276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276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276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276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276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276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276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276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276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276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276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276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276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276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276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276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276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276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276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276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276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276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276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276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276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276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276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276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276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276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276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276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276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276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276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276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276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276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276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276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276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276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276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276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276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276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276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276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276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276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276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276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276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276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276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276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276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276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276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276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276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276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276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276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276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276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276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276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276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276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276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276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276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276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276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276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276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276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276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276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276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276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276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276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276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276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276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276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276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276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276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276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276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276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276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276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276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276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276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276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276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276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276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276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276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276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276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276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276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276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276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276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276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276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276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276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276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276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276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276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276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276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276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276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276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276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276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276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276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276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276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276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276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276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276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276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276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276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276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276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276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276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276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276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276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276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276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276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276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276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276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276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276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276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276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276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276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276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276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276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276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276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276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276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276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276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276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276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276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276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276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276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276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276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276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276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276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276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276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276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276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276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276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276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276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276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276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276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276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276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276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276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276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276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276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276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276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276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276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276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276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276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276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276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276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276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276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276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276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276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276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276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276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276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276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276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276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276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276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276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276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276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276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276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276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276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276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276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276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276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276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276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276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276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276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276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276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276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276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276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276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276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276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276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276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276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276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276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276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276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276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276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276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276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276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276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276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276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276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276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276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276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276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276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276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276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276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276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276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276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276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276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276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276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276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276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276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276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276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276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276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276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276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276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276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276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276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276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276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276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276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276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276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276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276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276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276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276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276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276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276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276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276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276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276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276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276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276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276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276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276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276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276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276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276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276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276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276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276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276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276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276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276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276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276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276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276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276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276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276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276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276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276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276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276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276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276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276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276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276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276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276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276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276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276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276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276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276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276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276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276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276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276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276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276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276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276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276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276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276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276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276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276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276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276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276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276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276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276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276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276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276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276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276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276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276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276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276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276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276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276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276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276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276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276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276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276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276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276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276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276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276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276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276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276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276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276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276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276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276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276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276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276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276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276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276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276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276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276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276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276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276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276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276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276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276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276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276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276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276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276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276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276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276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276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276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276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276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276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276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276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276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276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276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276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276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276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276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276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276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276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276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276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276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276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276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276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276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276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276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276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276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276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276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276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276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276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276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276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276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276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276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276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276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276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276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276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276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59" t="s">
        <v>241</v>
      </c>
      <c r="B1" s="9"/>
      <c r="C1" s="12"/>
      <c r="D1" s="15"/>
      <c r="E1" s="12"/>
      <c r="F1" s="12"/>
      <c r="G1" s="12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4"/>
      <c r="AS1" s="24"/>
    </row>
    <row r="2">
      <c r="A2" s="27"/>
      <c r="B2" s="28"/>
      <c r="C2" s="12"/>
      <c r="D2" s="15"/>
      <c r="E2" s="12"/>
      <c r="F2" s="12"/>
      <c r="G2" s="12"/>
      <c r="H2" s="18">
        <v>2025.0</v>
      </c>
      <c r="T2" s="30">
        <v>2026.0</v>
      </c>
      <c r="AF2" s="30">
        <v>2027.0</v>
      </c>
      <c r="AR2" s="24"/>
      <c r="AS2" s="24"/>
    </row>
    <row r="3">
      <c r="A3" s="32" t="s">
        <v>16</v>
      </c>
      <c r="B3" s="32" t="s">
        <v>2</v>
      </c>
      <c r="C3" s="33" t="s">
        <v>17</v>
      </c>
      <c r="D3" s="35" t="s">
        <v>18</v>
      </c>
      <c r="E3" s="33" t="s">
        <v>19</v>
      </c>
      <c r="F3" s="38" t="s">
        <v>20</v>
      </c>
      <c r="G3" s="33" t="s">
        <v>22</v>
      </c>
      <c r="H3" s="32" t="s">
        <v>23</v>
      </c>
      <c r="I3" s="32" t="s">
        <v>24</v>
      </c>
      <c r="J3" s="32" t="s">
        <v>25</v>
      </c>
      <c r="K3" s="32" t="s">
        <v>28</v>
      </c>
      <c r="L3" s="32" t="s">
        <v>30</v>
      </c>
      <c r="M3" s="32" t="s">
        <v>33</v>
      </c>
      <c r="N3" s="32" t="s">
        <v>36</v>
      </c>
      <c r="O3" s="32" t="s">
        <v>39</v>
      </c>
      <c r="P3" s="32" t="s">
        <v>42</v>
      </c>
      <c r="Q3" s="32" t="s">
        <v>44</v>
      </c>
      <c r="R3" s="32" t="s">
        <v>46</v>
      </c>
      <c r="S3" s="32" t="s">
        <v>49</v>
      </c>
      <c r="T3" s="32" t="s">
        <v>23</v>
      </c>
      <c r="U3" s="32" t="s">
        <v>24</v>
      </c>
      <c r="V3" s="32" t="s">
        <v>25</v>
      </c>
      <c r="W3" s="32" t="s">
        <v>28</v>
      </c>
      <c r="X3" s="32" t="s">
        <v>30</v>
      </c>
      <c r="Y3" s="32" t="s">
        <v>33</v>
      </c>
      <c r="Z3" s="32" t="s">
        <v>36</v>
      </c>
      <c r="AA3" s="32" t="s">
        <v>39</v>
      </c>
      <c r="AB3" s="32" t="s">
        <v>42</v>
      </c>
      <c r="AC3" s="32" t="s">
        <v>44</v>
      </c>
      <c r="AD3" s="32" t="s">
        <v>46</v>
      </c>
      <c r="AE3" s="32" t="s">
        <v>49</v>
      </c>
      <c r="AF3" s="47" t="s">
        <v>23</v>
      </c>
      <c r="AG3" s="47" t="s">
        <v>24</v>
      </c>
      <c r="AH3" s="47" t="s">
        <v>25</v>
      </c>
      <c r="AI3" s="47" t="s">
        <v>28</v>
      </c>
      <c r="AJ3" s="47" t="s">
        <v>30</v>
      </c>
      <c r="AK3" s="47" t="s">
        <v>33</v>
      </c>
      <c r="AL3" s="47" t="s">
        <v>36</v>
      </c>
      <c r="AM3" s="47" t="s">
        <v>39</v>
      </c>
      <c r="AN3" s="47" t="s">
        <v>42</v>
      </c>
      <c r="AO3" s="47" t="s">
        <v>44</v>
      </c>
      <c r="AP3" s="47" t="s">
        <v>46</v>
      </c>
      <c r="AQ3" s="47" t="s">
        <v>49</v>
      </c>
      <c r="AR3" s="48" t="s">
        <v>58</v>
      </c>
      <c r="AS3" s="50"/>
    </row>
    <row r="4" hidden="1">
      <c r="A4" s="268" t="s">
        <v>242</v>
      </c>
      <c r="B4" s="269">
        <f>COUNT(#REF!)</f>
        <v>0</v>
      </c>
      <c r="C4" s="269"/>
      <c r="D4" s="270"/>
      <c r="E4" s="269"/>
      <c r="F4" s="269"/>
      <c r="G4" s="269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08"/>
    </row>
    <row r="5">
      <c r="A5" s="278" t="s">
        <v>95</v>
      </c>
      <c r="B5" s="280">
        <f>VLOOKUP(A5,SILOMS!C:F,4,0)</f>
        <v>2704</v>
      </c>
      <c r="C5" s="281">
        <f>VLOOKUP(A5,SILOMS!O:Q,3,0)</f>
        <v>203.0694444</v>
      </c>
      <c r="D5" s="284">
        <f>IF(C5*24&lt;1500,1500-(C5*24),IF(C5*24&lt;3000,3000-(C5*24),5000-(C5*24)))
</f>
        <v>126.3333333</v>
      </c>
      <c r="E5" s="280">
        <f>VLOOKUP(B5,'Hora por anv'!B:D,3,0)</f>
        <v>8.35106383</v>
      </c>
      <c r="F5" s="288">
        <f>E5*'Hora por anv'!$H$1</f>
        <v>39.25</v>
      </c>
      <c r="G5" s="290">
        <f t="shared" ref="G5:G42" si="1">D5/E5</f>
        <v>15.12781316</v>
      </c>
      <c r="H5" s="68">
        <v>1.0</v>
      </c>
      <c r="I5" s="68">
        <v>1.0</v>
      </c>
      <c r="J5" s="68">
        <v>1.0</v>
      </c>
      <c r="K5" s="68"/>
      <c r="L5" s="144" t="s">
        <v>139</v>
      </c>
      <c r="M5" s="71"/>
      <c r="N5" s="71"/>
      <c r="O5" s="128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8" t="s">
        <v>51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08"/>
      <c r="AS5" s="108"/>
    </row>
    <row r="6">
      <c r="A6" s="278" t="s">
        <v>163</v>
      </c>
      <c r="B6" s="280" t="b">
        <f>VLOOKUP(A6,SILOMS!C:F,4,0)</f>
        <v>0</v>
      </c>
      <c r="C6" s="281">
        <f>VLOOKUP(A6,SILOMS!O:Q,3,0)</f>
        <v>222.8576389</v>
      </c>
      <c r="D6" s="284">
        <f>IF(C6*24&lt;1500,1500-(C6*24),IF(C6*24&lt;3000,3000-(C6*24),5360-(C6*24)))
</f>
        <v>11.41666667</v>
      </c>
      <c r="E6" s="280" t="str">
        <f>VLOOKUP(B6,'Hora por anv'!B:D,3,0)</f>
        <v>#N/A</v>
      </c>
      <c r="F6" s="288" t="str">
        <f>E6*'Hora por anv'!$H$1</f>
        <v>#N/A</v>
      </c>
      <c r="G6" s="290" t="str">
        <f t="shared" si="1"/>
        <v>#N/A</v>
      </c>
      <c r="H6" s="68">
        <v>1.0</v>
      </c>
      <c r="I6" s="144" t="s">
        <v>139</v>
      </c>
      <c r="J6" s="68">
        <v>1.0</v>
      </c>
      <c r="K6" s="68"/>
      <c r="L6" s="68"/>
      <c r="M6" s="71"/>
      <c r="N6" s="71"/>
      <c r="O6" s="128"/>
      <c r="P6" s="128"/>
      <c r="Q6" s="72"/>
      <c r="R6" s="72"/>
      <c r="S6" s="128"/>
      <c r="T6" s="78" t="s">
        <v>51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5" t="s">
        <v>249</v>
      </c>
      <c r="AS6" s="108"/>
    </row>
    <row r="7">
      <c r="A7" s="278" t="s">
        <v>65</v>
      </c>
      <c r="B7" s="280" t="b">
        <f>VLOOKUP(A7,SILOMS!C:F,4,0)</f>
        <v>0</v>
      </c>
      <c r="C7" s="281">
        <f>VLOOKUP(A7,SILOMS!O:Q,3,0)</f>
        <v>214.1354167</v>
      </c>
      <c r="D7" s="284">
        <f>IF(C7*24&lt;1500,1500-(C7*24),IF(C7*24&lt;3000,3000-(C7*24),5250-(C7*24)))
</f>
        <v>110.75</v>
      </c>
      <c r="E7" s="280" t="str">
        <f>VLOOKUP(B7,'Hora por anv'!B:D,3,0)</f>
        <v>#N/A</v>
      </c>
      <c r="F7" s="288" t="str">
        <f>E7*'Hora por anv'!$H$1</f>
        <v>#N/A</v>
      </c>
      <c r="G7" s="290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71"/>
      <c r="N7" s="71"/>
      <c r="O7" s="128"/>
      <c r="P7" s="72"/>
      <c r="Q7" s="72"/>
      <c r="R7" s="72"/>
      <c r="S7" s="128"/>
      <c r="T7" s="75"/>
      <c r="U7" s="75"/>
      <c r="V7" s="75"/>
      <c r="W7" s="75"/>
      <c r="X7" s="75"/>
      <c r="Y7" s="75"/>
      <c r="Z7" s="75"/>
      <c r="AA7" s="75"/>
      <c r="AB7" s="75"/>
      <c r="AC7" s="75"/>
      <c r="AD7" s="78" t="s">
        <v>51</v>
      </c>
      <c r="AE7" s="75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305" t="s">
        <v>250</v>
      </c>
      <c r="AS7" s="118"/>
    </row>
    <row r="8" hidden="1">
      <c r="A8" s="306" t="s">
        <v>82</v>
      </c>
      <c r="B8" s="306">
        <f>VLOOKUP(A8,SILOMS!C:F,4,0)</f>
        <v>2742</v>
      </c>
      <c r="C8" s="307">
        <f>VLOOKUP(A8,SILOMS!O:Q,3,0)</f>
        <v>32.93402778</v>
      </c>
      <c r="D8" s="284">
        <f t="shared" ref="D8:D9" si="2">IF(C8*24&lt;1500,1500-(C8*24),IF(C8*24&lt;3000,3000-(C8*24),4000-(C8*24)))
</f>
        <v>709.5833333</v>
      </c>
      <c r="E8" s="306">
        <f>VLOOKUP(B8,'Hora por anv'!B:D,3,0)</f>
        <v>56.75531915</v>
      </c>
      <c r="F8" s="308">
        <f>E8*'Hora por anv'!$H$1</f>
        <v>266.75</v>
      </c>
      <c r="G8" s="309">
        <f t="shared" si="1"/>
        <v>12.50249922</v>
      </c>
      <c r="H8" s="161" t="s">
        <v>77</v>
      </c>
      <c r="I8" s="161" t="s">
        <v>77</v>
      </c>
      <c r="J8" s="161" t="s">
        <v>77</v>
      </c>
      <c r="K8" s="161" t="s">
        <v>77</v>
      </c>
      <c r="L8" s="161" t="s">
        <v>77</v>
      </c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54"/>
      <c r="AS8" s="118"/>
    </row>
    <row r="9" hidden="1">
      <c r="A9" s="306" t="s">
        <v>92</v>
      </c>
      <c r="B9" s="306" t="b">
        <f>VLOOKUP(A9,SILOMS!C:F,4,0)</f>
        <v>0</v>
      </c>
      <c r="C9" s="307">
        <f>VLOOKUP(A9,SILOMS!O:Q,3,0)</f>
        <v>208.2083333</v>
      </c>
      <c r="D9" s="284">
        <f t="shared" si="2"/>
        <v>-997</v>
      </c>
      <c r="E9" s="306" t="str">
        <f>VLOOKUP(B9,'Hora por anv'!B:D,3,0)</f>
        <v>#N/A</v>
      </c>
      <c r="F9" s="308" t="str">
        <f>E9*'Hora por anv'!$H$1</f>
        <v>#N/A</v>
      </c>
      <c r="G9" s="309" t="str">
        <f t="shared" si="1"/>
        <v>#N/A</v>
      </c>
      <c r="H9" s="161" t="s">
        <v>77</v>
      </c>
      <c r="I9" s="161" t="s">
        <v>77</v>
      </c>
      <c r="J9" s="161" t="s">
        <v>77</v>
      </c>
      <c r="K9" s="161" t="s">
        <v>77</v>
      </c>
      <c r="L9" s="161" t="s">
        <v>77</v>
      </c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2"/>
      <c r="AH9" s="162"/>
      <c r="AI9" s="162"/>
      <c r="AJ9" s="162"/>
      <c r="AK9" s="162"/>
      <c r="AL9" s="162"/>
      <c r="AM9" s="162"/>
      <c r="AN9" s="162"/>
      <c r="AO9" s="162"/>
      <c r="AP9" s="162"/>
      <c r="AQ9" s="162"/>
      <c r="AR9" s="154"/>
      <c r="AS9" s="108"/>
    </row>
    <row r="10">
      <c r="A10" s="278" t="s">
        <v>140</v>
      </c>
      <c r="B10" s="280" t="b">
        <f>VLOOKUP(A10,SILOMS!C:F,4,0)</f>
        <v>0</v>
      </c>
      <c r="C10" s="281">
        <f>VLOOKUP(A10,SILOMS!O:Q,3,0)</f>
        <v>216.6666667</v>
      </c>
      <c r="D10" s="284">
        <f>IF(C10*24&lt;1500,1500-(C10*24),IF(C10*24&lt;3000,3000-(C10*24),5200-(C10*24)))
</f>
        <v>0</v>
      </c>
      <c r="E10" s="280" t="str">
        <f>VLOOKUP(B10,'Hora por anv'!B:D,3,0)</f>
        <v>#N/A</v>
      </c>
      <c r="F10" s="288" t="str">
        <f>E10*'Hora por anv'!$H$1</f>
        <v>#N/A</v>
      </c>
      <c r="G10" s="290" t="str">
        <f t="shared" si="1"/>
        <v>#N/A</v>
      </c>
      <c r="H10" s="104" t="s">
        <v>77</v>
      </c>
      <c r="I10" s="104" t="s">
        <v>77</v>
      </c>
      <c r="J10" s="104" t="s">
        <v>77</v>
      </c>
      <c r="K10" s="104" t="s">
        <v>77</v>
      </c>
      <c r="L10" s="104" t="s">
        <v>77</v>
      </c>
      <c r="M10" s="71"/>
      <c r="N10" s="71"/>
      <c r="O10" s="128"/>
      <c r="P10" s="128"/>
      <c r="Q10" s="72"/>
      <c r="R10" s="72"/>
      <c r="S10" s="72"/>
      <c r="T10" s="75"/>
      <c r="U10" s="78" t="s">
        <v>51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310" t="s">
        <v>251</v>
      </c>
      <c r="AS10" s="118"/>
    </row>
    <row r="11" hidden="1">
      <c r="A11" s="311" t="s">
        <v>104</v>
      </c>
      <c r="B11" s="306" t="b">
        <f>VLOOKUP(A11,SILOMS!C:F,4,0)</f>
        <v>0</v>
      </c>
      <c r="C11" s="307">
        <f>VLOOKUP(A11,SILOMS!O:Q,3,0)</f>
        <v>120.3923611</v>
      </c>
      <c r="D11" s="284">
        <f>IF(C11*24&lt;1500,1500-(C11*24),IF(C11*24&lt;3000,3000-(C11*24),4000-(C11*24)))
</f>
        <v>110.5833333</v>
      </c>
      <c r="E11" s="306" t="str">
        <f>VLOOKUP(B11,'Hora por anv'!B:D,3,0)</f>
        <v>#N/A</v>
      </c>
      <c r="F11" s="308" t="str">
        <f>E11*'Hora por anv'!$H$1</f>
        <v>#N/A</v>
      </c>
      <c r="G11" s="309" t="str">
        <f t="shared" si="1"/>
        <v>#N/A</v>
      </c>
      <c r="H11" s="161" t="s">
        <v>77</v>
      </c>
      <c r="I11" s="161" t="s">
        <v>77</v>
      </c>
      <c r="J11" s="161" t="s">
        <v>77</v>
      </c>
      <c r="K11" s="161" t="s">
        <v>77</v>
      </c>
      <c r="L11" s="161" t="s">
        <v>77</v>
      </c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154"/>
      <c r="AS11" s="108"/>
    </row>
    <row r="12">
      <c r="A12" s="278" t="s">
        <v>152</v>
      </c>
      <c r="B12" s="280" t="b">
        <f>VLOOKUP(A12,SILOMS!C:F,4,0)</f>
        <v>0</v>
      </c>
      <c r="C12" s="281">
        <f>VLOOKUP(A12,SILOMS!O:Q,3,0)</f>
        <v>192.9097222</v>
      </c>
      <c r="D12" s="284">
        <f>IF(C12*24&lt;1500,1500-(C12*24),IF(C12*24&lt;3000,3000-(C12*24),5000-(C12*24)))
</f>
        <v>370.1666667</v>
      </c>
      <c r="E12" s="280" t="str">
        <f>VLOOKUP(B12,'Hora por anv'!B:D,3,0)</f>
        <v>#N/A</v>
      </c>
      <c r="F12" s="288" t="str">
        <f>E12*'Hora por anv'!$H$1</f>
        <v>#N/A</v>
      </c>
      <c r="G12" s="290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71"/>
      <c r="N12" s="71"/>
      <c r="O12" s="128"/>
      <c r="P12" s="72"/>
      <c r="Q12" s="72"/>
      <c r="R12" s="72"/>
      <c r="S12" s="72"/>
      <c r="T12" s="75"/>
      <c r="U12" s="75"/>
      <c r="V12" s="224"/>
      <c r="W12" s="75"/>
      <c r="X12" s="75"/>
      <c r="Y12" s="75"/>
      <c r="Z12" s="75"/>
      <c r="AA12" s="75"/>
      <c r="AB12" s="75"/>
      <c r="AC12" s="75"/>
      <c r="AD12" s="75"/>
      <c r="AE12" s="78" t="s">
        <v>51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4"/>
      <c r="AS12" s="118"/>
    </row>
    <row r="13" hidden="1">
      <c r="A13" s="306" t="s">
        <v>57</v>
      </c>
      <c r="B13" s="306">
        <f>VLOOKUP(A13,SILOMS!C:F,4,0)</f>
        <v>2738</v>
      </c>
      <c r="C13" s="314">
        <f>VLOOKUP(A13,SILOMS!O:Q,3,0)</f>
        <v>4.170138889</v>
      </c>
      <c r="D13" s="284">
        <f>IF(C13*24&lt;1500,1500-(C13*24),IF(C13*24&lt;3000,3000-(C13*24),4000-(C13*24)))
</f>
        <v>1399.916667</v>
      </c>
      <c r="E13" s="306">
        <f>VLOOKUP(B13,'Hora por anv'!B:D,3,0)</f>
        <v>55.52851064</v>
      </c>
      <c r="F13" s="308">
        <f>E13*'Hora por anv'!$H$1</f>
        <v>260.984</v>
      </c>
      <c r="G13" s="309">
        <f t="shared" si="1"/>
        <v>25.21077282</v>
      </c>
      <c r="H13" s="161" t="s">
        <v>77</v>
      </c>
      <c r="I13" s="161" t="s">
        <v>77</v>
      </c>
      <c r="J13" s="161" t="s">
        <v>77</v>
      </c>
      <c r="K13" s="161" t="s">
        <v>77</v>
      </c>
      <c r="L13" s="161" t="s">
        <v>77</v>
      </c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2"/>
      <c r="AG13" s="162"/>
      <c r="AH13" s="162"/>
      <c r="AI13" s="162"/>
      <c r="AJ13" s="162"/>
      <c r="AK13" s="162"/>
      <c r="AL13" s="162"/>
      <c r="AM13" s="162"/>
      <c r="AN13" s="162"/>
      <c r="AO13" s="162"/>
      <c r="AP13" s="162"/>
      <c r="AQ13" s="162"/>
      <c r="AR13" s="154"/>
      <c r="AS13" s="108"/>
    </row>
    <row r="14">
      <c r="A14" s="280" t="s">
        <v>81</v>
      </c>
      <c r="B14" s="280">
        <f>VLOOKUP(A14,SILOMS!C:F,4,0)</f>
        <v>2719</v>
      </c>
      <c r="C14" s="281">
        <f>VLOOKUP(A14,SILOMS!O:Q,3,0)</f>
        <v>180.9548611</v>
      </c>
      <c r="D14" s="284">
        <f>IF(C14*24&lt;1500,1500-(C14*24),IF(C14*24&lt;3000,3000-(C14*24),4200-(C14*24)))
</f>
        <v>-142.9166667</v>
      </c>
      <c r="E14" s="280">
        <f>VLOOKUP(B14,'Hora por anv'!B:D,3,0)</f>
        <v>59.24680851</v>
      </c>
      <c r="F14" s="288">
        <f>E14*'Hora por anv'!$H$1</f>
        <v>278.46</v>
      </c>
      <c r="G14" s="290">
        <f t="shared" si="1"/>
        <v>-2.412225574</v>
      </c>
      <c r="H14" s="68">
        <v>1.0</v>
      </c>
      <c r="I14" s="68">
        <v>1.0</v>
      </c>
      <c r="J14" s="68">
        <v>1.0</v>
      </c>
      <c r="K14" s="68"/>
      <c r="L14" s="68"/>
      <c r="M14" s="71"/>
      <c r="N14" s="71"/>
      <c r="O14" s="72"/>
      <c r="P14" s="72"/>
      <c r="Q14" s="72"/>
      <c r="R14" s="72"/>
      <c r="S14" s="72"/>
      <c r="T14" s="78" t="s">
        <v>51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08"/>
      <c r="AS14" s="118"/>
    </row>
    <row r="15" hidden="1">
      <c r="A15" s="306" t="s">
        <v>252</v>
      </c>
      <c r="B15" s="306" t="str">
        <f>VLOOKUP(A15,SILOMS!C:F,4,0)</f>
        <v>#N/A</v>
      </c>
      <c r="C15" s="306" t="str">
        <f>VLOOKUP(A15,SILOMS!O:Q,3,0)</f>
        <v>#N/A</v>
      </c>
      <c r="D15" s="284" t="str">
        <f t="shared" ref="D15:D22" si="3">IF(C15*24&lt;1500,1500-(C15*24),IF(C15*24&lt;3000,3000-(C15*24),4000-(C15*24)))
</f>
        <v>#N/A</v>
      </c>
      <c r="E15" s="306" t="str">
        <f>VLOOKUP(B15,'Hora por anv'!B:D,3,0)</f>
        <v>#N/A</v>
      </c>
      <c r="F15" s="308" t="str">
        <f>E15*'Hora por anv'!$H$1</f>
        <v>#N/A</v>
      </c>
      <c r="G15" s="309" t="str">
        <f t="shared" si="1"/>
        <v>#N/A</v>
      </c>
      <c r="H15" s="161" t="s">
        <v>77</v>
      </c>
      <c r="I15" s="161" t="s">
        <v>77</v>
      </c>
      <c r="J15" s="161" t="s">
        <v>77</v>
      </c>
      <c r="K15" s="161" t="s">
        <v>77</v>
      </c>
      <c r="L15" s="161" t="s">
        <v>77</v>
      </c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2"/>
      <c r="AG15" s="162"/>
      <c r="AH15" s="162"/>
      <c r="AI15" s="162"/>
      <c r="AJ15" s="162"/>
      <c r="AK15" s="162"/>
      <c r="AL15" s="162"/>
      <c r="AM15" s="162"/>
      <c r="AN15" s="162"/>
      <c r="AO15" s="162"/>
      <c r="AP15" s="162"/>
      <c r="AQ15" s="162"/>
      <c r="AR15" s="154"/>
      <c r="AS15" s="118"/>
    </row>
    <row r="16" hidden="1">
      <c r="A16" s="306" t="s">
        <v>130</v>
      </c>
      <c r="B16" s="306">
        <f>VLOOKUP(A16,SILOMS!C:F,4,0)</f>
        <v>2737</v>
      </c>
      <c r="C16" s="307">
        <f>VLOOKUP(A16,SILOMS!O:Q,3,0)</f>
        <v>15.71875</v>
      </c>
      <c r="D16" s="284">
        <f t="shared" si="3"/>
        <v>1122.75</v>
      </c>
      <c r="E16" s="306">
        <f>VLOOKUP(B16,'Hora por anv'!B:D,3,0)</f>
        <v>55.52851064</v>
      </c>
      <c r="F16" s="308">
        <f>E16*'Hora por anv'!$H$1</f>
        <v>260.984</v>
      </c>
      <c r="G16" s="309">
        <f t="shared" si="1"/>
        <v>20.21934295</v>
      </c>
      <c r="H16" s="161" t="s">
        <v>77</v>
      </c>
      <c r="I16" s="161" t="s">
        <v>77</v>
      </c>
      <c r="J16" s="161" t="s">
        <v>77</v>
      </c>
      <c r="K16" s="161" t="s">
        <v>77</v>
      </c>
      <c r="L16" s="161" t="s">
        <v>77</v>
      </c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  <c r="AG16" s="162"/>
      <c r="AH16" s="162"/>
      <c r="AI16" s="162"/>
      <c r="AJ16" s="162"/>
      <c r="AK16" s="162"/>
      <c r="AL16" s="162"/>
      <c r="AM16" s="162"/>
      <c r="AN16" s="162"/>
      <c r="AO16" s="162"/>
      <c r="AP16" s="162"/>
      <c r="AQ16" s="162"/>
      <c r="AR16" s="154"/>
      <c r="AS16" s="118"/>
    </row>
    <row r="17" hidden="1">
      <c r="A17" s="315" t="s">
        <v>253</v>
      </c>
      <c r="B17" s="280" t="str">
        <f>VLOOKUP(A17,SILOMS!C:F,4,0)</f>
        <v>#N/A</v>
      </c>
      <c r="C17" s="306" t="str">
        <f>VLOOKUP(A17,SILOMS!O:Q,3,0)</f>
        <v>#N/A</v>
      </c>
      <c r="D17" s="284" t="str">
        <f t="shared" si="3"/>
        <v>#N/A</v>
      </c>
      <c r="E17" s="306" t="str">
        <f>VLOOKUP(B17,'Hora por anv'!B:D,3,0)</f>
        <v>#N/A</v>
      </c>
      <c r="F17" s="308" t="str">
        <f>E17*'Hora por anv'!$H$1</f>
        <v>#N/A</v>
      </c>
      <c r="G17" s="309" t="str">
        <f t="shared" si="1"/>
        <v>#N/A</v>
      </c>
      <c r="H17" s="161" t="s">
        <v>77</v>
      </c>
      <c r="I17" s="161" t="s">
        <v>77</v>
      </c>
      <c r="J17" s="161" t="s">
        <v>77</v>
      </c>
      <c r="K17" s="161" t="s">
        <v>77</v>
      </c>
      <c r="L17" s="161" t="s">
        <v>77</v>
      </c>
      <c r="M17" s="162"/>
      <c r="N17" s="162"/>
      <c r="O17" s="162"/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2"/>
      <c r="AG17" s="162"/>
      <c r="AH17" s="162"/>
      <c r="AI17" s="162"/>
      <c r="AJ17" s="162"/>
      <c r="AK17" s="162"/>
      <c r="AL17" s="162"/>
      <c r="AM17" s="162"/>
      <c r="AN17" s="162"/>
      <c r="AO17" s="162"/>
      <c r="AP17" s="162"/>
      <c r="AQ17" s="162"/>
      <c r="AR17" s="154"/>
      <c r="AS17" s="118"/>
    </row>
    <row r="18" hidden="1">
      <c r="A18" s="306" t="s">
        <v>134</v>
      </c>
      <c r="B18" s="306" t="b">
        <f>VLOOKUP(A18,SILOMS!C:F,4,0)</f>
        <v>0</v>
      </c>
      <c r="C18" s="307">
        <f>VLOOKUP(A18,SILOMS!O:Q,3,0)</f>
        <v>186.6493056</v>
      </c>
      <c r="D18" s="284">
        <f t="shared" si="3"/>
        <v>-479.5833333</v>
      </c>
      <c r="E18" s="306" t="str">
        <f>VLOOKUP(B18,'Hora por anv'!B:D,3,0)</f>
        <v>#N/A</v>
      </c>
      <c r="F18" s="308" t="str">
        <f>E18*'Hora por anv'!$H$1</f>
        <v>#N/A</v>
      </c>
      <c r="G18" s="309" t="str">
        <f t="shared" si="1"/>
        <v>#N/A</v>
      </c>
      <c r="H18" s="161" t="s">
        <v>77</v>
      </c>
      <c r="I18" s="161" t="s">
        <v>77</v>
      </c>
      <c r="J18" s="161" t="s">
        <v>77</v>
      </c>
      <c r="K18" s="161" t="s">
        <v>77</v>
      </c>
      <c r="L18" s="161" t="s">
        <v>77</v>
      </c>
      <c r="M18" s="162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54"/>
      <c r="AS18" s="118"/>
    </row>
    <row r="19" hidden="1">
      <c r="A19" s="306" t="s">
        <v>100</v>
      </c>
      <c r="B19" s="306">
        <f>VLOOKUP(A19,SILOMS!C:F,4,0)</f>
        <v>2731</v>
      </c>
      <c r="C19" s="307">
        <f>VLOOKUP(A19,SILOMS!O:Q,3,0)</f>
        <v>16.51041667</v>
      </c>
      <c r="D19" s="284">
        <f t="shared" si="3"/>
        <v>1103.75</v>
      </c>
      <c r="E19" s="306">
        <f>VLOOKUP(B19,'Hora por anv'!B:D,3,0)</f>
        <v>17.77163121</v>
      </c>
      <c r="F19" s="308">
        <f>E19*'Hora por anv'!$H$1</f>
        <v>83.52666667</v>
      </c>
      <c r="G19" s="309">
        <f t="shared" si="1"/>
        <v>62.10741081</v>
      </c>
      <c r="H19" s="161" t="s">
        <v>77</v>
      </c>
      <c r="I19" s="161" t="s">
        <v>77</v>
      </c>
      <c r="J19" s="161" t="s">
        <v>77</v>
      </c>
      <c r="K19" s="161" t="s">
        <v>77</v>
      </c>
      <c r="L19" s="161" t="s">
        <v>77</v>
      </c>
      <c r="M19" s="162"/>
      <c r="N19" s="162"/>
      <c r="O19" s="162"/>
      <c r="P19" s="162"/>
      <c r="Q19" s="16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62"/>
      <c r="AG19" s="162"/>
      <c r="AH19" s="162"/>
      <c r="AI19" s="162"/>
      <c r="AJ19" s="162"/>
      <c r="AK19" s="162"/>
      <c r="AL19" s="162"/>
      <c r="AM19" s="162"/>
      <c r="AN19" s="162"/>
      <c r="AO19" s="162"/>
      <c r="AP19" s="162"/>
      <c r="AQ19" s="162"/>
      <c r="AR19" s="154"/>
      <c r="AS19" s="154"/>
    </row>
    <row r="20" hidden="1">
      <c r="A20" s="306" t="s">
        <v>137</v>
      </c>
      <c r="B20" s="306" t="b">
        <f>VLOOKUP(A20,SILOMS!C:F,4,0)</f>
        <v>0</v>
      </c>
      <c r="C20" s="307">
        <f>VLOOKUP(A20,SILOMS!O:Q,3,0)</f>
        <v>11.13194444</v>
      </c>
      <c r="D20" s="284">
        <f t="shared" si="3"/>
        <v>1232.833333</v>
      </c>
      <c r="E20" s="306" t="str">
        <f>VLOOKUP(B20,'Hora por anv'!B:D,3,0)</f>
        <v>#N/A</v>
      </c>
      <c r="F20" s="308" t="str">
        <f>E20*'Hora por anv'!$H$1</f>
        <v>#N/A</v>
      </c>
      <c r="G20" s="309" t="str">
        <f t="shared" si="1"/>
        <v>#N/A</v>
      </c>
      <c r="H20" s="161" t="s">
        <v>77</v>
      </c>
      <c r="I20" s="161" t="s">
        <v>77</v>
      </c>
      <c r="J20" s="161" t="s">
        <v>77</v>
      </c>
      <c r="K20" s="161" t="s">
        <v>77</v>
      </c>
      <c r="L20" s="161" t="s">
        <v>77</v>
      </c>
      <c r="M20" s="162"/>
      <c r="N20" s="162"/>
      <c r="O20" s="162"/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  <c r="AH20" s="162"/>
      <c r="AI20" s="162"/>
      <c r="AJ20" s="162"/>
      <c r="AK20" s="162"/>
      <c r="AL20" s="162"/>
      <c r="AM20" s="162"/>
      <c r="AN20" s="162"/>
      <c r="AO20" s="162"/>
      <c r="AP20" s="162"/>
      <c r="AQ20" s="162"/>
      <c r="AR20" s="154"/>
      <c r="AS20" s="108"/>
    </row>
    <row r="21">
      <c r="A21" s="280" t="s">
        <v>144</v>
      </c>
      <c r="B21" s="280" t="b">
        <f>VLOOKUP(A21,SILOMS!C:F,4,0)</f>
        <v>0</v>
      </c>
      <c r="C21" s="281">
        <f>VLOOKUP(A21,SILOMS!O:Q,3,0)</f>
        <v>118.0347222</v>
      </c>
      <c r="D21" s="284">
        <f t="shared" si="3"/>
        <v>167.1666667</v>
      </c>
      <c r="E21" s="280" t="str">
        <f>VLOOKUP(B21,'Hora por anv'!B:D,3,0)</f>
        <v>#N/A</v>
      </c>
      <c r="F21" s="288" t="str">
        <f>E21*'Hora por anv'!$H$1</f>
        <v>#N/A</v>
      </c>
      <c r="G21" s="290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71"/>
      <c r="N21" s="71"/>
      <c r="O21" s="72"/>
      <c r="P21" s="72"/>
      <c r="Q21" s="72"/>
      <c r="R21" s="128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1"/>
      <c r="AG21" s="144" t="s">
        <v>139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32"/>
      <c r="AS21" s="154"/>
    </row>
    <row r="22" hidden="1">
      <c r="A22" s="306" t="s">
        <v>145</v>
      </c>
      <c r="B22" s="306" t="b">
        <f>VLOOKUP(A22,SILOMS!C:F,4,0)</f>
        <v>0</v>
      </c>
      <c r="C22" s="307">
        <f>VLOOKUP(A22,SILOMS!O:Q,3,0)</f>
        <v>201.3506944</v>
      </c>
      <c r="D22" s="284">
        <f t="shared" si="3"/>
        <v>-832.4166667</v>
      </c>
      <c r="E22" s="306" t="str">
        <f>VLOOKUP(B22,'Hora por anv'!B:D,3,0)</f>
        <v>#N/A</v>
      </c>
      <c r="F22" s="308" t="str">
        <f>E22*'Hora por anv'!$H$1</f>
        <v>#N/A</v>
      </c>
      <c r="G22" s="309" t="str">
        <f t="shared" si="1"/>
        <v>#N/A</v>
      </c>
      <c r="H22" s="161">
        <v>1.0</v>
      </c>
      <c r="I22" s="161">
        <v>1.0</v>
      </c>
      <c r="J22" s="161">
        <v>1.0</v>
      </c>
      <c r="K22" s="161"/>
      <c r="L22" s="161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54"/>
      <c r="AS22" s="108"/>
    </row>
    <row r="23">
      <c r="A23" s="280" t="s">
        <v>90</v>
      </c>
      <c r="B23" s="280">
        <f>VLOOKUP(A23,SILOMS!C:F,4,0)</f>
        <v>2733</v>
      </c>
      <c r="C23" s="281">
        <f>VLOOKUP(A23,SILOMS!O:Q,3,0)</f>
        <v>172.3298611</v>
      </c>
      <c r="D23" s="284">
        <f>IF(C23*24&lt;1500,1500-(C23*24),IF(C23*24&lt;3000,3000-(C23*24),4200-(C23*24)))
</f>
        <v>64.08333333</v>
      </c>
      <c r="E23" s="280">
        <f>VLOOKUP(B23,'Hora por anv'!B:D,3,0)</f>
        <v>17.77163121</v>
      </c>
      <c r="F23" s="288">
        <f>E23*'Hora por anv'!$H$1</f>
        <v>83.52666667</v>
      </c>
      <c r="G23" s="290">
        <f t="shared" si="1"/>
        <v>3.605934233</v>
      </c>
      <c r="H23" s="68">
        <v>1.0</v>
      </c>
      <c r="I23" s="68">
        <v>1.0</v>
      </c>
      <c r="J23" s="68">
        <v>1.0</v>
      </c>
      <c r="K23" s="68"/>
      <c r="L23" s="68"/>
      <c r="M23" s="71"/>
      <c r="N23" s="71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8" t="s">
        <v>51</v>
      </c>
      <c r="AB23" s="75"/>
      <c r="AC23" s="75"/>
      <c r="AD23" s="75"/>
      <c r="AE23" s="75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08"/>
      <c r="AS23" s="108"/>
    </row>
    <row r="24">
      <c r="A24" s="280" t="s">
        <v>76</v>
      </c>
      <c r="B24" s="280">
        <f>VLOOKUP(A24,SILOMS!C:F,4,0)</f>
        <v>2723</v>
      </c>
      <c r="C24" s="281">
        <f>VLOOKUP(A24,SILOMS!O:Q,3,0)</f>
        <v>117.9444444</v>
      </c>
      <c r="D24" s="284">
        <f t="shared" ref="D24:D26" si="4">IF(C24*24&lt;1500,1500-(C24*24),IF(C24*24&lt;3000,3000-(C24*24),4000-(C24*24)))
</f>
        <v>169.3333333</v>
      </c>
      <c r="E24" s="280">
        <f>VLOOKUP(B24,'Hora por anv'!B:D,3,0)</f>
        <v>61.24042553</v>
      </c>
      <c r="F24" s="288">
        <f>E24*'Hora por anv'!$H$1</f>
        <v>287.83</v>
      </c>
      <c r="G24" s="290">
        <f t="shared" si="1"/>
        <v>2.765058078</v>
      </c>
      <c r="H24" s="68">
        <v>1.0</v>
      </c>
      <c r="I24" s="68">
        <v>1.0</v>
      </c>
      <c r="J24" s="68">
        <v>1.0</v>
      </c>
      <c r="K24" s="68"/>
      <c r="L24" s="68"/>
      <c r="M24" s="71"/>
      <c r="N24" s="71"/>
      <c r="O24" s="72"/>
      <c r="P24" s="72"/>
      <c r="Q24" s="72"/>
      <c r="R24" s="72"/>
      <c r="S24" s="72"/>
      <c r="T24" s="75"/>
      <c r="U24" s="75"/>
      <c r="V24" s="75"/>
      <c r="W24" s="224"/>
      <c r="X24" s="75"/>
      <c r="Y24" s="75"/>
      <c r="Z24" s="75"/>
      <c r="AA24" s="75"/>
      <c r="AB24" s="75"/>
      <c r="AC24" s="75"/>
      <c r="AD24" s="75"/>
      <c r="AE24" s="75"/>
      <c r="AF24" s="71"/>
      <c r="AG24" s="71"/>
      <c r="AH24" s="144" t="s">
        <v>139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08"/>
      <c r="AS24" s="154"/>
    </row>
    <row r="25" hidden="1">
      <c r="A25" s="311" t="s">
        <v>158</v>
      </c>
      <c r="B25" s="306" t="b">
        <f>VLOOKUP(A25,SILOMS!C:F,4,0)</f>
        <v>0</v>
      </c>
      <c r="C25" s="307">
        <f>VLOOKUP(A25,SILOMS!O:Q,3,0)</f>
        <v>0</v>
      </c>
      <c r="D25" s="284">
        <f t="shared" si="4"/>
        <v>1500</v>
      </c>
      <c r="E25" s="306" t="str">
        <f>VLOOKUP(B25,'Hora por anv'!B:D,3,0)</f>
        <v>#N/A</v>
      </c>
      <c r="F25" s="308" t="str">
        <f>E25*'Hora por anv'!$H$1</f>
        <v>#N/A</v>
      </c>
      <c r="G25" s="309" t="str">
        <f t="shared" si="1"/>
        <v>#N/A</v>
      </c>
      <c r="H25" s="161">
        <v>1.0</v>
      </c>
      <c r="I25" s="161">
        <v>1.0</v>
      </c>
      <c r="J25" s="161">
        <v>1.0</v>
      </c>
      <c r="K25" s="161"/>
      <c r="L25" s="161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2"/>
      <c r="AM25" s="162"/>
      <c r="AN25" s="162"/>
      <c r="AO25" s="162"/>
      <c r="AP25" s="162"/>
      <c r="AQ25" s="162"/>
      <c r="AR25" s="225"/>
      <c r="AS25" s="108"/>
    </row>
    <row r="26">
      <c r="A26" s="280" t="s">
        <v>126</v>
      </c>
      <c r="B26" s="280" t="b">
        <f>VLOOKUP(A26,SILOMS!C:F,4,0)</f>
        <v>0</v>
      </c>
      <c r="C26" s="281">
        <f>VLOOKUP(A26,SILOMS!O:Q,3,0)</f>
        <v>5.954861111</v>
      </c>
      <c r="D26" s="284">
        <f t="shared" si="4"/>
        <v>1357.083333</v>
      </c>
      <c r="E26" s="280" t="str">
        <f>VLOOKUP(B26,'Hora por anv'!B:D,3,0)</f>
        <v>#N/A</v>
      </c>
      <c r="F26" s="288" t="str">
        <f>E26*'Hora por anv'!$H$1</f>
        <v>#N/A</v>
      </c>
      <c r="G26" s="290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71"/>
      <c r="N26" s="71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24"/>
      <c r="AB26" s="75"/>
      <c r="AC26" s="75"/>
      <c r="AD26" s="75"/>
      <c r="AE26" s="75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4"/>
      <c r="AS26" s="108"/>
    </row>
    <row r="27">
      <c r="A27" s="278" t="s">
        <v>74</v>
      </c>
      <c r="B27" s="280">
        <f>VLOOKUP(A27,SILOMS!C:F,4,0)</f>
        <v>2703</v>
      </c>
      <c r="C27" s="281">
        <f>VLOOKUP(A27,SILOMS!O:Q,3,0)</f>
        <v>174.4305556</v>
      </c>
      <c r="D27" s="284">
        <f t="shared" ref="D27:D28" si="5">IF(C27*24&lt;1500,1500-(C27*24),IF(C27*24&lt;3000,3000-(C27*24),4200-(C27*24)))
</f>
        <v>13.66666667</v>
      </c>
      <c r="E27" s="280">
        <f>VLOOKUP(B27,'Hora por anv'!B:D,3,0)</f>
        <v>42.09219858</v>
      </c>
      <c r="F27" s="288">
        <f>E27*'Hora por anv'!$H$1</f>
        <v>197.8333333</v>
      </c>
      <c r="G27" s="290">
        <f t="shared" si="1"/>
        <v>0.3246840775</v>
      </c>
      <c r="H27" s="68">
        <v>1.0</v>
      </c>
      <c r="I27" s="68">
        <v>1.0</v>
      </c>
      <c r="J27" s="68">
        <v>1.0</v>
      </c>
      <c r="K27" s="68"/>
      <c r="L27" s="68"/>
      <c r="M27" s="71"/>
      <c r="N27" s="71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1"/>
      <c r="AG27" s="71"/>
      <c r="AH27" s="71"/>
      <c r="AI27" s="71"/>
      <c r="AJ27" s="71"/>
      <c r="AK27" s="78" t="s">
        <v>51</v>
      </c>
      <c r="AL27" s="71"/>
      <c r="AM27" s="71"/>
      <c r="AO27" s="71"/>
      <c r="AP27" s="71"/>
      <c r="AQ27" s="71"/>
      <c r="AR27" s="84"/>
      <c r="AS27" s="108"/>
    </row>
    <row r="28">
      <c r="A28" s="324" t="s">
        <v>125</v>
      </c>
      <c r="B28" s="280">
        <f>VLOOKUP(A28,SILOMS!C:F,4,0)</f>
        <v>2722</v>
      </c>
      <c r="C28" s="281">
        <f>VLOOKUP(A28,SILOMS!O:Q,3,0)</f>
        <v>173.2673611</v>
      </c>
      <c r="D28" s="284">
        <f t="shared" si="5"/>
        <v>41.58333333</v>
      </c>
      <c r="E28" s="280">
        <f>VLOOKUP(B28,'Hora por anv'!B:D,3,0)</f>
        <v>59.24680851</v>
      </c>
      <c r="F28" s="288">
        <f>E28*'Hora por anv'!$H$1</f>
        <v>278.46</v>
      </c>
      <c r="G28" s="290">
        <f t="shared" si="1"/>
        <v>0.7018662166</v>
      </c>
      <c r="H28" s="68">
        <v>1.0</v>
      </c>
      <c r="I28" s="68">
        <v>1.0</v>
      </c>
      <c r="J28" s="68">
        <v>1.0</v>
      </c>
      <c r="K28" s="68"/>
      <c r="L28" s="68"/>
      <c r="M28" s="71"/>
      <c r="N28" s="71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1"/>
      <c r="AH28" s="71"/>
      <c r="AI28" s="71"/>
      <c r="AJ28" s="71"/>
      <c r="AK28" s="78" t="s">
        <v>51</v>
      </c>
      <c r="AL28" s="71"/>
      <c r="AM28" s="71"/>
      <c r="AN28" s="71"/>
      <c r="AO28" s="71"/>
      <c r="AP28" s="71"/>
      <c r="AQ28" s="71"/>
      <c r="AR28" s="108"/>
      <c r="AS28" s="108"/>
    </row>
    <row r="29">
      <c r="A29" s="325" t="s">
        <v>106</v>
      </c>
      <c r="B29" s="280">
        <f>VLOOKUP(A29,SILOMS!C:F,4,0)</f>
        <v>2739</v>
      </c>
      <c r="C29" s="281">
        <f>VLOOKUP(A29,SILOMS!O:Q,3,0)</f>
        <v>52.10763889</v>
      </c>
      <c r="D29" s="284">
        <f t="shared" ref="D29:D30" si="6">IF(C29*24&lt;1500,1500-(C29*24),IF(C29*24&lt;3000,3000-(C29*24),4000-(C29*24)))
</f>
        <v>249.4166667</v>
      </c>
      <c r="E29" s="280">
        <f>VLOOKUP(B29,'Hora por anv'!B:D,3,0)</f>
        <v>17.77163121</v>
      </c>
      <c r="F29" s="288">
        <f>E29*'Hora por anv'!$H$1</f>
        <v>83.52666667</v>
      </c>
      <c r="G29" s="290">
        <f t="shared" si="1"/>
        <v>14.03453987</v>
      </c>
      <c r="H29" s="68">
        <v>1.0</v>
      </c>
      <c r="I29" s="68">
        <v>1.0</v>
      </c>
      <c r="J29" s="68">
        <v>1.0</v>
      </c>
      <c r="K29" s="68"/>
      <c r="L29" s="68"/>
      <c r="M29" s="71"/>
      <c r="N29" s="71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1"/>
      <c r="AG29" s="71"/>
      <c r="AH29" s="71"/>
      <c r="AI29" s="71"/>
      <c r="AJ29" s="71"/>
      <c r="AK29" s="71"/>
      <c r="AL29" s="71"/>
      <c r="AM29" s="71"/>
      <c r="AN29" s="71"/>
      <c r="AO29" s="144" t="s">
        <v>139</v>
      </c>
      <c r="AP29" s="71"/>
      <c r="AQ29" s="71"/>
      <c r="AR29" s="108"/>
      <c r="AS29" s="201"/>
    </row>
    <row r="30" hidden="1">
      <c r="A30" s="326" t="s">
        <v>89</v>
      </c>
      <c r="B30" s="306">
        <f>VLOOKUP(A30,SILOMS!C:F,4,0)</f>
        <v>2702</v>
      </c>
      <c r="C30" s="307">
        <f>VLOOKUP(A30,SILOMS!O:Q,3,0)</f>
        <v>23.03472222</v>
      </c>
      <c r="D30" s="284">
        <f t="shared" si="6"/>
        <v>947.1666667</v>
      </c>
      <c r="E30" s="306">
        <f>VLOOKUP(B30,'Hora por anv'!B:D,3,0)</f>
        <v>42.09219858</v>
      </c>
      <c r="F30" s="308">
        <f>E30*'Hora por anv'!$H$1</f>
        <v>197.8333333</v>
      </c>
      <c r="G30" s="309">
        <f t="shared" si="1"/>
        <v>22.5021904</v>
      </c>
      <c r="H30" s="161">
        <v>1.0</v>
      </c>
      <c r="I30" s="161">
        <v>1.0</v>
      </c>
      <c r="J30" s="161">
        <v>1.0</v>
      </c>
      <c r="K30" s="161"/>
      <c r="L30" s="161"/>
      <c r="M30" s="162"/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54"/>
      <c r="AS30" s="108"/>
    </row>
    <row r="31">
      <c r="A31" s="324" t="s">
        <v>21</v>
      </c>
      <c r="B31" s="280">
        <f>VLOOKUP(A31,SILOMS!C:F,4,0)</f>
        <v>2741</v>
      </c>
      <c r="C31" s="281">
        <f>VLOOKUP(A31,SILOMS!O:Q,3,0)</f>
        <v>161.9444444</v>
      </c>
      <c r="D31" s="284">
        <f>IF(C31*24&lt;1500,1500-(C31*24),IF(C31*24&lt;3000,3000-(C31*24),4200-(C31*24)))
</f>
        <v>313.3333333</v>
      </c>
      <c r="E31" s="280">
        <f>VLOOKUP(B31,'Hora por anv'!B:D,3,0)</f>
        <v>55.52851064</v>
      </c>
      <c r="F31" s="288">
        <f>E31*'Hora por anv'!$H$1</f>
        <v>260.984</v>
      </c>
      <c r="G31" s="290">
        <f t="shared" si="1"/>
        <v>5.642746937</v>
      </c>
      <c r="H31" s="68" t="s">
        <v>77</v>
      </c>
      <c r="I31" s="68" t="s">
        <v>77</v>
      </c>
      <c r="J31" s="68" t="s">
        <v>77</v>
      </c>
      <c r="K31" s="104" t="s">
        <v>77</v>
      </c>
      <c r="L31" s="104" t="s">
        <v>77</v>
      </c>
      <c r="M31" s="71"/>
      <c r="N31" s="71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8" t="s">
        <v>51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32"/>
      <c r="AS31" s="118"/>
    </row>
    <row r="32" hidden="1">
      <c r="A32" s="306" t="s">
        <v>170</v>
      </c>
      <c r="B32" s="306" t="b">
        <f>VLOOKUP(A32,SILOMS!C:F,4,0)</f>
        <v>0</v>
      </c>
      <c r="C32" s="307">
        <f>VLOOKUP(A32,SILOMS!O:Q,3,0)</f>
        <v>139.4548611</v>
      </c>
      <c r="D32" s="284">
        <f t="shared" ref="D32:D35" si="7">IF(C32*24&lt;1500,1500-(C32*24),IF(C32*24&lt;3000,3000-(C32*24),4000-(C32*24)))
</f>
        <v>653.0833333</v>
      </c>
      <c r="E32" s="306" t="str">
        <f>VLOOKUP(B32,'Hora por anv'!B:D,3,0)</f>
        <v>#N/A</v>
      </c>
      <c r="F32" s="308" t="str">
        <f>E32*'Hora por anv'!$H$1</f>
        <v>#N/A</v>
      </c>
      <c r="G32" s="309" t="str">
        <f t="shared" si="1"/>
        <v>#N/A</v>
      </c>
      <c r="H32" s="161" t="s">
        <v>77</v>
      </c>
      <c r="I32" s="161" t="s">
        <v>77</v>
      </c>
      <c r="J32" s="161" t="s">
        <v>77</v>
      </c>
      <c r="K32" s="161" t="s">
        <v>77</v>
      </c>
      <c r="L32" s="161" t="s">
        <v>77</v>
      </c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  <c r="AL32" s="162"/>
      <c r="AM32" s="162"/>
      <c r="AN32" s="162"/>
      <c r="AO32" s="162"/>
      <c r="AP32" s="162"/>
      <c r="AQ32" s="162"/>
      <c r="AR32" s="154"/>
      <c r="AS32" s="108"/>
    </row>
    <row r="33">
      <c r="A33" s="51" t="s">
        <v>98</v>
      </c>
      <c r="B33" s="280">
        <f>VLOOKUP(A33,SILOMS!C:F,4,0)</f>
        <v>2740</v>
      </c>
      <c r="C33" s="281">
        <f>VLOOKUP(A33,SILOMS!O:Q,3,0)</f>
        <v>137.5729167</v>
      </c>
      <c r="D33" s="284">
        <f t="shared" si="7"/>
        <v>698.25</v>
      </c>
      <c r="E33" s="280">
        <f>VLOOKUP(B33,'Hora por anv'!B:D,3,0)</f>
        <v>55.52851064</v>
      </c>
      <c r="F33" s="288">
        <f>E33*'Hora por anv'!$H$1</f>
        <v>260.984</v>
      </c>
      <c r="G33" s="290">
        <f t="shared" si="1"/>
        <v>12.57462143</v>
      </c>
      <c r="H33" s="68">
        <v>1.0</v>
      </c>
      <c r="I33" s="68">
        <v>1.0</v>
      </c>
      <c r="J33" s="68">
        <v>1.0</v>
      </c>
      <c r="K33" s="68"/>
      <c r="L33" s="68"/>
      <c r="M33" s="71"/>
      <c r="N33" s="71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44" t="s">
        <v>139</v>
      </c>
      <c r="AB33" s="75"/>
      <c r="AC33" s="75"/>
      <c r="AD33" s="75"/>
      <c r="AE33" s="75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4"/>
      <c r="AS33" s="108"/>
    </row>
    <row r="34">
      <c r="A34" s="280" t="s">
        <v>67</v>
      </c>
      <c r="B34" s="280">
        <f>VLOOKUP(A34,SILOMS!C:F,4,0)</f>
        <v>2708</v>
      </c>
      <c r="C34" s="281">
        <f>VLOOKUP(A34,SILOMS!O:Q,3,0)</f>
        <v>95.65625</v>
      </c>
      <c r="D34" s="284">
        <f t="shared" si="7"/>
        <v>704.25</v>
      </c>
      <c r="E34" s="280">
        <f>VLOOKUP(B34,'Hora por anv'!B:D,3,0)</f>
        <v>42.09219858</v>
      </c>
      <c r="F34" s="288">
        <f>E34*'Hora por anv'!$H$1</f>
        <v>197.8333333</v>
      </c>
      <c r="G34" s="290">
        <f t="shared" si="1"/>
        <v>16.7311289</v>
      </c>
      <c r="H34" s="68">
        <v>1.0</v>
      </c>
      <c r="I34" s="68">
        <v>1.0</v>
      </c>
      <c r="J34" s="68">
        <v>1.0</v>
      </c>
      <c r="K34" s="68"/>
      <c r="L34" s="68"/>
      <c r="M34" s="71"/>
      <c r="N34" s="71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32"/>
      <c r="AS34" s="118"/>
    </row>
    <row r="35" hidden="1">
      <c r="A35" s="306" t="s">
        <v>173</v>
      </c>
      <c r="B35" s="306" t="b">
        <f>VLOOKUP(A35,SILOMS!C:F,4,0)</f>
        <v>0</v>
      </c>
      <c r="C35" s="307">
        <f>VLOOKUP(A35,SILOMS!O:Q,3,0)</f>
        <v>20.08680556</v>
      </c>
      <c r="D35" s="284">
        <f t="shared" si="7"/>
        <v>1017.916667</v>
      </c>
      <c r="E35" s="306" t="str">
        <f>VLOOKUP(B35,'Hora por anv'!B:D,3,0)</f>
        <v>#N/A</v>
      </c>
      <c r="F35" s="308" t="str">
        <f>E35*'Hora por anv'!$H$1</f>
        <v>#N/A</v>
      </c>
      <c r="G35" s="309" t="str">
        <f t="shared" si="1"/>
        <v>#N/A</v>
      </c>
      <c r="H35" s="161" t="s">
        <v>77</v>
      </c>
      <c r="I35" s="161" t="s">
        <v>77</v>
      </c>
      <c r="J35" s="161" t="s">
        <v>77</v>
      </c>
      <c r="K35" s="161" t="s">
        <v>77</v>
      </c>
      <c r="L35" s="161" t="s">
        <v>77</v>
      </c>
      <c r="M35" s="162"/>
      <c r="N35" s="162"/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2"/>
      <c r="AR35" s="154"/>
      <c r="AS35" s="108"/>
    </row>
    <row r="36">
      <c r="A36" s="278" t="s">
        <v>101</v>
      </c>
      <c r="B36" s="280">
        <f>VLOOKUP(A36,SILOMS!C:F,4,0)</f>
        <v>2736</v>
      </c>
      <c r="C36" s="281">
        <f>VLOOKUP(A36,SILOMS!O:Q,3,0)</f>
        <v>166.3472222</v>
      </c>
      <c r="D36" s="284">
        <f t="shared" ref="D36:D38" si="8">IF(C36*24&lt;1500,1500-(C36*24),IF(C36*24&lt;3000,3000-(C36*24),4200-(C36*24)))
</f>
        <v>207.6666667</v>
      </c>
      <c r="E36" s="280">
        <f>VLOOKUP(B36,'Hora por anv'!B:D,3,0)</f>
        <v>55.52851064</v>
      </c>
      <c r="F36" s="288">
        <f>E36*'Hora por anv'!$H$1</f>
        <v>260.984</v>
      </c>
      <c r="G36" s="290">
        <f t="shared" si="1"/>
        <v>3.739820576</v>
      </c>
      <c r="H36" s="68">
        <v>1.0</v>
      </c>
      <c r="I36" s="68">
        <v>1.0</v>
      </c>
      <c r="J36" s="68">
        <v>1.0</v>
      </c>
      <c r="K36" s="68"/>
      <c r="L36" s="68"/>
      <c r="M36" s="71"/>
      <c r="N36" s="71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8" t="s">
        <v>51</v>
      </c>
      <c r="AR36" s="108"/>
      <c r="AS36" s="108"/>
    </row>
    <row r="37">
      <c r="A37" s="278" t="s">
        <v>59</v>
      </c>
      <c r="B37" s="280" t="b">
        <f>VLOOKUP(A37,SILOMS!C:F,4,0)</f>
        <v>0</v>
      </c>
      <c r="C37" s="281">
        <f>VLOOKUP(A37,SILOMS!O:Q,3,0)</f>
        <v>185.4131944</v>
      </c>
      <c r="D37" s="284">
        <f t="shared" si="8"/>
        <v>-249.9166667</v>
      </c>
      <c r="E37" s="280" t="str">
        <f>VLOOKUP(B37,'Hora por anv'!B:D,3,0)</f>
        <v>#N/A</v>
      </c>
      <c r="F37" s="288" t="str">
        <f>E37*'Hora por anv'!$H$1</f>
        <v>#N/A</v>
      </c>
      <c r="G37" s="290" t="str">
        <f t="shared" si="1"/>
        <v>#N/A</v>
      </c>
      <c r="H37" s="68" t="s">
        <v>77</v>
      </c>
      <c r="I37" s="68" t="s">
        <v>77</v>
      </c>
      <c r="J37" s="68" t="s">
        <v>77</v>
      </c>
      <c r="K37" s="68" t="s">
        <v>77</v>
      </c>
      <c r="L37" s="68" t="s">
        <v>77</v>
      </c>
      <c r="M37" s="71"/>
      <c r="N37" s="71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1"/>
      <c r="AG37" s="71"/>
      <c r="AH37" s="71"/>
      <c r="AI37" s="71"/>
      <c r="AJ37" s="71"/>
      <c r="AK37" s="71"/>
      <c r="AL37" s="78" t="s">
        <v>51</v>
      </c>
      <c r="AM37" s="71"/>
      <c r="AN37" s="71"/>
      <c r="AO37" s="71"/>
      <c r="AP37" s="71"/>
      <c r="AQ37" s="71"/>
      <c r="AR37" s="108"/>
      <c r="AS37" s="108"/>
    </row>
    <row r="38">
      <c r="A38" s="278" t="s">
        <v>113</v>
      </c>
      <c r="B38" s="280">
        <f>VLOOKUP(A38,SILOMS!C:F,4,0)</f>
        <v>2743</v>
      </c>
      <c r="C38" s="281">
        <f>VLOOKUP(A38,SILOMS!O:Q,3,0)</f>
        <v>183.8715278</v>
      </c>
      <c r="D38" s="284">
        <f t="shared" si="8"/>
        <v>-212.9166667</v>
      </c>
      <c r="E38" s="280">
        <f>VLOOKUP(B38,'Hora por anv'!B:D,3,0)</f>
        <v>95.14042553</v>
      </c>
      <c r="F38" s="288">
        <f>E38*'Hora por anv'!$H$1</f>
        <v>447.16</v>
      </c>
      <c r="G38" s="290">
        <f t="shared" si="1"/>
        <v>-2.237920058</v>
      </c>
      <c r="H38" s="68">
        <v>1.0</v>
      </c>
      <c r="I38" s="68">
        <v>1.0</v>
      </c>
      <c r="J38" s="68">
        <v>1.0</v>
      </c>
      <c r="K38" s="68"/>
      <c r="L38" s="68"/>
      <c r="M38" s="71"/>
      <c r="N38" s="71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1"/>
      <c r="AG38" s="71"/>
      <c r="AH38" s="71"/>
      <c r="AI38" s="71"/>
      <c r="AJ38" s="71"/>
      <c r="AK38" s="71"/>
      <c r="AL38" s="78" t="s">
        <v>51</v>
      </c>
      <c r="AM38" s="71"/>
      <c r="AN38" s="71"/>
      <c r="AO38" s="71"/>
      <c r="AP38" s="71"/>
      <c r="AQ38" s="71"/>
      <c r="AR38" s="132"/>
      <c r="AS38" s="118"/>
    </row>
    <row r="39" hidden="1">
      <c r="A39" s="306" t="s">
        <v>178</v>
      </c>
      <c r="B39" s="306" t="b">
        <f>VLOOKUP(A39,SILOMS!C:F,4,0)</f>
        <v>0</v>
      </c>
      <c r="C39" s="307">
        <f>VLOOKUP(A39,SILOMS!O:Q,3,0)</f>
        <v>75.78819444</v>
      </c>
      <c r="D39" s="284">
        <f t="shared" ref="D39:D42" si="9">IF(C39*24&lt;1500,1500-(C39*24),IF(C39*24&lt;3000,3000-(C39*24),4000-(C39*24)))
</f>
        <v>1181.083333</v>
      </c>
      <c r="E39" s="306" t="str">
        <f>VLOOKUP(B39,'Hora por anv'!B:D,3,0)</f>
        <v>#N/A</v>
      </c>
      <c r="F39" s="308" t="str">
        <f>E39*'Hora por anv'!$H$1</f>
        <v>#N/A</v>
      </c>
      <c r="G39" s="309" t="str">
        <f t="shared" si="1"/>
        <v>#N/A</v>
      </c>
      <c r="H39" s="161" t="s">
        <v>77</v>
      </c>
      <c r="I39" s="161" t="s">
        <v>77</v>
      </c>
      <c r="J39" s="161" t="s">
        <v>77</v>
      </c>
      <c r="K39" s="161" t="s">
        <v>77</v>
      </c>
      <c r="L39" s="161" t="s">
        <v>77</v>
      </c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  <c r="AA39" s="162"/>
      <c r="AB39" s="162"/>
      <c r="AC39" s="162"/>
      <c r="AD39" s="162"/>
      <c r="AE39" s="162"/>
      <c r="AF39" s="162"/>
      <c r="AG39" s="162"/>
      <c r="AH39" s="162"/>
      <c r="AI39" s="162"/>
      <c r="AJ39" s="162"/>
      <c r="AK39" s="162"/>
      <c r="AL39" s="162"/>
      <c r="AM39" s="162"/>
      <c r="AN39" s="162"/>
      <c r="AO39" s="162"/>
      <c r="AP39" s="162"/>
      <c r="AQ39" s="162"/>
      <c r="AR39" s="154"/>
      <c r="AS39" s="108"/>
    </row>
    <row r="40">
      <c r="A40" s="51" t="s">
        <v>133</v>
      </c>
      <c r="B40" s="280">
        <f>VLOOKUP(A40,SILOMS!C:F,4,0)</f>
        <v>2720</v>
      </c>
      <c r="C40" s="281">
        <f>VLOOKUP(A40,SILOMS!O:Q,3,0)</f>
        <v>133.7222222</v>
      </c>
      <c r="D40" s="284">
        <f t="shared" si="9"/>
        <v>790.6666667</v>
      </c>
      <c r="E40" s="280">
        <f>VLOOKUP(B40,'Hora por anv'!B:D,3,0)</f>
        <v>51.37446809</v>
      </c>
      <c r="F40" s="288">
        <f>E40*'Hora por anv'!$H$1</f>
        <v>241.46</v>
      </c>
      <c r="G40" s="290">
        <f t="shared" si="1"/>
        <v>15.39026478</v>
      </c>
      <c r="H40" s="68">
        <v>1.0</v>
      </c>
      <c r="I40" s="68">
        <v>1.0</v>
      </c>
      <c r="J40" s="68">
        <v>1.0</v>
      </c>
      <c r="K40" s="68" t="s">
        <v>77</v>
      </c>
      <c r="L40" s="68" t="s">
        <v>77</v>
      </c>
      <c r="M40" s="71"/>
      <c r="N40" s="71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1"/>
      <c r="AG40" s="71"/>
      <c r="AH40" s="71"/>
      <c r="AI40" s="71"/>
      <c r="AJ40" s="144" t="s">
        <v>139</v>
      </c>
      <c r="AK40" s="71"/>
      <c r="AL40" s="71"/>
      <c r="AM40" s="71"/>
      <c r="AN40" s="71"/>
      <c r="AO40" s="71"/>
      <c r="AP40" s="71"/>
      <c r="AQ40" s="71"/>
      <c r="AR40" s="84"/>
      <c r="AS40" s="108"/>
    </row>
    <row r="41">
      <c r="A41" s="51" t="s">
        <v>160</v>
      </c>
      <c r="B41" s="280" t="b">
        <f>VLOOKUP(A41,SILOMS!C:F,4,0)</f>
        <v>0</v>
      </c>
      <c r="C41" s="281">
        <f>VLOOKUP(A41,SILOMS!O:Q,3,0)</f>
        <v>128.9722222</v>
      </c>
      <c r="D41" s="284">
        <f t="shared" si="9"/>
        <v>904.6666667</v>
      </c>
      <c r="E41" s="280" t="str">
        <f>VLOOKUP(B41,'Hora por anv'!B:D,3,0)</f>
        <v>#N/A</v>
      </c>
      <c r="F41" s="288" t="str">
        <f>E41*'Hora por anv'!$H$1</f>
        <v>#N/A</v>
      </c>
      <c r="G41" s="290" t="str">
        <f t="shared" si="1"/>
        <v>#N/A</v>
      </c>
      <c r="H41" s="68">
        <v>1.0</v>
      </c>
      <c r="I41" s="68">
        <v>1.0</v>
      </c>
      <c r="J41" s="68">
        <v>1.0</v>
      </c>
      <c r="K41" s="68"/>
      <c r="L41" s="68"/>
      <c r="M41" s="162"/>
      <c r="N41" s="71"/>
      <c r="O41" s="128"/>
      <c r="P41" s="72"/>
      <c r="Q41" s="72"/>
      <c r="R41" s="72"/>
      <c r="S41" s="72"/>
      <c r="T41" s="75"/>
      <c r="U41" s="144" t="s">
        <v>139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08"/>
    </row>
    <row r="42">
      <c r="A42" s="327" t="s">
        <v>132</v>
      </c>
      <c r="B42" s="328">
        <f>VLOOKUP(A42,SILOMS!C:F,4,0)</f>
        <v>2709</v>
      </c>
      <c r="C42" s="329">
        <f>VLOOKUP(A42,SILOMS!O:Q,3,0)</f>
        <v>114.8020833</v>
      </c>
      <c r="D42" s="284">
        <f t="shared" si="9"/>
        <v>244.75</v>
      </c>
      <c r="E42" s="328">
        <f>VLOOKUP(B42,'Hora por anv'!B:D,3,0)</f>
        <v>51.37446809</v>
      </c>
      <c r="F42" s="330">
        <f>E42*'Hora por anv'!$H$1</f>
        <v>241.46</v>
      </c>
      <c r="G42" s="331">
        <f t="shared" si="1"/>
        <v>4.764039592</v>
      </c>
      <c r="H42" s="68">
        <v>1.0</v>
      </c>
      <c r="I42" s="68">
        <v>1.0</v>
      </c>
      <c r="J42" s="68">
        <v>1.0</v>
      </c>
      <c r="K42" s="68"/>
      <c r="L42" s="68"/>
      <c r="M42" s="71"/>
      <c r="N42" s="71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4"/>
      <c r="AS42" s="108"/>
    </row>
    <row r="43">
      <c r="A43" s="14"/>
      <c r="B43" s="14"/>
      <c r="C43" s="14"/>
      <c r="D43" s="276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289"/>
    </row>
    <row r="44">
      <c r="A44" s="14"/>
      <c r="B44" s="14"/>
      <c r="C44" s="14"/>
      <c r="D44" s="276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276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293" t="s">
        <v>51</v>
      </c>
      <c r="B46" s="293" t="s">
        <v>139</v>
      </c>
      <c r="C46" s="19"/>
      <c r="D46" s="294"/>
      <c r="E46" s="19"/>
      <c r="F46" s="19"/>
      <c r="G46" s="19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295">
        <v>4000.0</v>
      </c>
      <c r="B47" s="293">
        <v>1500.0</v>
      </c>
      <c r="C47" s="19"/>
      <c r="D47" s="294"/>
      <c r="E47" s="19"/>
      <c r="F47" s="19"/>
      <c r="G47" s="19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19" t="s">
        <v>248</v>
      </c>
      <c r="C48" s="19"/>
      <c r="D48" s="294"/>
      <c r="E48" s="19"/>
      <c r="F48" s="19"/>
      <c r="G48" s="19"/>
      <c r="H48" s="14"/>
      <c r="I48" s="14"/>
      <c r="J48" s="14"/>
      <c r="K48" s="14"/>
      <c r="L48" s="14"/>
      <c r="M48" s="14"/>
      <c r="N48" s="14"/>
      <c r="O48" s="14"/>
      <c r="P48" s="296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276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276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276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276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276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276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276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276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276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276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276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276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276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276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276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276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276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276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276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276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276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276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276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276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276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276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276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276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276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276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276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276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276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276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276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276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276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276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276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276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276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276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276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276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276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276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276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276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276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276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276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276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276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276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276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276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276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276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276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276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276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276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276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276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276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276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276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276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276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276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276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276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276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276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276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276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276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276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276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276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276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276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276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276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276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276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276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276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276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276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276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276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276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276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276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276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276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276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276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276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276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276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276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276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276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276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276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276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276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276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276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276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276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276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276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276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276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276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276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276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276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276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276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276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276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276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276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276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276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276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276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276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276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276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276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276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276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276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276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276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276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276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276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276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276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276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276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276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276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276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276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276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276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276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276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276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276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276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276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276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276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276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276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276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276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276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276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276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276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276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276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276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276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276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276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276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276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276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276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276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276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276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276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276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276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276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276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276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276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276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276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276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276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276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276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276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276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276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276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276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276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276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276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276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276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276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276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276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276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276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276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276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276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276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276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276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276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276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276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276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276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276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276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276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276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276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276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276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276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276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276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276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276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276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276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276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276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276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276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276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276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276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276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276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276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276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276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276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276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276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276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276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276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276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276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276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276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276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276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276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276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276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276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276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276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276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276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276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276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276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276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276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276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276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276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276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276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276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276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276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276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276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276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276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276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276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276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276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276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276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276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276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276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276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276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276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276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276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276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276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276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276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276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276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276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276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276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276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276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276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276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276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276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276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276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276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276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276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276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276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276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276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276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276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276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276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276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276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276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276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276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276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276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276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276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276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276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276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276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276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276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276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276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276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276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276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276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276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276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276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276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276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276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276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276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276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276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276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276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276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276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276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276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276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276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276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276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276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276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276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276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276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276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276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276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276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276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276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276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276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276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276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276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276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276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276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276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276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276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276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276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276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276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276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276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276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276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276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276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276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276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276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276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276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276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276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276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276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276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276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276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276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276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276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276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276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276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276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276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276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276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276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276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276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276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276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276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276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276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276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276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276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276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276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276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276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276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276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276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276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276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276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276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276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276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276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276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276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276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276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276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276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276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276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276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276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276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276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276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276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276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276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276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276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276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276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276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276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276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276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276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276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276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276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276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276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276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276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276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276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276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276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276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276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276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276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276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276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276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276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276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276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276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276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276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276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276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276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276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276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276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276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276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276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276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276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276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276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276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276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276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276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276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276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276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276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276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276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276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276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276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276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276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276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276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276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276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276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276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276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276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276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276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276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276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276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276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276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276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276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276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276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276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276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276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276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276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276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276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276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276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276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276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276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276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276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276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276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276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276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276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276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276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276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276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276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276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276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276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276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276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276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276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276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276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276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276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276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276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276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276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276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276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276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276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276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276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276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276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276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276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276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276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276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276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276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276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276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276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276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276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276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276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276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276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276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276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276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276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276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276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276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276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276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276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276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276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276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276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276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276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276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276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276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276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276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276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276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276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276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276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276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276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276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276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276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276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276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276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276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276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276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276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276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276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276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276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276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276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276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276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276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276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276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276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276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276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276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276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276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276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276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276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276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276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276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276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276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276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276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276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276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276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276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276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276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276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276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276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276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276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276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276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276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276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276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276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276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276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276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276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276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276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276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276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276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276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276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276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276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276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276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276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276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276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276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276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276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276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276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276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276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276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276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276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276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276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276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276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276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276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276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276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276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276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276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276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276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276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276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276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276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276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276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276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276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276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276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276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276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276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276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276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276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276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276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276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276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276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276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276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276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276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276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276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276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276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276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276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276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276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276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276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276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276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276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276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276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276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276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276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276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276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276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276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276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276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276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276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276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276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276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276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276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276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276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276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276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276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276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276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276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276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276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276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276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276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276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276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276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276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276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276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276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276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276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276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276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276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276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276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276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276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276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276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276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276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276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276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276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276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276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276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276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276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276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276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276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276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276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276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276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276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276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276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276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276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276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276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276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276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276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276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276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276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276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276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276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276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276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276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276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276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276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276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276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276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276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276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276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276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276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276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276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276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276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276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276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276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276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276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276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276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276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276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276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276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276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276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276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276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276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276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276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276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276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276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276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276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276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276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276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276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276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276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276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276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276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276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276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276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276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276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276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276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276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276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276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276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276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276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276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276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276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276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276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276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276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276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276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276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276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276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276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276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276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276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276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276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276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276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276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276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276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276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276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276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276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276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276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276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276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276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276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276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276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276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276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276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276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276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276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2" t="s">
        <v>254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</row>
    <row r="2">
      <c r="A2" s="333"/>
      <c r="B2" s="333"/>
      <c r="C2" s="333"/>
      <c r="D2" s="334" t="s">
        <v>255</v>
      </c>
      <c r="E2" s="334" t="s">
        <v>256</v>
      </c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</row>
    <row r="3">
      <c r="A3" s="333"/>
      <c r="B3" s="333"/>
      <c r="C3" s="333"/>
      <c r="D3" s="334" t="s">
        <v>68</v>
      </c>
      <c r="E3" s="334" t="s">
        <v>257</v>
      </c>
      <c r="F3" s="334" t="s">
        <v>32</v>
      </c>
      <c r="G3" s="334" t="s">
        <v>258</v>
      </c>
      <c r="H3" s="334" t="s">
        <v>259</v>
      </c>
      <c r="I3" s="334" t="s">
        <v>29</v>
      </c>
      <c r="J3" s="334" t="s">
        <v>260</v>
      </c>
      <c r="K3" s="334" t="s">
        <v>31</v>
      </c>
      <c r="L3" s="334" t="s">
        <v>261</v>
      </c>
      <c r="M3" s="334" t="s">
        <v>262</v>
      </c>
      <c r="N3" s="334" t="s">
        <v>3</v>
      </c>
      <c r="O3" s="334" t="s">
        <v>263</v>
      </c>
      <c r="P3" s="334" t="s">
        <v>264</v>
      </c>
      <c r="Q3" s="334" t="s">
        <v>265</v>
      </c>
      <c r="R3" s="334" t="s">
        <v>266</v>
      </c>
      <c r="S3" s="334" t="s">
        <v>267</v>
      </c>
      <c r="T3" s="334" t="s">
        <v>268</v>
      </c>
      <c r="U3" s="334" t="s">
        <v>269</v>
      </c>
      <c r="V3" s="334" t="s">
        <v>270</v>
      </c>
      <c r="W3" s="334" t="s">
        <v>271</v>
      </c>
      <c r="X3" s="334" t="s">
        <v>272</v>
      </c>
      <c r="Y3" s="334" t="s">
        <v>273</v>
      </c>
      <c r="Z3" s="334" t="s">
        <v>274</v>
      </c>
      <c r="AA3" s="334" t="s">
        <v>275</v>
      </c>
      <c r="AB3" s="334" t="s">
        <v>276</v>
      </c>
      <c r="AC3" s="334" t="s">
        <v>277</v>
      </c>
      <c r="AD3" s="334" t="s">
        <v>278</v>
      </c>
      <c r="AE3" s="334" t="s">
        <v>279</v>
      </c>
      <c r="AF3" s="334" t="s">
        <v>280</v>
      </c>
      <c r="AG3" s="335"/>
    </row>
    <row r="4">
      <c r="A4" s="333"/>
      <c r="B4" s="333"/>
      <c r="C4" s="333"/>
      <c r="D4" s="336">
        <v>3.810267428E9</v>
      </c>
      <c r="E4" s="335"/>
      <c r="F4" s="334" t="s">
        <v>281</v>
      </c>
      <c r="G4" s="334" t="s">
        <v>282</v>
      </c>
      <c r="H4" s="337">
        <v>45686.0</v>
      </c>
      <c r="I4" s="334" t="s">
        <v>283</v>
      </c>
      <c r="J4" s="337">
        <v>45492.0</v>
      </c>
      <c r="K4" s="336">
        <v>3044000.0</v>
      </c>
      <c r="L4" s="336">
        <v>198.0</v>
      </c>
      <c r="M4" s="334" t="s">
        <v>161</v>
      </c>
      <c r="N4" s="334" t="s">
        <v>145</v>
      </c>
      <c r="O4" s="335"/>
      <c r="P4" s="335"/>
      <c r="Q4" s="335"/>
      <c r="R4" s="335"/>
      <c r="S4" s="336">
        <v>1.0</v>
      </c>
      <c r="T4" s="337">
        <v>45491.0</v>
      </c>
      <c r="U4" s="337">
        <v>45528.0</v>
      </c>
      <c r="V4" s="337">
        <v>45492.0</v>
      </c>
      <c r="W4" s="335"/>
      <c r="X4" s="334" t="s">
        <v>284</v>
      </c>
      <c r="Y4" s="336">
        <v>3.1324001592E11</v>
      </c>
      <c r="Z4" s="334" t="s">
        <v>60</v>
      </c>
      <c r="AA4" s="334" t="s">
        <v>285</v>
      </c>
      <c r="AB4" s="336">
        <v>3.810496453E9</v>
      </c>
      <c r="AC4" s="334" t="s">
        <v>146</v>
      </c>
      <c r="AD4" s="334" t="s">
        <v>286</v>
      </c>
      <c r="AE4" s="334" t="s">
        <v>287</v>
      </c>
      <c r="AF4" s="335"/>
      <c r="AG4" s="335"/>
    </row>
    <row r="5">
      <c r="A5" s="333"/>
      <c r="B5" s="333"/>
      <c r="C5" s="333"/>
      <c r="D5" s="336">
        <v>3.810269967E9</v>
      </c>
      <c r="E5" s="335"/>
      <c r="F5" s="334" t="s">
        <v>281</v>
      </c>
      <c r="G5" s="334" t="s">
        <v>288</v>
      </c>
      <c r="H5" s="337">
        <v>45728.0</v>
      </c>
      <c r="I5" s="334" t="s">
        <v>283</v>
      </c>
      <c r="J5" s="337">
        <v>45631.0</v>
      </c>
      <c r="K5" s="336">
        <v>3044000.0</v>
      </c>
      <c r="L5" s="336">
        <v>198.0</v>
      </c>
      <c r="M5" s="334" t="s">
        <v>161</v>
      </c>
      <c r="N5" s="334" t="s">
        <v>178</v>
      </c>
      <c r="O5" s="335"/>
      <c r="P5" s="335"/>
      <c r="Q5" s="335"/>
      <c r="R5" s="335"/>
      <c r="S5" s="336">
        <v>1.0</v>
      </c>
      <c r="T5" s="337">
        <v>45628.0</v>
      </c>
      <c r="U5" s="337">
        <v>45632.0</v>
      </c>
      <c r="V5" s="337">
        <v>45631.0</v>
      </c>
      <c r="W5" s="335"/>
      <c r="X5" s="334" t="s">
        <v>289</v>
      </c>
      <c r="Y5" s="335"/>
      <c r="Z5" s="334" t="s">
        <v>60</v>
      </c>
      <c r="AA5" s="334" t="s">
        <v>285</v>
      </c>
      <c r="AB5" s="336">
        <v>3.810499719E9</v>
      </c>
      <c r="AC5" s="334" t="s">
        <v>290</v>
      </c>
      <c r="AD5" s="334" t="s">
        <v>291</v>
      </c>
      <c r="AE5" s="334" t="s">
        <v>292</v>
      </c>
      <c r="AF5" s="335"/>
      <c r="AG5" s="335"/>
    </row>
    <row r="6">
      <c r="A6" s="333"/>
      <c r="B6" s="333"/>
      <c r="C6" s="333"/>
      <c r="D6" s="336">
        <v>3.810271134E9</v>
      </c>
      <c r="E6" s="335"/>
      <c r="F6" s="334" t="s">
        <v>281</v>
      </c>
      <c r="G6" s="334" t="s">
        <v>288</v>
      </c>
      <c r="H6" s="337">
        <v>45716.0</v>
      </c>
      <c r="I6" s="334" t="s">
        <v>283</v>
      </c>
      <c r="J6" s="337">
        <v>45716.0</v>
      </c>
      <c r="K6" s="336">
        <v>3044000.0</v>
      </c>
      <c r="L6" s="336">
        <v>198.0</v>
      </c>
      <c r="M6" s="334" t="s">
        <v>161</v>
      </c>
      <c r="N6" s="334" t="s">
        <v>134</v>
      </c>
      <c r="O6" s="335"/>
      <c r="P6" s="335"/>
      <c r="Q6" s="335"/>
      <c r="R6" s="335"/>
      <c r="S6" s="336">
        <v>1.0</v>
      </c>
      <c r="T6" s="337">
        <v>45716.0</v>
      </c>
      <c r="U6" s="337">
        <v>45722.0</v>
      </c>
      <c r="V6" s="337">
        <v>45716.0</v>
      </c>
      <c r="W6" s="335"/>
      <c r="X6" s="334" t="s">
        <v>289</v>
      </c>
      <c r="Y6" s="335"/>
      <c r="Z6" s="334" t="s">
        <v>60</v>
      </c>
      <c r="AA6" s="334" t="s">
        <v>285</v>
      </c>
      <c r="AB6" s="336">
        <v>3.810500784E9</v>
      </c>
      <c r="AC6" s="334" t="s">
        <v>146</v>
      </c>
      <c r="AD6" s="334" t="s">
        <v>293</v>
      </c>
      <c r="AE6" s="334" t="s">
        <v>287</v>
      </c>
      <c r="AF6" s="335"/>
      <c r="AG6" s="335"/>
    </row>
    <row r="7">
      <c r="A7" s="333"/>
      <c r="B7" s="333"/>
      <c r="C7" s="333"/>
      <c r="D7" s="336">
        <v>3.810271161E9</v>
      </c>
      <c r="E7" s="335"/>
      <c r="F7" s="334" t="s">
        <v>281</v>
      </c>
      <c r="G7" s="334" t="s">
        <v>288</v>
      </c>
      <c r="H7" s="337">
        <v>45728.0</v>
      </c>
      <c r="I7" s="334" t="s">
        <v>283</v>
      </c>
      <c r="J7" s="337">
        <v>45728.0</v>
      </c>
      <c r="K7" s="336">
        <v>3044000.0</v>
      </c>
      <c r="L7" s="336">
        <v>198.0</v>
      </c>
      <c r="M7" s="334" t="s">
        <v>161</v>
      </c>
      <c r="N7" s="334" t="s">
        <v>82</v>
      </c>
      <c r="O7" s="335"/>
      <c r="P7" s="335"/>
      <c r="Q7" s="335"/>
      <c r="R7" s="335"/>
      <c r="S7" s="336">
        <v>1.0</v>
      </c>
      <c r="T7" s="337">
        <v>45722.0</v>
      </c>
      <c r="U7" s="337">
        <v>45782.0</v>
      </c>
      <c r="V7" s="337">
        <v>45728.0</v>
      </c>
      <c r="W7" s="335"/>
      <c r="X7" s="334" t="s">
        <v>289</v>
      </c>
      <c r="Y7" s="335"/>
      <c r="Z7" s="334" t="s">
        <v>60</v>
      </c>
      <c r="AA7" s="334" t="s">
        <v>285</v>
      </c>
      <c r="AB7" s="336">
        <v>3.810501279E9</v>
      </c>
      <c r="AC7" s="334" t="s">
        <v>146</v>
      </c>
      <c r="AD7" s="334" t="s">
        <v>286</v>
      </c>
      <c r="AE7" s="334" t="s">
        <v>287</v>
      </c>
      <c r="AF7" s="335"/>
      <c r="AG7" s="335"/>
    </row>
    <row r="8">
      <c r="A8" s="333"/>
      <c r="B8" s="333"/>
      <c r="C8" s="333"/>
      <c r="D8" s="335"/>
      <c r="E8" s="335"/>
      <c r="F8" s="335"/>
      <c r="G8" s="335"/>
      <c r="H8" s="335"/>
      <c r="I8" s="335"/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</row>
    <row r="9">
      <c r="A9" s="333"/>
      <c r="B9" s="333"/>
      <c r="C9" s="333"/>
      <c r="D9" s="334" t="s">
        <v>255</v>
      </c>
      <c r="E9" s="334" t="s">
        <v>294</v>
      </c>
      <c r="F9" s="335"/>
      <c r="G9" s="335"/>
      <c r="H9" s="335"/>
      <c r="I9" s="335"/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5"/>
      <c r="AC9" s="335"/>
      <c r="AD9" s="335"/>
      <c r="AE9" s="335"/>
      <c r="AF9" s="335"/>
      <c r="AG9" s="335"/>
    </row>
    <row r="10">
      <c r="A10" s="333"/>
      <c r="B10" s="333"/>
      <c r="C10" s="333"/>
      <c r="D10" s="334" t="s">
        <v>68</v>
      </c>
      <c r="E10" s="334" t="s">
        <v>257</v>
      </c>
      <c r="F10" s="334" t="s">
        <v>32</v>
      </c>
      <c r="G10" s="334" t="s">
        <v>258</v>
      </c>
      <c r="H10" s="334" t="s">
        <v>259</v>
      </c>
      <c r="I10" s="334" t="s">
        <v>29</v>
      </c>
      <c r="J10" s="334" t="s">
        <v>260</v>
      </c>
      <c r="K10" s="334" t="s">
        <v>31</v>
      </c>
      <c r="L10" s="334" t="s">
        <v>261</v>
      </c>
      <c r="M10" s="334" t="s">
        <v>262</v>
      </c>
      <c r="N10" s="334" t="s">
        <v>3</v>
      </c>
      <c r="O10" s="334" t="s">
        <v>263</v>
      </c>
      <c r="P10" s="334" t="s">
        <v>264</v>
      </c>
      <c r="Q10" s="334" t="s">
        <v>265</v>
      </c>
      <c r="R10" s="334" t="s">
        <v>266</v>
      </c>
      <c r="S10" s="334" t="s">
        <v>267</v>
      </c>
      <c r="T10" s="334" t="s">
        <v>268</v>
      </c>
      <c r="U10" s="334" t="s">
        <v>269</v>
      </c>
      <c r="V10" s="334" t="s">
        <v>270</v>
      </c>
      <c r="W10" s="334" t="s">
        <v>271</v>
      </c>
      <c r="X10" s="334" t="s">
        <v>272</v>
      </c>
      <c r="Y10" s="334" t="s">
        <v>273</v>
      </c>
      <c r="Z10" s="334" t="s">
        <v>274</v>
      </c>
      <c r="AA10" s="334" t="s">
        <v>275</v>
      </c>
      <c r="AB10" s="334" t="s">
        <v>276</v>
      </c>
      <c r="AC10" s="334" t="s">
        <v>277</v>
      </c>
      <c r="AD10" s="334" t="s">
        <v>278</v>
      </c>
      <c r="AE10" s="334" t="s">
        <v>279</v>
      </c>
      <c r="AF10" s="334" t="s">
        <v>280</v>
      </c>
      <c r="AG10" s="335"/>
    </row>
    <row r="11">
      <c r="A11" s="333"/>
      <c r="B11" s="333"/>
      <c r="C11" s="333"/>
      <c r="D11" s="336">
        <v>3.810271238E9</v>
      </c>
      <c r="E11" s="336">
        <v>3.810271161E9</v>
      </c>
      <c r="F11" s="334" t="s">
        <v>281</v>
      </c>
      <c r="G11" s="334" t="s">
        <v>288</v>
      </c>
      <c r="H11" s="337">
        <v>45755.0</v>
      </c>
      <c r="I11" s="334" t="s">
        <v>283</v>
      </c>
      <c r="J11" s="337">
        <v>45755.0</v>
      </c>
      <c r="K11" s="336">
        <v>3044000.0</v>
      </c>
      <c r="L11" s="336">
        <v>198.0</v>
      </c>
      <c r="M11" s="334" t="s">
        <v>161</v>
      </c>
      <c r="N11" s="334" t="s">
        <v>82</v>
      </c>
      <c r="O11" s="335"/>
      <c r="P11" s="335"/>
      <c r="Q11" s="335"/>
      <c r="R11" s="335"/>
      <c r="S11" s="336">
        <v>1.0</v>
      </c>
      <c r="T11" s="337">
        <v>45728.0</v>
      </c>
      <c r="U11" s="337">
        <v>45734.0</v>
      </c>
      <c r="V11" s="337">
        <v>45755.0</v>
      </c>
      <c r="W11" s="335"/>
      <c r="X11" s="334" t="s">
        <v>289</v>
      </c>
      <c r="Y11" s="335"/>
      <c r="Z11" s="334" t="s">
        <v>60</v>
      </c>
      <c r="AA11" s="334" t="s">
        <v>295</v>
      </c>
      <c r="AB11" s="336">
        <v>3.810502614E9</v>
      </c>
      <c r="AC11" s="334" t="s">
        <v>60</v>
      </c>
      <c r="AD11" s="334" t="s">
        <v>285</v>
      </c>
      <c r="AE11" s="334" t="s">
        <v>296</v>
      </c>
      <c r="AF11" s="335"/>
      <c r="AG11" s="335"/>
    </row>
    <row r="12">
      <c r="A12" s="333"/>
      <c r="B12" s="333"/>
      <c r="C12" s="333"/>
      <c r="D12" s="336">
        <v>3.810272417E9</v>
      </c>
      <c r="E12" s="336">
        <v>3.810272114E9</v>
      </c>
      <c r="F12" s="334" t="s">
        <v>281</v>
      </c>
      <c r="G12" s="334" t="s">
        <v>297</v>
      </c>
      <c r="H12" s="337">
        <v>45772.0</v>
      </c>
      <c r="I12" s="334" t="s">
        <v>283</v>
      </c>
      <c r="J12" s="335"/>
      <c r="K12" s="336">
        <v>3044000.0</v>
      </c>
      <c r="L12" s="336">
        <v>198.0</v>
      </c>
      <c r="M12" s="334" t="s">
        <v>161</v>
      </c>
      <c r="N12" s="334" t="s">
        <v>82</v>
      </c>
      <c r="O12" s="335"/>
      <c r="P12" s="335"/>
      <c r="Q12" s="335"/>
      <c r="R12" s="335"/>
      <c r="S12" s="336">
        <v>1.0</v>
      </c>
      <c r="T12" s="337">
        <v>45772.0</v>
      </c>
      <c r="U12" s="337">
        <v>45775.0</v>
      </c>
      <c r="V12" s="335"/>
      <c r="W12" s="335"/>
      <c r="X12" s="334" t="s">
        <v>289</v>
      </c>
      <c r="Y12" s="335"/>
      <c r="Z12" s="334" t="s">
        <v>60</v>
      </c>
      <c r="AA12" s="334" t="s">
        <v>295</v>
      </c>
      <c r="AB12" s="336">
        <v>3.810504268E9</v>
      </c>
      <c r="AC12" s="334" t="s">
        <v>60</v>
      </c>
      <c r="AD12" s="334" t="s">
        <v>298</v>
      </c>
      <c r="AE12" s="334" t="s">
        <v>296</v>
      </c>
      <c r="AF12" s="335"/>
      <c r="AG12" s="335"/>
    </row>
    <row r="13">
      <c r="A13" s="333"/>
      <c r="B13" s="333"/>
      <c r="C13" s="333"/>
      <c r="D13" s="336">
        <v>3.810272291E9</v>
      </c>
      <c r="E13" s="336">
        <v>3.810272114E9</v>
      </c>
      <c r="F13" s="334" t="s">
        <v>281</v>
      </c>
      <c r="G13" s="334" t="s">
        <v>297</v>
      </c>
      <c r="H13" s="337">
        <v>45762.0</v>
      </c>
      <c r="I13" s="334" t="s">
        <v>283</v>
      </c>
      <c r="J13" s="335"/>
      <c r="K13" s="336">
        <v>3044000.0</v>
      </c>
      <c r="L13" s="336">
        <v>198.0</v>
      </c>
      <c r="M13" s="334" t="s">
        <v>161</v>
      </c>
      <c r="N13" s="334" t="s">
        <v>82</v>
      </c>
      <c r="O13" s="335"/>
      <c r="P13" s="335"/>
      <c r="Q13" s="335"/>
      <c r="R13" s="335"/>
      <c r="S13" s="336">
        <v>1.0</v>
      </c>
      <c r="T13" s="337">
        <v>45762.0</v>
      </c>
      <c r="U13" s="337">
        <v>45770.0</v>
      </c>
      <c r="V13" s="335"/>
      <c r="W13" s="335"/>
      <c r="X13" s="334" t="s">
        <v>289</v>
      </c>
      <c r="Y13" s="335"/>
      <c r="Z13" s="334" t="s">
        <v>60</v>
      </c>
      <c r="AA13" s="334" t="s">
        <v>295</v>
      </c>
      <c r="AB13" s="336">
        <v>3.810504159E9</v>
      </c>
      <c r="AC13" s="334" t="s">
        <v>60</v>
      </c>
      <c r="AD13" s="334" t="s">
        <v>299</v>
      </c>
      <c r="AE13" s="334" t="s">
        <v>300</v>
      </c>
      <c r="AF13" s="335"/>
      <c r="AG13" s="335"/>
    </row>
    <row r="14">
      <c r="A14" s="333"/>
      <c r="B14" s="333"/>
      <c r="C14" s="333"/>
      <c r="D14" s="336">
        <v>3.810272339E9</v>
      </c>
      <c r="E14" s="336">
        <v>3.810272114E9</v>
      </c>
      <c r="F14" s="334" t="s">
        <v>281</v>
      </c>
      <c r="G14" s="334" t="s">
        <v>297</v>
      </c>
      <c r="H14" s="337">
        <v>45763.0</v>
      </c>
      <c r="I14" s="334" t="s">
        <v>283</v>
      </c>
      <c r="J14" s="335"/>
      <c r="K14" s="336">
        <v>3044000.0</v>
      </c>
      <c r="L14" s="336">
        <v>198.0</v>
      </c>
      <c r="M14" s="334" t="s">
        <v>161</v>
      </c>
      <c r="N14" s="334" t="s">
        <v>82</v>
      </c>
      <c r="O14" s="335"/>
      <c r="P14" s="335"/>
      <c r="Q14" s="335"/>
      <c r="R14" s="335"/>
      <c r="S14" s="336">
        <v>1.0</v>
      </c>
      <c r="T14" s="337">
        <v>45763.0</v>
      </c>
      <c r="U14" s="337">
        <v>45777.0</v>
      </c>
      <c r="V14" s="335"/>
      <c r="W14" s="335"/>
      <c r="X14" s="334" t="s">
        <v>289</v>
      </c>
      <c r="Y14" s="335"/>
      <c r="Z14" s="334" t="s">
        <v>60</v>
      </c>
      <c r="AA14" s="334" t="s">
        <v>295</v>
      </c>
      <c r="AB14" s="336">
        <v>3.810504182E9</v>
      </c>
      <c r="AC14" s="334" t="s">
        <v>60</v>
      </c>
      <c r="AD14" s="334" t="s">
        <v>299</v>
      </c>
      <c r="AE14" s="334" t="s">
        <v>301</v>
      </c>
      <c r="AF14" s="335"/>
      <c r="AG14" s="335"/>
    </row>
    <row r="15">
      <c r="A15" s="333"/>
      <c r="B15" s="333"/>
      <c r="C15" s="333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  <c r="AC15" s="335"/>
      <c r="AD15" s="335"/>
      <c r="AE15" s="335"/>
      <c r="AF15" s="335"/>
      <c r="AG15" s="335"/>
    </row>
    <row r="16">
      <c r="A16" s="333"/>
      <c r="B16" s="333"/>
      <c r="C16" s="333"/>
      <c r="D16" s="334" t="s">
        <v>255</v>
      </c>
      <c r="E16" s="334" t="s">
        <v>302</v>
      </c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5"/>
      <c r="Q16" s="335"/>
      <c r="R16" s="335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  <c r="AC16" s="335"/>
      <c r="AD16" s="335"/>
      <c r="AE16" s="335"/>
      <c r="AF16" s="335"/>
      <c r="AG16" s="335"/>
    </row>
    <row r="17">
      <c r="A17" s="333"/>
      <c r="B17" s="333"/>
      <c r="C17" s="333"/>
      <c r="D17" s="334" t="s">
        <v>68</v>
      </c>
      <c r="E17" s="334" t="s">
        <v>257</v>
      </c>
      <c r="F17" s="334" t="s">
        <v>32</v>
      </c>
      <c r="G17" s="334" t="s">
        <v>258</v>
      </c>
      <c r="H17" s="334" t="s">
        <v>259</v>
      </c>
      <c r="I17" s="334" t="s">
        <v>29</v>
      </c>
      <c r="J17" s="334" t="s">
        <v>260</v>
      </c>
      <c r="K17" s="334" t="s">
        <v>31</v>
      </c>
      <c r="L17" s="334" t="s">
        <v>261</v>
      </c>
      <c r="M17" s="334" t="s">
        <v>262</v>
      </c>
      <c r="N17" s="334" t="s">
        <v>3</v>
      </c>
      <c r="O17" s="334" t="s">
        <v>263</v>
      </c>
      <c r="P17" s="334" t="s">
        <v>264</v>
      </c>
      <c r="Q17" s="334" t="s">
        <v>265</v>
      </c>
      <c r="R17" s="334" t="s">
        <v>266</v>
      </c>
      <c r="S17" s="334" t="s">
        <v>267</v>
      </c>
      <c r="T17" s="334" t="s">
        <v>268</v>
      </c>
      <c r="U17" s="334" t="s">
        <v>269</v>
      </c>
      <c r="V17" s="334" t="s">
        <v>270</v>
      </c>
      <c r="W17" s="334" t="s">
        <v>271</v>
      </c>
      <c r="X17" s="334" t="s">
        <v>272</v>
      </c>
      <c r="Y17" s="334" t="s">
        <v>273</v>
      </c>
      <c r="Z17" s="334" t="s">
        <v>274</v>
      </c>
      <c r="AA17" s="334" t="s">
        <v>275</v>
      </c>
      <c r="AB17" s="334" t="s">
        <v>276</v>
      </c>
      <c r="AC17" s="334" t="s">
        <v>277</v>
      </c>
      <c r="AD17" s="334" t="s">
        <v>278</v>
      </c>
      <c r="AE17" s="334" t="s">
        <v>279</v>
      </c>
      <c r="AF17" s="334" t="s">
        <v>280</v>
      </c>
      <c r="AG17" s="335"/>
    </row>
    <row r="18">
      <c r="A18" s="333"/>
      <c r="B18" s="333"/>
      <c r="C18" s="333"/>
      <c r="D18" s="336">
        <v>3.810272114E9</v>
      </c>
      <c r="E18" s="336">
        <v>3.810271161E9</v>
      </c>
      <c r="F18" s="334" t="s">
        <v>281</v>
      </c>
      <c r="G18" s="334" t="s">
        <v>288</v>
      </c>
      <c r="H18" s="337">
        <v>45755.0</v>
      </c>
      <c r="I18" s="334" t="s">
        <v>283</v>
      </c>
      <c r="J18" s="337">
        <v>45755.0</v>
      </c>
      <c r="K18" s="336">
        <v>3044000.0</v>
      </c>
      <c r="L18" s="336">
        <v>198.0</v>
      </c>
      <c r="M18" s="334" t="s">
        <v>161</v>
      </c>
      <c r="N18" s="334" t="s">
        <v>82</v>
      </c>
      <c r="O18" s="335"/>
      <c r="P18" s="335"/>
      <c r="Q18" s="335"/>
      <c r="R18" s="335"/>
      <c r="S18" s="336">
        <v>1.0</v>
      </c>
      <c r="T18" s="337">
        <v>45754.0</v>
      </c>
      <c r="U18" s="337">
        <v>45849.0</v>
      </c>
      <c r="V18" s="337">
        <v>45754.0</v>
      </c>
      <c r="W18" s="335"/>
      <c r="X18" s="334" t="s">
        <v>289</v>
      </c>
      <c r="Y18" s="335"/>
      <c r="Z18" s="334" t="s">
        <v>60</v>
      </c>
      <c r="AA18" s="334" t="s">
        <v>299</v>
      </c>
      <c r="AB18" s="336">
        <v>3.810503807E9</v>
      </c>
      <c r="AC18" s="334" t="s">
        <v>60</v>
      </c>
      <c r="AD18" s="334" t="s">
        <v>298</v>
      </c>
      <c r="AE18" s="334" t="s">
        <v>303</v>
      </c>
      <c r="AF18" s="335"/>
      <c r="AG18" s="335"/>
    </row>
    <row r="19">
      <c r="A19" s="333"/>
      <c r="B19" s="333"/>
      <c r="C19" s="333"/>
      <c r="D19" s="334" t="s">
        <v>304</v>
      </c>
      <c r="E19" s="334" t="s">
        <v>305</v>
      </c>
      <c r="F19" s="335"/>
      <c r="G19" s="335"/>
      <c r="H19" s="335"/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5"/>
      <c r="AC19" s="335"/>
      <c r="AD19" s="335"/>
      <c r="AE19" s="335"/>
      <c r="AF19" s="335"/>
      <c r="AG19" s="335"/>
    </row>
    <row r="20">
      <c r="A20" s="333"/>
      <c r="B20" s="333"/>
      <c r="C20" s="333"/>
      <c r="D20" s="334" t="s">
        <v>68</v>
      </c>
      <c r="E20" s="334" t="s">
        <v>257</v>
      </c>
      <c r="F20" s="334" t="s">
        <v>32</v>
      </c>
      <c r="G20" s="334" t="s">
        <v>258</v>
      </c>
      <c r="H20" s="334" t="s">
        <v>259</v>
      </c>
      <c r="I20" s="334" t="s">
        <v>29</v>
      </c>
      <c r="J20" s="334" t="s">
        <v>260</v>
      </c>
      <c r="K20" s="334" t="s">
        <v>31</v>
      </c>
      <c r="L20" s="334" t="s">
        <v>261</v>
      </c>
      <c r="M20" s="334" t="s">
        <v>262</v>
      </c>
      <c r="N20" s="334" t="s">
        <v>3</v>
      </c>
      <c r="O20" s="334" t="s">
        <v>263</v>
      </c>
      <c r="P20" s="334" t="s">
        <v>264</v>
      </c>
      <c r="Q20" s="334" t="s">
        <v>265</v>
      </c>
      <c r="R20" s="334" t="s">
        <v>266</v>
      </c>
      <c r="S20" s="334" t="s">
        <v>267</v>
      </c>
      <c r="T20" s="334" t="s">
        <v>268</v>
      </c>
      <c r="U20" s="334" t="s">
        <v>269</v>
      </c>
      <c r="V20" s="334" t="s">
        <v>270</v>
      </c>
      <c r="W20" s="334" t="s">
        <v>271</v>
      </c>
      <c r="X20" s="334" t="s">
        <v>272</v>
      </c>
      <c r="Y20" s="334" t="s">
        <v>273</v>
      </c>
      <c r="Z20" s="334" t="s">
        <v>274</v>
      </c>
      <c r="AA20" s="334" t="s">
        <v>275</v>
      </c>
      <c r="AB20" s="334" t="s">
        <v>276</v>
      </c>
      <c r="AC20" s="334" t="s">
        <v>277</v>
      </c>
      <c r="AD20" s="334" t="s">
        <v>278</v>
      </c>
      <c r="AE20" s="334" t="s">
        <v>279</v>
      </c>
      <c r="AF20" s="334" t="s">
        <v>280</v>
      </c>
      <c r="AG20" s="335"/>
    </row>
    <row r="21">
      <c r="A21" s="333"/>
      <c r="B21" s="333"/>
      <c r="C21" s="333"/>
      <c r="D21" s="336">
        <v>3.810255268E9</v>
      </c>
      <c r="E21" s="335"/>
      <c r="F21" s="334" t="s">
        <v>306</v>
      </c>
      <c r="G21" s="334" t="s">
        <v>288</v>
      </c>
      <c r="H21" s="337">
        <v>44973.0</v>
      </c>
      <c r="I21" s="334" t="s">
        <v>283</v>
      </c>
      <c r="J21" s="337">
        <v>44973.0</v>
      </c>
      <c r="K21" s="336">
        <v>3044000.0</v>
      </c>
      <c r="L21" s="336">
        <v>198.0</v>
      </c>
      <c r="M21" s="334" t="s">
        <v>161</v>
      </c>
      <c r="N21" s="334" t="s">
        <v>252</v>
      </c>
      <c r="O21" s="335"/>
      <c r="P21" s="335"/>
      <c r="Q21" s="335"/>
      <c r="R21" s="335"/>
      <c r="S21" s="336">
        <v>1.0</v>
      </c>
      <c r="T21" s="337">
        <v>44973.0</v>
      </c>
      <c r="U21" s="337">
        <v>45687.0</v>
      </c>
      <c r="V21" s="337">
        <v>44973.0</v>
      </c>
      <c r="W21" s="335"/>
      <c r="X21" s="334" t="s">
        <v>289</v>
      </c>
      <c r="Y21" s="335"/>
      <c r="Z21" s="334" t="s">
        <v>60</v>
      </c>
      <c r="AA21" s="334" t="s">
        <v>307</v>
      </c>
      <c r="AB21" s="336">
        <v>3.810481813E9</v>
      </c>
      <c r="AC21" s="334" t="s">
        <v>60</v>
      </c>
      <c r="AD21" s="334" t="s">
        <v>285</v>
      </c>
      <c r="AE21" s="334" t="s">
        <v>308</v>
      </c>
      <c r="AF21" s="335"/>
      <c r="AG21" s="335"/>
    </row>
    <row r="22">
      <c r="A22" s="333"/>
      <c r="B22" s="333"/>
      <c r="C22" s="333"/>
      <c r="D22" s="336">
        <v>3.810264674E9</v>
      </c>
      <c r="E22" s="335"/>
      <c r="F22" s="334" t="s">
        <v>306</v>
      </c>
      <c r="G22" s="334" t="s">
        <v>288</v>
      </c>
      <c r="H22" s="337">
        <v>45358.0</v>
      </c>
      <c r="I22" s="334" t="s">
        <v>283</v>
      </c>
      <c r="J22" s="337">
        <v>45358.0</v>
      </c>
      <c r="K22" s="336">
        <v>3044000.0</v>
      </c>
      <c r="L22" s="336">
        <v>198.0</v>
      </c>
      <c r="M22" s="334" t="s">
        <v>161</v>
      </c>
      <c r="N22" s="334" t="s">
        <v>170</v>
      </c>
      <c r="O22" s="335"/>
      <c r="P22" s="335"/>
      <c r="Q22" s="335"/>
      <c r="R22" s="335"/>
      <c r="S22" s="336">
        <v>1.0</v>
      </c>
      <c r="T22" s="337">
        <v>45358.0</v>
      </c>
      <c r="U22" s="337">
        <v>45517.0</v>
      </c>
      <c r="V22" s="337">
        <v>45358.0</v>
      </c>
      <c r="W22" s="335"/>
      <c r="X22" s="334" t="s">
        <v>289</v>
      </c>
      <c r="Y22" s="335"/>
      <c r="Z22" s="334" t="s">
        <v>60</v>
      </c>
      <c r="AA22" s="334" t="s">
        <v>307</v>
      </c>
      <c r="AB22" s="336">
        <v>3.810492521E9</v>
      </c>
      <c r="AC22" s="334" t="s">
        <v>309</v>
      </c>
      <c r="AD22" s="334" t="s">
        <v>310</v>
      </c>
      <c r="AE22" s="334" t="s">
        <v>311</v>
      </c>
      <c r="AF22" s="335"/>
      <c r="AG22" s="335"/>
    </row>
    <row r="23">
      <c r="A23" s="333"/>
      <c r="B23" s="333"/>
      <c r="C23" s="333"/>
      <c r="D23" s="336">
        <v>3.810268863E9</v>
      </c>
      <c r="E23" s="335"/>
      <c r="F23" s="334" t="s">
        <v>306</v>
      </c>
      <c r="G23" s="334" t="s">
        <v>288</v>
      </c>
      <c r="H23" s="337">
        <v>45573.0</v>
      </c>
      <c r="I23" s="334" t="s">
        <v>283</v>
      </c>
      <c r="J23" s="337">
        <v>45573.0</v>
      </c>
      <c r="K23" s="336">
        <v>3044000.0</v>
      </c>
      <c r="L23" s="336">
        <v>198.0</v>
      </c>
      <c r="M23" s="334" t="s">
        <v>161</v>
      </c>
      <c r="N23" s="334" t="s">
        <v>100</v>
      </c>
      <c r="O23" s="335"/>
      <c r="P23" s="335"/>
      <c r="Q23" s="335"/>
      <c r="R23" s="335"/>
      <c r="S23" s="336">
        <v>1.0</v>
      </c>
      <c r="T23" s="337">
        <v>45572.0</v>
      </c>
      <c r="U23" s="337">
        <v>45572.0</v>
      </c>
      <c r="V23" s="337">
        <v>45573.0</v>
      </c>
      <c r="W23" s="335"/>
      <c r="X23" s="334" t="s">
        <v>284</v>
      </c>
      <c r="Y23" s="336">
        <v>3.13240016031E11</v>
      </c>
      <c r="Z23" s="334" t="s">
        <v>60</v>
      </c>
      <c r="AA23" s="334" t="s">
        <v>307</v>
      </c>
      <c r="AB23" s="336">
        <v>3.810499557E9</v>
      </c>
      <c r="AC23" s="334" t="s">
        <v>60</v>
      </c>
      <c r="AD23" s="334" t="s">
        <v>285</v>
      </c>
      <c r="AE23" s="334" t="s">
        <v>312</v>
      </c>
      <c r="AF23" s="335"/>
      <c r="AG23" s="335"/>
    </row>
    <row r="24">
      <c r="A24" s="333"/>
      <c r="B24" s="333"/>
      <c r="C24" s="333"/>
      <c r="D24" s="336">
        <v>3.81027155E9</v>
      </c>
      <c r="E24" s="335"/>
      <c r="F24" s="334" t="s">
        <v>306</v>
      </c>
      <c r="G24" s="334" t="s">
        <v>288</v>
      </c>
      <c r="H24" s="337">
        <v>45747.0</v>
      </c>
      <c r="I24" s="334" t="s">
        <v>283</v>
      </c>
      <c r="J24" s="337">
        <v>45747.0</v>
      </c>
      <c r="K24" s="336">
        <v>3044000.0</v>
      </c>
      <c r="L24" s="336">
        <v>198.0</v>
      </c>
      <c r="M24" s="334" t="s">
        <v>161</v>
      </c>
      <c r="N24" s="334" t="s">
        <v>130</v>
      </c>
      <c r="O24" s="335"/>
      <c r="P24" s="335"/>
      <c r="Q24" s="335"/>
      <c r="R24" s="335"/>
      <c r="S24" s="336">
        <v>1.0</v>
      </c>
      <c r="T24" s="337">
        <v>45736.0</v>
      </c>
      <c r="U24" s="337">
        <v>46101.0</v>
      </c>
      <c r="V24" s="337">
        <v>45747.0</v>
      </c>
      <c r="W24" s="335"/>
      <c r="X24" s="334" t="s">
        <v>289</v>
      </c>
      <c r="Y24" s="335"/>
      <c r="Z24" s="334" t="s">
        <v>60</v>
      </c>
      <c r="AA24" s="334" t="s">
        <v>307</v>
      </c>
      <c r="AB24" s="336">
        <v>3.810499086E9</v>
      </c>
      <c r="AC24" s="334" t="s">
        <v>60</v>
      </c>
      <c r="AD24" s="334" t="s">
        <v>285</v>
      </c>
      <c r="AE24" s="334" t="s">
        <v>313</v>
      </c>
      <c r="AF24" s="335"/>
      <c r="AG24" s="335"/>
    </row>
    <row r="25">
      <c r="A25" s="333"/>
      <c r="B25" s="333"/>
      <c r="C25" s="333"/>
    </row>
    <row r="26">
      <c r="A26" s="333"/>
      <c r="B26" s="333"/>
      <c r="C26" s="333"/>
    </row>
    <row r="27">
      <c r="A27" s="333"/>
      <c r="B27" s="333"/>
      <c r="C27" s="333"/>
    </row>
    <row r="28">
      <c r="A28" s="333"/>
      <c r="B28" s="333"/>
      <c r="C28" s="333"/>
    </row>
    <row r="29">
      <c r="A29" s="333"/>
      <c r="B29" s="333"/>
      <c r="C29" s="333"/>
    </row>
    <row r="30">
      <c r="A30" s="333"/>
      <c r="B30" s="333"/>
      <c r="C30" s="333"/>
    </row>
    <row r="31">
      <c r="A31" s="333"/>
      <c r="B31" s="333"/>
      <c r="C31" s="333"/>
    </row>
    <row r="32">
      <c r="A32" s="333"/>
      <c r="B32" s="333"/>
      <c r="C32" s="333"/>
    </row>
    <row r="33">
      <c r="A33" s="333"/>
      <c r="B33" s="333"/>
      <c r="C33" s="333"/>
    </row>
    <row r="34">
      <c r="A34" s="333"/>
      <c r="B34" s="333"/>
      <c r="C34" s="333"/>
    </row>
    <row r="35">
      <c r="A35" s="333"/>
      <c r="B35" s="333"/>
      <c r="C35" s="333"/>
    </row>
    <row r="36">
      <c r="A36" s="333"/>
      <c r="B36" s="333"/>
      <c r="C36" s="333"/>
    </row>
    <row r="37">
      <c r="A37" s="333"/>
      <c r="B37" s="333"/>
      <c r="C37" s="333"/>
    </row>
    <row r="38">
      <c r="A38" s="333"/>
      <c r="B38" s="333"/>
      <c r="C38" s="333"/>
    </row>
    <row r="39">
      <c r="A39" s="333"/>
      <c r="B39" s="333"/>
      <c r="C39" s="333"/>
    </row>
    <row r="40">
      <c r="A40" s="333"/>
      <c r="B40" s="333"/>
      <c r="C40" s="333"/>
    </row>
    <row r="41">
      <c r="A41" s="333"/>
      <c r="B41" s="333"/>
      <c r="C41" s="333"/>
    </row>
    <row r="42">
      <c r="A42" s="333"/>
      <c r="B42" s="333"/>
      <c r="C42" s="333"/>
    </row>
    <row r="43">
      <c r="A43" s="333"/>
      <c r="B43" s="333"/>
      <c r="C43" s="333"/>
    </row>
    <row r="44">
      <c r="A44" s="333"/>
      <c r="B44" s="333"/>
      <c r="C44" s="333"/>
    </row>
    <row r="45">
      <c r="A45" s="333"/>
      <c r="B45" s="333"/>
      <c r="C45" s="333"/>
    </row>
    <row r="46">
      <c r="A46" s="333"/>
      <c r="B46" s="333"/>
      <c r="C46" s="333"/>
    </row>
    <row r="47">
      <c r="A47" s="333"/>
      <c r="B47" s="333"/>
      <c r="C47" s="333"/>
    </row>
    <row r="48">
      <c r="A48" s="333"/>
      <c r="B48" s="333"/>
      <c r="C48" s="333"/>
    </row>
    <row r="49">
      <c r="A49" s="333"/>
      <c r="B49" s="333"/>
      <c r="C49" s="333"/>
    </row>
    <row r="50">
      <c r="A50" s="333"/>
      <c r="B50" s="333"/>
      <c r="C50" s="333"/>
    </row>
    <row r="51">
      <c r="A51" s="333"/>
      <c r="B51" s="333"/>
      <c r="C51" s="333"/>
    </row>
    <row r="52">
      <c r="A52" s="333"/>
      <c r="B52" s="333"/>
      <c r="C52" s="333"/>
    </row>
    <row r="53">
      <c r="A53" s="333"/>
      <c r="B53" s="333"/>
      <c r="C53" s="333"/>
    </row>
    <row r="54">
      <c r="A54" s="333"/>
      <c r="B54" s="333"/>
      <c r="C54" s="333"/>
    </row>
    <row r="55">
      <c r="A55" s="333"/>
      <c r="B55" s="333"/>
      <c r="C55" s="333"/>
    </row>
    <row r="56">
      <c r="A56" s="333"/>
      <c r="B56" s="333"/>
      <c r="C56" s="333"/>
    </row>
    <row r="57">
      <c r="A57" s="333"/>
      <c r="B57" s="333"/>
      <c r="C57" s="333"/>
    </row>
    <row r="58">
      <c r="A58" s="333"/>
      <c r="B58" s="333"/>
      <c r="C58" s="333"/>
    </row>
    <row r="59">
      <c r="A59" s="333"/>
      <c r="B59" s="333"/>
      <c r="C59" s="333"/>
    </row>
    <row r="60">
      <c r="A60" s="333"/>
      <c r="B60" s="333"/>
      <c r="C60" s="333"/>
    </row>
    <row r="61">
      <c r="A61" s="333"/>
      <c r="B61" s="333"/>
      <c r="C61" s="333"/>
    </row>
    <row r="62">
      <c r="A62" s="333"/>
      <c r="B62" s="333"/>
      <c r="C62" s="333"/>
    </row>
    <row r="63">
      <c r="A63" s="333"/>
      <c r="B63" s="333"/>
      <c r="C63" s="333"/>
    </row>
    <row r="64">
      <c r="A64" s="333"/>
      <c r="B64" s="333"/>
      <c r="C64" s="333"/>
    </row>
    <row r="65">
      <c r="A65" s="333"/>
      <c r="B65" s="333"/>
      <c r="C65" s="333"/>
    </row>
    <row r="66">
      <c r="A66" s="333"/>
      <c r="B66" s="333"/>
      <c r="C66" s="333"/>
    </row>
    <row r="67">
      <c r="A67" s="333"/>
      <c r="B67" s="333"/>
      <c r="C67" s="333"/>
    </row>
    <row r="68">
      <c r="A68" s="333"/>
      <c r="B68" s="333"/>
      <c r="C68" s="333"/>
    </row>
    <row r="69">
      <c r="A69" s="333"/>
      <c r="B69" s="333"/>
      <c r="C69" s="333"/>
    </row>
    <row r="70">
      <c r="A70" s="333"/>
      <c r="B70" s="333"/>
      <c r="C70" s="333"/>
    </row>
    <row r="71">
      <c r="A71" s="333"/>
      <c r="B71" s="333"/>
      <c r="C71" s="333"/>
    </row>
    <row r="72">
      <c r="A72" s="333"/>
      <c r="B72" s="333"/>
      <c r="C72" s="333"/>
    </row>
    <row r="73">
      <c r="A73" s="333"/>
      <c r="B73" s="333"/>
      <c r="C73" s="333"/>
    </row>
    <row r="74">
      <c r="A74" s="333"/>
      <c r="B74" s="333"/>
      <c r="C74" s="333"/>
    </row>
    <row r="75">
      <c r="A75" s="333"/>
      <c r="B75" s="333"/>
      <c r="C75" s="333"/>
    </row>
    <row r="76">
      <c r="A76" s="333"/>
      <c r="B76" s="333"/>
      <c r="C76" s="333"/>
    </row>
    <row r="77">
      <c r="A77" s="333"/>
      <c r="B77" s="333"/>
      <c r="C77" s="333"/>
    </row>
    <row r="78">
      <c r="A78" s="333"/>
      <c r="B78" s="333"/>
      <c r="C78" s="333"/>
    </row>
    <row r="79">
      <c r="A79" s="333"/>
      <c r="B79" s="333"/>
      <c r="C79" s="333"/>
    </row>
    <row r="80">
      <c r="A80" s="333"/>
      <c r="B80" s="333"/>
      <c r="C80" s="333"/>
    </row>
    <row r="81">
      <c r="A81" s="333"/>
      <c r="B81" s="333"/>
      <c r="C81" s="333"/>
    </row>
    <row r="82">
      <c r="A82" s="333"/>
      <c r="B82" s="333"/>
      <c r="C82" s="333"/>
    </row>
    <row r="83">
      <c r="A83" s="333"/>
      <c r="B83" s="333"/>
      <c r="C83" s="333"/>
    </row>
    <row r="84">
      <c r="A84" s="333"/>
      <c r="B84" s="333"/>
      <c r="C84" s="333"/>
    </row>
    <row r="85">
      <c r="A85" s="333"/>
      <c r="B85" s="333"/>
      <c r="C85" s="333"/>
    </row>
    <row r="86">
      <c r="A86" s="333"/>
      <c r="B86" s="333"/>
      <c r="C86" s="333"/>
    </row>
    <row r="87">
      <c r="A87" s="333"/>
      <c r="B87" s="333"/>
      <c r="C87" s="333"/>
    </row>
    <row r="88">
      <c r="A88" s="333"/>
      <c r="B88" s="333"/>
      <c r="C88" s="333"/>
    </row>
    <row r="89">
      <c r="A89" s="333"/>
      <c r="B89" s="333"/>
      <c r="C89" s="333"/>
    </row>
    <row r="90">
      <c r="A90" s="333"/>
      <c r="B90" s="333"/>
      <c r="C90" s="333"/>
    </row>
    <row r="91">
      <c r="A91" s="333"/>
      <c r="B91" s="333"/>
      <c r="C91" s="333"/>
    </row>
    <row r="92">
      <c r="A92" s="333"/>
      <c r="B92" s="333"/>
      <c r="C92" s="333"/>
    </row>
    <row r="93">
      <c r="A93" s="333"/>
      <c r="B93" s="333"/>
      <c r="C93" s="333"/>
    </row>
    <row r="94">
      <c r="A94" s="333"/>
      <c r="B94" s="333"/>
      <c r="C94" s="333"/>
    </row>
    <row r="95">
      <c r="A95" s="333"/>
      <c r="B95" s="333"/>
      <c r="C95" s="333"/>
    </row>
    <row r="96">
      <c r="A96" s="333"/>
      <c r="B96" s="333"/>
      <c r="C96" s="333"/>
    </row>
    <row r="97">
      <c r="A97" s="333"/>
      <c r="B97" s="333"/>
      <c r="C97" s="333"/>
    </row>
    <row r="98">
      <c r="A98" s="333"/>
      <c r="B98" s="333"/>
      <c r="C98" s="333"/>
    </row>
    <row r="99">
      <c r="A99" s="333"/>
      <c r="B99" s="333"/>
      <c r="C99" s="333"/>
    </row>
    <row r="100">
      <c r="A100" s="333"/>
      <c r="B100" s="333"/>
      <c r="C100" s="333"/>
    </row>
    <row r="101">
      <c r="A101" s="333"/>
      <c r="B101" s="333"/>
      <c r="C101" s="333"/>
    </row>
    <row r="102">
      <c r="A102" s="333"/>
      <c r="B102" s="333"/>
      <c r="C102" s="333"/>
    </row>
    <row r="103">
      <c r="A103" s="333"/>
      <c r="B103" s="333"/>
      <c r="C103" s="333"/>
    </row>
    <row r="104">
      <c r="A104" s="333"/>
      <c r="B104" s="333"/>
      <c r="C104" s="333"/>
    </row>
    <row r="105">
      <c r="A105" s="333"/>
      <c r="B105" s="333"/>
      <c r="C105" s="333"/>
    </row>
    <row r="106">
      <c r="A106" s="333"/>
      <c r="B106" s="333"/>
      <c r="C106" s="333"/>
    </row>
    <row r="107">
      <c r="A107" s="333"/>
      <c r="B107" s="333"/>
      <c r="C107" s="333"/>
    </row>
    <row r="108">
      <c r="A108" s="333"/>
      <c r="B108" s="333"/>
      <c r="C108" s="333"/>
    </row>
    <row r="109">
      <c r="A109" s="333"/>
      <c r="B109" s="333"/>
      <c r="C109" s="333"/>
    </row>
    <row r="110">
      <c r="A110" s="333"/>
      <c r="B110" s="333"/>
      <c r="C110" s="333"/>
    </row>
    <row r="111">
      <c r="A111" s="333"/>
      <c r="B111" s="333"/>
      <c r="C111" s="333"/>
    </row>
    <row r="112">
      <c r="A112" s="333"/>
      <c r="B112" s="333"/>
      <c r="C112" s="333"/>
    </row>
    <row r="113">
      <c r="A113" s="333"/>
      <c r="B113" s="333"/>
      <c r="C113" s="333"/>
    </row>
    <row r="114">
      <c r="A114" s="333"/>
      <c r="B114" s="333"/>
      <c r="C114" s="333"/>
    </row>
    <row r="115">
      <c r="A115" s="333"/>
      <c r="B115" s="333"/>
      <c r="C115" s="333"/>
    </row>
    <row r="116">
      <c r="A116" s="333"/>
      <c r="B116" s="333"/>
      <c r="C116" s="333"/>
    </row>
    <row r="117">
      <c r="A117" s="333"/>
      <c r="B117" s="333"/>
      <c r="C117" s="333"/>
    </row>
    <row r="118">
      <c r="A118" s="333"/>
      <c r="B118" s="333"/>
      <c r="C118" s="333"/>
    </row>
    <row r="119">
      <c r="A119" s="333"/>
      <c r="B119" s="333"/>
      <c r="C119" s="333"/>
    </row>
    <row r="120">
      <c r="A120" s="333"/>
      <c r="B120" s="333"/>
      <c r="C120" s="333"/>
    </row>
    <row r="121">
      <c r="A121" s="333"/>
      <c r="B121" s="333"/>
      <c r="C121" s="333"/>
    </row>
    <row r="122">
      <c r="A122" s="333"/>
      <c r="B122" s="333"/>
      <c r="C122" s="333"/>
    </row>
    <row r="123">
      <c r="A123" s="333"/>
      <c r="B123" s="333"/>
      <c r="C123" s="333"/>
    </row>
    <row r="124">
      <c r="A124" s="333"/>
      <c r="B124" s="333"/>
      <c r="C124" s="333"/>
    </row>
    <row r="125">
      <c r="A125" s="333"/>
      <c r="B125" s="333"/>
      <c r="C125" s="333"/>
    </row>
    <row r="126">
      <c r="A126" s="333"/>
      <c r="B126" s="333"/>
      <c r="C126" s="333"/>
    </row>
    <row r="127">
      <c r="A127" s="333"/>
      <c r="B127" s="333"/>
      <c r="C127" s="333"/>
    </row>
    <row r="128">
      <c r="A128" s="333"/>
      <c r="B128" s="333"/>
      <c r="C128" s="333"/>
    </row>
    <row r="129">
      <c r="A129" s="333"/>
      <c r="B129" s="333"/>
      <c r="C129" s="333"/>
    </row>
    <row r="130">
      <c r="A130" s="333"/>
      <c r="B130" s="333"/>
      <c r="C130" s="333"/>
    </row>
    <row r="131">
      <c r="A131" s="333"/>
      <c r="B131" s="333"/>
      <c r="C131" s="333"/>
    </row>
    <row r="132">
      <c r="A132" s="333"/>
      <c r="B132" s="333"/>
      <c r="C132" s="333"/>
    </row>
    <row r="133">
      <c r="A133" s="333"/>
      <c r="B133" s="333"/>
      <c r="C133" s="333"/>
    </row>
    <row r="134">
      <c r="A134" s="333"/>
      <c r="B134" s="333"/>
      <c r="C134" s="333"/>
    </row>
    <row r="135">
      <c r="A135" s="333"/>
      <c r="B135" s="333"/>
      <c r="C135" s="333"/>
    </row>
    <row r="136">
      <c r="A136" s="333"/>
      <c r="B136" s="333"/>
      <c r="C136" s="333"/>
    </row>
    <row r="137">
      <c r="A137" s="333"/>
      <c r="B137" s="333"/>
      <c r="C137" s="333"/>
    </row>
    <row r="138">
      <c r="A138" s="333"/>
      <c r="B138" s="333"/>
      <c r="C138" s="333"/>
    </row>
    <row r="139">
      <c r="A139" s="333"/>
      <c r="B139" s="333"/>
      <c r="C139" s="333"/>
    </row>
    <row r="140">
      <c r="A140" s="333"/>
      <c r="B140" s="333"/>
      <c r="C140" s="333"/>
    </row>
    <row r="141">
      <c r="A141" s="333"/>
      <c r="B141" s="333"/>
      <c r="C141" s="333"/>
    </row>
    <row r="142">
      <c r="A142" s="333"/>
      <c r="B142" s="333"/>
      <c r="C142" s="333"/>
    </row>
    <row r="143">
      <c r="A143" s="333"/>
      <c r="B143" s="333"/>
      <c r="C143" s="333"/>
    </row>
    <row r="144">
      <c r="A144" s="333"/>
      <c r="B144" s="333"/>
      <c r="C144" s="333"/>
    </row>
    <row r="145">
      <c r="A145" s="333"/>
      <c r="B145" s="333"/>
      <c r="C145" s="333"/>
    </row>
    <row r="146">
      <c r="A146" s="333"/>
      <c r="B146" s="333"/>
      <c r="C146" s="333"/>
    </row>
    <row r="147">
      <c r="A147" s="333"/>
      <c r="B147" s="333"/>
      <c r="C147" s="333"/>
    </row>
    <row r="148">
      <c r="A148" s="333"/>
      <c r="B148" s="333"/>
      <c r="C148" s="333"/>
    </row>
    <row r="149">
      <c r="A149" s="333"/>
      <c r="B149" s="333"/>
      <c r="C149" s="333"/>
    </row>
    <row r="150">
      <c r="A150" s="333"/>
      <c r="B150" s="333"/>
      <c r="C150" s="333"/>
    </row>
    <row r="151">
      <c r="A151" s="333"/>
      <c r="B151" s="333"/>
      <c r="C151" s="333"/>
    </row>
    <row r="152">
      <c r="A152" s="333"/>
      <c r="B152" s="333"/>
      <c r="C152" s="333"/>
    </row>
    <row r="153">
      <c r="A153" s="333"/>
      <c r="B153" s="333"/>
      <c r="C153" s="333"/>
    </row>
    <row r="154">
      <c r="A154" s="333"/>
      <c r="B154" s="333"/>
      <c r="C154" s="333"/>
    </row>
    <row r="155">
      <c r="A155" s="333"/>
      <c r="B155" s="333"/>
      <c r="C155" s="333"/>
    </row>
    <row r="156">
      <c r="A156" s="333"/>
      <c r="B156" s="333"/>
      <c r="C156" s="333"/>
    </row>
    <row r="157">
      <c r="A157" s="333"/>
      <c r="B157" s="333"/>
      <c r="C157" s="333"/>
    </row>
    <row r="158">
      <c r="A158" s="333"/>
      <c r="B158" s="333"/>
      <c r="C158" s="333"/>
    </row>
    <row r="159">
      <c r="A159" s="333"/>
      <c r="B159" s="333"/>
      <c r="C159" s="333"/>
    </row>
    <row r="160">
      <c r="A160" s="333"/>
      <c r="B160" s="333"/>
      <c r="C160" s="333"/>
    </row>
    <row r="161">
      <c r="A161" s="333"/>
      <c r="B161" s="333"/>
      <c r="C161" s="333"/>
    </row>
    <row r="162">
      <c r="A162" s="333"/>
      <c r="B162" s="333"/>
      <c r="C162" s="333"/>
    </row>
    <row r="163">
      <c r="A163" s="333"/>
      <c r="B163" s="333"/>
      <c r="C163" s="333"/>
    </row>
    <row r="164">
      <c r="A164" s="333"/>
      <c r="B164" s="333"/>
      <c r="C164" s="333"/>
    </row>
    <row r="165">
      <c r="A165" s="333"/>
      <c r="B165" s="333"/>
      <c r="C165" s="333"/>
    </row>
    <row r="166">
      <c r="A166" s="333"/>
      <c r="B166" s="333"/>
      <c r="C166" s="333"/>
    </row>
    <row r="167">
      <c r="A167" s="333"/>
      <c r="B167" s="333"/>
      <c r="C167" s="333"/>
    </row>
    <row r="168">
      <c r="A168" s="333"/>
      <c r="B168" s="333"/>
      <c r="C168" s="333"/>
    </row>
    <row r="169">
      <c r="A169" s="333"/>
      <c r="B169" s="333"/>
      <c r="C169" s="333"/>
    </row>
    <row r="170">
      <c r="A170" s="333"/>
      <c r="B170" s="333"/>
      <c r="C170" s="333"/>
    </row>
    <row r="171">
      <c r="A171" s="333"/>
      <c r="B171" s="333"/>
      <c r="C171" s="333"/>
    </row>
    <row r="172">
      <c r="A172" s="333"/>
      <c r="B172" s="333"/>
      <c r="C172" s="333"/>
    </row>
    <row r="173">
      <c r="A173" s="333"/>
      <c r="B173" s="333"/>
      <c r="C173" s="333"/>
    </row>
    <row r="174">
      <c r="A174" s="333"/>
      <c r="B174" s="333"/>
      <c r="C174" s="333"/>
    </row>
    <row r="175">
      <c r="A175" s="333"/>
      <c r="B175" s="333"/>
      <c r="C175" s="333"/>
    </row>
    <row r="176">
      <c r="A176" s="333"/>
      <c r="B176" s="333"/>
      <c r="C176" s="333"/>
    </row>
    <row r="177">
      <c r="A177" s="333"/>
      <c r="B177" s="333"/>
      <c r="C177" s="333"/>
    </row>
    <row r="178">
      <c r="A178" s="333"/>
      <c r="B178" s="333"/>
      <c r="C178" s="333"/>
    </row>
    <row r="179">
      <c r="A179" s="333"/>
      <c r="B179" s="333"/>
      <c r="C179" s="333"/>
    </row>
    <row r="180">
      <c r="A180" s="333"/>
      <c r="B180" s="333"/>
      <c r="C180" s="333"/>
    </row>
    <row r="181">
      <c r="A181" s="333"/>
      <c r="B181" s="333"/>
      <c r="C181" s="333"/>
    </row>
    <row r="182">
      <c r="A182" s="333"/>
      <c r="B182" s="333"/>
      <c r="C182" s="333"/>
    </row>
    <row r="183">
      <c r="A183" s="333"/>
      <c r="B183" s="333"/>
      <c r="C183" s="333"/>
    </row>
    <row r="184">
      <c r="A184" s="333"/>
      <c r="B184" s="333"/>
      <c r="C184" s="333"/>
    </row>
    <row r="185">
      <c r="A185" s="333"/>
      <c r="B185" s="333"/>
      <c r="C185" s="333"/>
    </row>
    <row r="186">
      <c r="A186" s="333"/>
      <c r="B186" s="333"/>
      <c r="C186" s="333"/>
    </row>
    <row r="187">
      <c r="A187" s="333"/>
      <c r="B187" s="333"/>
      <c r="C187" s="333"/>
    </row>
    <row r="188">
      <c r="A188" s="333"/>
      <c r="B188" s="333"/>
      <c r="C188" s="333"/>
    </row>
    <row r="189">
      <c r="A189" s="333"/>
      <c r="B189" s="333"/>
      <c r="C189" s="333"/>
    </row>
    <row r="190">
      <c r="A190" s="333"/>
      <c r="B190" s="333"/>
      <c r="C190" s="333"/>
    </row>
    <row r="191">
      <c r="A191" s="333"/>
      <c r="B191" s="333"/>
      <c r="C191" s="333"/>
    </row>
    <row r="192">
      <c r="A192" s="333"/>
      <c r="B192" s="333"/>
      <c r="C192" s="333"/>
    </row>
    <row r="193">
      <c r="A193" s="333"/>
      <c r="B193" s="333"/>
      <c r="C193" s="333"/>
    </row>
    <row r="194">
      <c r="A194" s="333"/>
      <c r="B194" s="333"/>
      <c r="C194" s="333"/>
    </row>
    <row r="195">
      <c r="A195" s="333"/>
      <c r="B195" s="333"/>
      <c r="C195" s="333"/>
    </row>
    <row r="196">
      <c r="A196" s="333"/>
      <c r="B196" s="333"/>
      <c r="C196" s="333"/>
    </row>
    <row r="197">
      <c r="A197" s="333"/>
      <c r="B197" s="333"/>
      <c r="C197" s="333"/>
    </row>
    <row r="198">
      <c r="A198" s="333"/>
      <c r="B198" s="333"/>
      <c r="C198" s="333"/>
    </row>
    <row r="199">
      <c r="A199" s="333"/>
      <c r="B199" s="333"/>
      <c r="C199" s="333"/>
    </row>
    <row r="200">
      <c r="A200" s="333"/>
      <c r="B200" s="333"/>
      <c r="C200" s="333"/>
    </row>
    <row r="201">
      <c r="A201" s="333"/>
      <c r="B201" s="333"/>
      <c r="C201" s="333"/>
    </row>
    <row r="202">
      <c r="A202" s="333"/>
      <c r="B202" s="333"/>
      <c r="C202" s="333"/>
    </row>
    <row r="203">
      <c r="A203" s="333"/>
      <c r="B203" s="333"/>
      <c r="C203" s="333"/>
    </row>
    <row r="204">
      <c r="A204" s="333"/>
      <c r="B204" s="333"/>
      <c r="C204" s="333"/>
    </row>
    <row r="205">
      <c r="A205" s="333"/>
      <c r="B205" s="333"/>
      <c r="C205" s="333"/>
    </row>
    <row r="206">
      <c r="A206" s="333"/>
      <c r="B206" s="333"/>
      <c r="C206" s="333"/>
    </row>
    <row r="207">
      <c r="A207" s="333"/>
      <c r="B207" s="333"/>
      <c r="C207" s="333"/>
    </row>
    <row r="208">
      <c r="A208" s="333"/>
      <c r="B208" s="333"/>
      <c r="C208" s="333"/>
    </row>
    <row r="209">
      <c r="A209" s="333"/>
      <c r="B209" s="333"/>
      <c r="C209" s="333"/>
    </row>
    <row r="210">
      <c r="A210" s="333"/>
      <c r="B210" s="333"/>
      <c r="C210" s="333"/>
    </row>
    <row r="211">
      <c r="A211" s="333"/>
      <c r="B211" s="333"/>
      <c r="C211" s="333"/>
    </row>
    <row r="212">
      <c r="A212" s="333"/>
      <c r="B212" s="333"/>
      <c r="C212" s="333"/>
    </row>
    <row r="213">
      <c r="A213" s="333"/>
      <c r="B213" s="333"/>
      <c r="C213" s="333"/>
    </row>
    <row r="214">
      <c r="A214" s="333"/>
      <c r="B214" s="333"/>
      <c r="C214" s="333"/>
    </row>
    <row r="215">
      <c r="A215" s="333"/>
      <c r="B215" s="333"/>
      <c r="C215" s="333"/>
    </row>
    <row r="216">
      <c r="A216" s="333"/>
      <c r="B216" s="333"/>
      <c r="C216" s="333"/>
    </row>
    <row r="217">
      <c r="A217" s="333"/>
      <c r="B217" s="333"/>
      <c r="C217" s="333"/>
    </row>
    <row r="218">
      <c r="A218" s="333"/>
      <c r="B218" s="333"/>
      <c r="C218" s="333"/>
    </row>
    <row r="219">
      <c r="A219" s="333"/>
      <c r="B219" s="333"/>
      <c r="C219" s="333"/>
    </row>
    <row r="220">
      <c r="A220" s="333"/>
      <c r="B220" s="333"/>
      <c r="C220" s="333"/>
    </row>
    <row r="221">
      <c r="A221" s="333"/>
      <c r="B221" s="333"/>
      <c r="C221" s="333"/>
    </row>
    <row r="222">
      <c r="A222" s="333"/>
      <c r="B222" s="333"/>
      <c r="C222" s="333"/>
    </row>
    <row r="223">
      <c r="A223" s="333"/>
      <c r="B223" s="333"/>
      <c r="C223" s="333"/>
    </row>
    <row r="224">
      <c r="A224" s="333"/>
      <c r="B224" s="333"/>
      <c r="C224" s="333"/>
    </row>
    <row r="225">
      <c r="A225" s="333"/>
      <c r="B225" s="333"/>
      <c r="C225" s="333"/>
    </row>
    <row r="226">
      <c r="A226" s="333"/>
      <c r="B226" s="333"/>
      <c r="C226" s="333"/>
    </row>
    <row r="227">
      <c r="A227" s="333"/>
      <c r="B227" s="333"/>
      <c r="C227" s="333"/>
    </row>
    <row r="228">
      <c r="A228" s="333"/>
      <c r="B228" s="333"/>
      <c r="C228" s="333"/>
    </row>
    <row r="229">
      <c r="A229" s="333"/>
      <c r="B229" s="333"/>
      <c r="C229" s="333"/>
    </row>
    <row r="230">
      <c r="A230" s="333"/>
      <c r="B230" s="333"/>
      <c r="C230" s="333"/>
    </row>
    <row r="231">
      <c r="A231" s="333"/>
      <c r="B231" s="333"/>
      <c r="C231" s="333"/>
    </row>
    <row r="232">
      <c r="A232" s="333"/>
      <c r="B232" s="333"/>
      <c r="C232" s="333"/>
    </row>
    <row r="233">
      <c r="A233" s="333"/>
      <c r="B233" s="333"/>
      <c r="C233" s="333"/>
    </row>
    <row r="234">
      <c r="A234" s="333"/>
      <c r="B234" s="333"/>
      <c r="C234" s="333"/>
    </row>
    <row r="235">
      <c r="A235" s="333"/>
      <c r="B235" s="333"/>
      <c r="C235" s="333"/>
    </row>
    <row r="236">
      <c r="A236" s="333"/>
      <c r="B236" s="333"/>
      <c r="C236" s="333"/>
    </row>
    <row r="237">
      <c r="A237" s="333"/>
      <c r="B237" s="333"/>
      <c r="C237" s="333"/>
    </row>
    <row r="238">
      <c r="A238" s="333"/>
      <c r="B238" s="333"/>
      <c r="C238" s="333"/>
    </row>
    <row r="239">
      <c r="A239" s="333"/>
      <c r="B239" s="333"/>
      <c r="C239" s="333"/>
    </row>
    <row r="240">
      <c r="A240" s="333"/>
      <c r="B240" s="333"/>
      <c r="C240" s="333"/>
    </row>
    <row r="241">
      <c r="A241" s="333"/>
      <c r="B241" s="333"/>
      <c r="C241" s="333"/>
    </row>
    <row r="242">
      <c r="A242" s="333"/>
      <c r="B242" s="333"/>
      <c r="C242" s="333"/>
    </row>
    <row r="243">
      <c r="A243" s="333"/>
      <c r="B243" s="333"/>
      <c r="C243" s="333"/>
    </row>
    <row r="244">
      <c r="A244" s="333"/>
      <c r="B244" s="333"/>
      <c r="C244" s="333"/>
    </row>
    <row r="245">
      <c r="A245" s="333"/>
      <c r="B245" s="333"/>
      <c r="C245" s="333"/>
    </row>
    <row r="246">
      <c r="A246" s="333"/>
      <c r="B246" s="333"/>
      <c r="C246" s="333"/>
    </row>
    <row r="247">
      <c r="A247" s="333"/>
      <c r="B247" s="333"/>
      <c r="C247" s="333"/>
    </row>
    <row r="248">
      <c r="A248" s="333"/>
      <c r="B248" s="333"/>
      <c r="C248" s="333"/>
    </row>
    <row r="249">
      <c r="A249" s="333"/>
      <c r="B249" s="333"/>
      <c r="C249" s="333"/>
    </row>
    <row r="250">
      <c r="A250" s="333"/>
      <c r="B250" s="333"/>
      <c r="C250" s="333"/>
    </row>
    <row r="251">
      <c r="A251" s="333"/>
      <c r="B251" s="333"/>
      <c r="C251" s="333"/>
    </row>
    <row r="252">
      <c r="A252" s="333"/>
      <c r="B252" s="333"/>
      <c r="C252" s="333"/>
    </row>
    <row r="253">
      <c r="A253" s="333"/>
      <c r="B253" s="333"/>
      <c r="C253" s="333"/>
    </row>
    <row r="254">
      <c r="A254" s="333"/>
      <c r="B254" s="333"/>
      <c r="C254" s="333"/>
    </row>
    <row r="255">
      <c r="A255" s="333"/>
      <c r="B255" s="333"/>
      <c r="C255" s="333"/>
    </row>
    <row r="256">
      <c r="A256" s="333"/>
      <c r="B256" s="333"/>
      <c r="C256" s="333"/>
    </row>
    <row r="257">
      <c r="A257" s="333"/>
      <c r="B257" s="333"/>
      <c r="C257" s="333"/>
    </row>
    <row r="258">
      <c r="A258" s="333"/>
      <c r="B258" s="333"/>
      <c r="C258" s="333"/>
    </row>
    <row r="259">
      <c r="A259" s="333"/>
      <c r="B259" s="333"/>
      <c r="C259" s="333"/>
    </row>
    <row r="260">
      <c r="A260" s="333"/>
      <c r="B260" s="333"/>
      <c r="C260" s="333"/>
    </row>
    <row r="261">
      <c r="A261" s="333"/>
      <c r="B261" s="333"/>
      <c r="C261" s="333"/>
    </row>
    <row r="262">
      <c r="A262" s="333"/>
      <c r="B262" s="333"/>
      <c r="C262" s="333"/>
    </row>
    <row r="263">
      <c r="A263" s="333"/>
      <c r="B263" s="333"/>
      <c r="C263" s="333"/>
    </row>
    <row r="264">
      <c r="A264" s="333"/>
      <c r="B264" s="333"/>
      <c r="C264" s="333"/>
    </row>
    <row r="265">
      <c r="A265" s="333"/>
      <c r="B265" s="333"/>
      <c r="C265" s="333"/>
    </row>
    <row r="266">
      <c r="A266" s="333"/>
      <c r="B266" s="333"/>
      <c r="C266" s="333"/>
    </row>
    <row r="267">
      <c r="A267" s="333"/>
      <c r="B267" s="333"/>
      <c r="C267" s="333"/>
    </row>
    <row r="268">
      <c r="A268" s="333"/>
      <c r="B268" s="333"/>
      <c r="C268" s="333"/>
    </row>
    <row r="269">
      <c r="A269" s="333"/>
      <c r="B269" s="333"/>
      <c r="C269" s="333"/>
    </row>
    <row r="270">
      <c r="A270" s="333"/>
      <c r="B270" s="333"/>
      <c r="C270" s="333"/>
    </row>
    <row r="271">
      <c r="A271" s="333"/>
      <c r="B271" s="333"/>
      <c r="C271" s="333"/>
    </row>
    <row r="272">
      <c r="A272" s="333"/>
      <c r="B272" s="333"/>
      <c r="C272" s="333"/>
    </row>
    <row r="273">
      <c r="A273" s="333"/>
      <c r="B273" s="333"/>
      <c r="C273" s="333"/>
    </row>
    <row r="274">
      <c r="A274" s="333"/>
      <c r="B274" s="333"/>
      <c r="C274" s="333"/>
    </row>
    <row r="275">
      <c r="A275" s="333"/>
      <c r="B275" s="333"/>
      <c r="C275" s="333"/>
    </row>
    <row r="276">
      <c r="A276" s="333"/>
      <c r="B276" s="333"/>
      <c r="C276" s="333"/>
    </row>
    <row r="277">
      <c r="A277" s="333"/>
      <c r="B277" s="333"/>
      <c r="C277" s="333"/>
    </row>
    <row r="278">
      <c r="A278" s="333"/>
      <c r="B278" s="333"/>
      <c r="C278" s="333"/>
    </row>
    <row r="279">
      <c r="A279" s="333"/>
      <c r="B279" s="333"/>
      <c r="C279" s="333"/>
    </row>
    <row r="280">
      <c r="A280" s="333"/>
      <c r="B280" s="333"/>
      <c r="C280" s="333"/>
    </row>
    <row r="281">
      <c r="A281" s="333"/>
      <c r="B281" s="333"/>
      <c r="C281" s="333"/>
    </row>
    <row r="282">
      <c r="A282" s="333"/>
      <c r="B282" s="333"/>
      <c r="C282" s="333"/>
    </row>
    <row r="283">
      <c r="A283" s="333"/>
      <c r="B283" s="333"/>
      <c r="C283" s="333"/>
    </row>
    <row r="284">
      <c r="A284" s="333"/>
      <c r="B284" s="333"/>
      <c r="C284" s="333"/>
    </row>
    <row r="285">
      <c r="A285" s="333"/>
      <c r="B285" s="333"/>
      <c r="C285" s="333"/>
    </row>
    <row r="286">
      <c r="A286" s="333"/>
      <c r="B286" s="333"/>
      <c r="C286" s="333"/>
    </row>
    <row r="287">
      <c r="A287" s="333"/>
      <c r="B287" s="333"/>
      <c r="C287" s="333"/>
    </row>
    <row r="288">
      <c r="A288" s="333"/>
      <c r="B288" s="333"/>
      <c r="C288" s="333"/>
    </row>
    <row r="289">
      <c r="A289" s="333"/>
      <c r="B289" s="333"/>
      <c r="C289" s="333"/>
    </row>
    <row r="290">
      <c r="A290" s="333"/>
      <c r="B290" s="333"/>
      <c r="C290" s="333"/>
    </row>
    <row r="291">
      <c r="A291" s="333"/>
      <c r="B291" s="333"/>
      <c r="C291" s="333"/>
    </row>
    <row r="292">
      <c r="A292" s="333"/>
      <c r="B292" s="333"/>
      <c r="C292" s="333"/>
    </row>
    <row r="293">
      <c r="A293" s="333"/>
      <c r="B293" s="333"/>
      <c r="C293" s="333"/>
    </row>
    <row r="294">
      <c r="A294" s="333"/>
      <c r="B294" s="333"/>
      <c r="C294" s="333"/>
    </row>
    <row r="295">
      <c r="A295" s="333"/>
      <c r="B295" s="333"/>
      <c r="C295" s="333"/>
    </row>
    <row r="296">
      <c r="A296" s="333"/>
      <c r="B296" s="333"/>
      <c r="C296" s="333"/>
    </row>
    <row r="297">
      <c r="A297" s="333"/>
      <c r="B297" s="333"/>
      <c r="C297" s="333"/>
    </row>
    <row r="298">
      <c r="A298" s="333"/>
      <c r="B298" s="333"/>
      <c r="C298" s="333"/>
    </row>
    <row r="299">
      <c r="A299" s="333"/>
      <c r="B299" s="333"/>
      <c r="C299" s="333"/>
    </row>
    <row r="300">
      <c r="A300" s="333"/>
      <c r="B300" s="333"/>
      <c r="C300" s="333"/>
    </row>
    <row r="301">
      <c r="A301" s="333"/>
      <c r="B301" s="333"/>
      <c r="C301" s="333"/>
    </row>
    <row r="302">
      <c r="A302" s="333"/>
      <c r="B302" s="333"/>
      <c r="C302" s="333"/>
    </row>
    <row r="303">
      <c r="A303" s="333"/>
      <c r="B303" s="333"/>
      <c r="C303" s="333"/>
    </row>
    <row r="304">
      <c r="A304" s="333"/>
      <c r="B304" s="333"/>
      <c r="C304" s="333"/>
    </row>
    <row r="305">
      <c r="A305" s="333"/>
      <c r="B305" s="333"/>
      <c r="C305" s="333"/>
    </row>
    <row r="306">
      <c r="A306" s="333"/>
      <c r="B306" s="333"/>
      <c r="C306" s="333"/>
    </row>
    <row r="307">
      <c r="A307" s="333"/>
      <c r="B307" s="333"/>
      <c r="C307" s="333"/>
    </row>
    <row r="308">
      <c r="A308" s="333"/>
      <c r="B308" s="333"/>
      <c r="C308" s="333"/>
    </row>
    <row r="309">
      <c r="A309" s="333"/>
      <c r="B309" s="333"/>
      <c r="C309" s="333"/>
    </row>
    <row r="310">
      <c r="A310" s="333"/>
      <c r="B310" s="333"/>
      <c r="C310" s="333"/>
    </row>
    <row r="311">
      <c r="A311" s="333"/>
      <c r="B311" s="333"/>
      <c r="C311" s="333"/>
    </row>
    <row r="312">
      <c r="A312" s="333"/>
      <c r="B312" s="333"/>
      <c r="C312" s="333"/>
    </row>
    <row r="313">
      <c r="A313" s="333"/>
      <c r="B313" s="333"/>
      <c r="C313" s="333"/>
    </row>
    <row r="314">
      <c r="A314" s="333"/>
      <c r="B314" s="333"/>
      <c r="C314" s="333"/>
    </row>
    <row r="315">
      <c r="A315" s="333"/>
      <c r="B315" s="333"/>
      <c r="C315" s="333"/>
    </row>
    <row r="316">
      <c r="A316" s="333"/>
      <c r="B316" s="333"/>
      <c r="C316" s="333"/>
    </row>
    <row r="317">
      <c r="A317" s="333"/>
      <c r="B317" s="333"/>
      <c r="C317" s="333"/>
    </row>
    <row r="318">
      <c r="A318" s="333"/>
      <c r="B318" s="333"/>
      <c r="C318" s="333"/>
    </row>
    <row r="319">
      <c r="A319" s="333"/>
      <c r="B319" s="333"/>
      <c r="C319" s="333"/>
    </row>
    <row r="320">
      <c r="A320" s="333"/>
      <c r="B320" s="333"/>
      <c r="C320" s="333"/>
    </row>
    <row r="321">
      <c r="A321" s="333"/>
      <c r="B321" s="333"/>
      <c r="C321" s="333"/>
    </row>
    <row r="322">
      <c r="A322" s="333"/>
      <c r="B322" s="333"/>
      <c r="C322" s="333"/>
    </row>
    <row r="323">
      <c r="A323" s="333"/>
      <c r="B323" s="333"/>
      <c r="C323" s="333"/>
    </row>
    <row r="324">
      <c r="A324" s="333"/>
      <c r="B324" s="333"/>
      <c r="C324" s="333"/>
    </row>
    <row r="325">
      <c r="A325" s="333"/>
      <c r="B325" s="333"/>
      <c r="C325" s="333"/>
    </row>
    <row r="326">
      <c r="A326" s="333"/>
      <c r="B326" s="333"/>
      <c r="C326" s="333"/>
    </row>
    <row r="327">
      <c r="A327" s="333"/>
      <c r="B327" s="333"/>
      <c r="C327" s="333"/>
    </row>
    <row r="328">
      <c r="A328" s="333"/>
      <c r="B328" s="333"/>
      <c r="C328" s="333"/>
    </row>
    <row r="329">
      <c r="A329" s="333"/>
      <c r="B329" s="333"/>
      <c r="C329" s="333"/>
    </row>
    <row r="330">
      <c r="A330" s="333"/>
      <c r="B330" s="333"/>
      <c r="C330" s="333"/>
    </row>
    <row r="331">
      <c r="A331" s="333"/>
      <c r="B331" s="333"/>
      <c r="C331" s="333"/>
    </row>
    <row r="332">
      <c r="A332" s="333"/>
      <c r="B332" s="333"/>
      <c r="C332" s="333"/>
    </row>
    <row r="333">
      <c r="A333" s="333"/>
      <c r="B333" s="333"/>
      <c r="C333" s="333"/>
    </row>
    <row r="334">
      <c r="A334" s="333"/>
      <c r="B334" s="333"/>
      <c r="C334" s="333"/>
    </row>
    <row r="335">
      <c r="A335" s="333"/>
      <c r="B335" s="333"/>
      <c r="C335" s="333"/>
    </row>
    <row r="336">
      <c r="A336" s="333"/>
      <c r="B336" s="333"/>
      <c r="C336" s="333"/>
    </row>
    <row r="337">
      <c r="A337" s="333"/>
      <c r="B337" s="333"/>
      <c r="C337" s="333"/>
    </row>
    <row r="338">
      <c r="A338" s="333"/>
      <c r="B338" s="333"/>
      <c r="C338" s="333"/>
    </row>
    <row r="339">
      <c r="A339" s="333"/>
      <c r="B339" s="333"/>
      <c r="C339" s="333"/>
    </row>
    <row r="340">
      <c r="A340" s="333"/>
      <c r="B340" s="333"/>
      <c r="C340" s="333"/>
    </row>
    <row r="341">
      <c r="A341" s="333"/>
      <c r="B341" s="333"/>
      <c r="C341" s="333"/>
    </row>
    <row r="342">
      <c r="A342" s="333"/>
      <c r="B342" s="333"/>
      <c r="C342" s="333"/>
    </row>
    <row r="343">
      <c r="A343" s="333"/>
      <c r="B343" s="333"/>
      <c r="C343" s="333"/>
    </row>
    <row r="344">
      <c r="A344" s="333"/>
      <c r="B344" s="333"/>
      <c r="C344" s="333"/>
    </row>
    <row r="345">
      <c r="A345" s="333"/>
      <c r="B345" s="333"/>
      <c r="C345" s="333"/>
    </row>
    <row r="346">
      <c r="A346" s="333"/>
      <c r="B346" s="333"/>
      <c r="C346" s="333"/>
    </row>
    <row r="347">
      <c r="A347" s="333"/>
      <c r="B347" s="333"/>
      <c r="C347" s="333"/>
    </row>
    <row r="348">
      <c r="A348" s="333"/>
      <c r="B348" s="333"/>
      <c r="C348" s="333"/>
    </row>
    <row r="349">
      <c r="A349" s="333"/>
      <c r="B349" s="333"/>
      <c r="C349" s="333"/>
    </row>
    <row r="350">
      <c r="A350" s="333"/>
      <c r="B350" s="333"/>
      <c r="C350" s="333"/>
    </row>
    <row r="351">
      <c r="A351" s="333"/>
      <c r="B351" s="333"/>
      <c r="C351" s="333"/>
    </row>
    <row r="352">
      <c r="A352" s="333"/>
      <c r="B352" s="333"/>
      <c r="C352" s="333"/>
    </row>
    <row r="353">
      <c r="A353" s="333"/>
      <c r="B353" s="333"/>
      <c r="C353" s="333"/>
    </row>
    <row r="354">
      <c r="A354" s="333"/>
      <c r="B354" s="333"/>
      <c r="C354" s="333"/>
    </row>
    <row r="355">
      <c r="A355" s="333"/>
      <c r="B355" s="333"/>
      <c r="C355" s="333"/>
    </row>
    <row r="356">
      <c r="A356" s="333"/>
      <c r="B356" s="333"/>
      <c r="C356" s="333"/>
    </row>
    <row r="357">
      <c r="A357" s="333"/>
      <c r="B357" s="333"/>
      <c r="C357" s="333"/>
    </row>
    <row r="358">
      <c r="A358" s="333"/>
      <c r="B358" s="333"/>
      <c r="C358" s="333"/>
    </row>
    <row r="359">
      <c r="A359" s="333"/>
      <c r="B359" s="333"/>
      <c r="C359" s="333"/>
    </row>
    <row r="360">
      <c r="A360" s="333"/>
      <c r="B360" s="333"/>
      <c r="C360" s="333"/>
    </row>
    <row r="361">
      <c r="A361" s="333"/>
      <c r="B361" s="333"/>
      <c r="C361" s="333"/>
    </row>
    <row r="362">
      <c r="A362" s="333"/>
      <c r="B362" s="333"/>
      <c r="C362" s="333"/>
    </row>
    <row r="363">
      <c r="A363" s="333"/>
      <c r="B363" s="333"/>
      <c r="C363" s="333"/>
    </row>
    <row r="364">
      <c r="A364" s="333"/>
      <c r="B364" s="333"/>
      <c r="C364" s="333"/>
    </row>
    <row r="365">
      <c r="A365" s="333"/>
      <c r="B365" s="333"/>
      <c r="C365" s="333"/>
    </row>
    <row r="366">
      <c r="A366" s="333"/>
      <c r="B366" s="333"/>
      <c r="C366" s="333"/>
    </row>
    <row r="367">
      <c r="A367" s="333"/>
      <c r="B367" s="333"/>
      <c r="C367" s="333"/>
    </row>
    <row r="368">
      <c r="A368" s="333"/>
      <c r="B368" s="333"/>
      <c r="C368" s="333"/>
    </row>
    <row r="369">
      <c r="A369" s="333"/>
      <c r="B369" s="333"/>
      <c r="C369" s="333"/>
    </row>
    <row r="370">
      <c r="A370" s="333"/>
      <c r="B370" s="333"/>
      <c r="C370" s="333"/>
    </row>
    <row r="371">
      <c r="A371" s="333"/>
      <c r="B371" s="333"/>
      <c r="C371" s="333"/>
    </row>
    <row r="372">
      <c r="A372" s="333"/>
      <c r="B372" s="333"/>
      <c r="C372" s="333"/>
    </row>
    <row r="373">
      <c r="A373" s="333"/>
      <c r="B373" s="333"/>
      <c r="C373" s="333"/>
    </row>
    <row r="374">
      <c r="A374" s="333"/>
      <c r="B374" s="333"/>
      <c r="C374" s="333"/>
    </row>
    <row r="375">
      <c r="A375" s="333"/>
      <c r="B375" s="333"/>
      <c r="C375" s="333"/>
    </row>
    <row r="376">
      <c r="A376" s="333"/>
      <c r="B376" s="333"/>
      <c r="C376" s="333"/>
    </row>
    <row r="377">
      <c r="A377" s="333"/>
      <c r="B377" s="333"/>
      <c r="C377" s="333"/>
    </row>
    <row r="378">
      <c r="A378" s="333"/>
      <c r="B378" s="333"/>
      <c r="C378" s="333"/>
    </row>
    <row r="379">
      <c r="A379" s="333"/>
      <c r="B379" s="333"/>
      <c r="C379" s="333"/>
    </row>
    <row r="380">
      <c r="A380" s="333"/>
      <c r="B380" s="333"/>
      <c r="C380" s="333"/>
    </row>
    <row r="381">
      <c r="A381" s="333"/>
      <c r="B381" s="333"/>
      <c r="C381" s="333"/>
    </row>
    <row r="382">
      <c r="A382" s="333"/>
      <c r="B382" s="333"/>
      <c r="C382" s="333"/>
    </row>
    <row r="383">
      <c r="A383" s="333"/>
      <c r="B383" s="333"/>
      <c r="C383" s="333"/>
    </row>
    <row r="384">
      <c r="A384" s="333"/>
      <c r="B384" s="333"/>
      <c r="C384" s="333"/>
    </row>
    <row r="385">
      <c r="A385" s="333"/>
      <c r="B385" s="333"/>
      <c r="C385" s="333"/>
    </row>
    <row r="386">
      <c r="A386" s="333"/>
      <c r="B386" s="333"/>
      <c r="C386" s="333"/>
    </row>
    <row r="387">
      <c r="A387" s="333"/>
      <c r="B387" s="333"/>
      <c r="C387" s="333"/>
    </row>
    <row r="388">
      <c r="A388" s="333"/>
      <c r="B388" s="333"/>
      <c r="C388" s="333"/>
    </row>
    <row r="389">
      <c r="A389" s="333"/>
      <c r="B389" s="333"/>
      <c r="C389" s="333"/>
    </row>
    <row r="390">
      <c r="A390" s="333"/>
      <c r="B390" s="333"/>
      <c r="C390" s="333"/>
    </row>
    <row r="391">
      <c r="A391" s="333"/>
      <c r="B391" s="333"/>
      <c r="C391" s="333"/>
    </row>
    <row r="392">
      <c r="A392" s="333"/>
      <c r="B392" s="333"/>
      <c r="C392" s="333"/>
    </row>
    <row r="393">
      <c r="A393" s="333"/>
      <c r="B393" s="333"/>
      <c r="C393" s="333"/>
    </row>
    <row r="394">
      <c r="A394" s="333"/>
      <c r="B394" s="333"/>
      <c r="C394" s="333"/>
    </row>
    <row r="395">
      <c r="A395" s="333"/>
      <c r="B395" s="333"/>
      <c r="C395" s="333"/>
    </row>
    <row r="396">
      <c r="A396" s="333"/>
      <c r="B396" s="333"/>
      <c r="C396" s="333"/>
    </row>
    <row r="397">
      <c r="A397" s="333"/>
      <c r="B397" s="333"/>
      <c r="C397" s="333"/>
    </row>
    <row r="398">
      <c r="A398" s="333"/>
      <c r="B398" s="333"/>
      <c r="C398" s="333"/>
    </row>
    <row r="399">
      <c r="A399" s="333"/>
      <c r="B399" s="333"/>
      <c r="C399" s="333"/>
    </row>
    <row r="400">
      <c r="A400" s="333"/>
      <c r="B400" s="333"/>
      <c r="C400" s="333"/>
    </row>
    <row r="401">
      <c r="A401" s="333"/>
      <c r="B401" s="333"/>
      <c r="C401" s="333"/>
    </row>
    <row r="402">
      <c r="A402" s="333"/>
      <c r="B402" s="333"/>
      <c r="C402" s="333"/>
    </row>
    <row r="403">
      <c r="A403" s="333"/>
      <c r="B403" s="333"/>
      <c r="C403" s="333"/>
    </row>
    <row r="404">
      <c r="A404" s="333"/>
      <c r="B404" s="333"/>
      <c r="C404" s="333"/>
    </row>
    <row r="405">
      <c r="A405" s="333"/>
      <c r="B405" s="333"/>
      <c r="C405" s="333"/>
    </row>
    <row r="406">
      <c r="A406" s="333"/>
      <c r="B406" s="333"/>
      <c r="C406" s="333"/>
    </row>
    <row r="407">
      <c r="A407" s="333"/>
      <c r="B407" s="333"/>
      <c r="C407" s="333"/>
    </row>
    <row r="408">
      <c r="A408" s="333"/>
      <c r="B408" s="333"/>
      <c r="C408" s="333"/>
    </row>
    <row r="409">
      <c r="A409" s="333"/>
      <c r="B409" s="333"/>
      <c r="C409" s="333"/>
    </row>
    <row r="410">
      <c r="A410" s="333"/>
      <c r="B410" s="333"/>
      <c r="C410" s="333"/>
    </row>
    <row r="411">
      <c r="A411" s="333"/>
      <c r="B411" s="333"/>
      <c r="C411" s="333"/>
    </row>
    <row r="412">
      <c r="A412" s="333"/>
      <c r="B412" s="333"/>
      <c r="C412" s="333"/>
    </row>
    <row r="413">
      <c r="A413" s="333"/>
      <c r="B413" s="333"/>
      <c r="C413" s="333"/>
    </row>
    <row r="414">
      <c r="A414" s="333"/>
      <c r="B414" s="333"/>
      <c r="C414" s="333"/>
    </row>
    <row r="415">
      <c r="A415" s="333"/>
      <c r="B415" s="333"/>
      <c r="C415" s="333"/>
    </row>
    <row r="416">
      <c r="A416" s="333"/>
      <c r="B416" s="333"/>
      <c r="C416" s="333"/>
    </row>
    <row r="417">
      <c r="A417" s="333"/>
      <c r="B417" s="333"/>
      <c r="C417" s="333"/>
    </row>
    <row r="418">
      <c r="A418" s="333"/>
      <c r="B418" s="333"/>
      <c r="C418" s="333"/>
    </row>
    <row r="419">
      <c r="A419" s="333"/>
      <c r="B419" s="333"/>
      <c r="C419" s="333"/>
    </row>
    <row r="420">
      <c r="A420" s="333"/>
      <c r="B420" s="333"/>
      <c r="C420" s="333"/>
    </row>
    <row r="421">
      <c r="A421" s="333"/>
      <c r="B421" s="333"/>
      <c r="C421" s="333"/>
    </row>
    <row r="422">
      <c r="A422" s="333"/>
      <c r="B422" s="333"/>
      <c r="C422" s="333"/>
    </row>
    <row r="423">
      <c r="A423" s="333"/>
      <c r="B423" s="333"/>
      <c r="C423" s="333"/>
    </row>
    <row r="424">
      <c r="A424" s="333"/>
      <c r="B424" s="333"/>
      <c r="C424" s="333"/>
    </row>
    <row r="425">
      <c r="A425" s="333"/>
      <c r="B425" s="333"/>
      <c r="C425" s="333"/>
    </row>
    <row r="426">
      <c r="A426" s="333"/>
      <c r="B426" s="333"/>
      <c r="C426" s="333"/>
    </row>
    <row r="427">
      <c r="A427" s="333"/>
      <c r="B427" s="333"/>
      <c r="C427" s="333"/>
    </row>
    <row r="428">
      <c r="A428" s="333"/>
      <c r="B428" s="333"/>
      <c r="C428" s="333"/>
    </row>
    <row r="429">
      <c r="A429" s="333"/>
      <c r="B429" s="333"/>
      <c r="C429" s="333"/>
    </row>
    <row r="430">
      <c r="A430" s="333"/>
      <c r="B430" s="333"/>
      <c r="C430" s="333"/>
    </row>
    <row r="431">
      <c r="A431" s="333"/>
      <c r="B431" s="333"/>
      <c r="C431" s="333"/>
    </row>
    <row r="432">
      <c r="A432" s="333"/>
      <c r="B432" s="333"/>
      <c r="C432" s="333"/>
    </row>
    <row r="433">
      <c r="A433" s="333"/>
      <c r="B433" s="333"/>
      <c r="C433" s="333"/>
    </row>
    <row r="434">
      <c r="A434" s="333"/>
      <c r="B434" s="333"/>
      <c r="C434" s="333"/>
    </row>
    <row r="435">
      <c r="A435" s="333"/>
      <c r="B435" s="333"/>
      <c r="C435" s="333"/>
    </row>
    <row r="436">
      <c r="A436" s="333"/>
      <c r="B436" s="333"/>
      <c r="C436" s="333"/>
    </row>
    <row r="437">
      <c r="A437" s="333"/>
      <c r="B437" s="333"/>
      <c r="C437" s="333"/>
    </row>
    <row r="438">
      <c r="A438" s="333"/>
      <c r="B438" s="333"/>
      <c r="C438" s="333"/>
    </row>
    <row r="439">
      <c r="A439" s="333"/>
      <c r="B439" s="333"/>
      <c r="C439" s="333"/>
    </row>
    <row r="440">
      <c r="A440" s="333"/>
      <c r="B440" s="333"/>
      <c r="C440" s="333"/>
    </row>
    <row r="441">
      <c r="A441" s="333"/>
      <c r="B441" s="333"/>
      <c r="C441" s="333"/>
    </row>
    <row r="442">
      <c r="A442" s="333"/>
      <c r="B442" s="333"/>
      <c r="C442" s="333"/>
    </row>
    <row r="443">
      <c r="A443" s="333"/>
      <c r="B443" s="333"/>
      <c r="C443" s="333"/>
    </row>
    <row r="444">
      <c r="A444" s="333"/>
      <c r="B444" s="333"/>
      <c r="C444" s="333"/>
    </row>
    <row r="445">
      <c r="A445" s="333"/>
      <c r="B445" s="333"/>
      <c r="C445" s="333"/>
    </row>
    <row r="446">
      <c r="A446" s="333"/>
      <c r="B446" s="333"/>
      <c r="C446" s="333"/>
    </row>
    <row r="447">
      <c r="A447" s="333"/>
      <c r="B447" s="333"/>
      <c r="C447" s="333"/>
    </row>
    <row r="448">
      <c r="A448" s="333"/>
      <c r="B448" s="333"/>
      <c r="C448" s="333"/>
    </row>
    <row r="449">
      <c r="A449" s="333"/>
      <c r="B449" s="333"/>
      <c r="C449" s="333"/>
    </row>
    <row r="450">
      <c r="A450" s="333"/>
      <c r="B450" s="333"/>
      <c r="C450" s="333"/>
    </row>
    <row r="451">
      <c r="A451" s="333"/>
      <c r="B451" s="333"/>
      <c r="C451" s="333"/>
    </row>
    <row r="452">
      <c r="A452" s="333"/>
      <c r="B452" s="333"/>
      <c r="C452" s="333"/>
    </row>
    <row r="453">
      <c r="A453" s="333"/>
      <c r="B453" s="333"/>
      <c r="C453" s="333"/>
    </row>
    <row r="454">
      <c r="A454" s="333"/>
      <c r="B454" s="333"/>
      <c r="C454" s="333"/>
    </row>
    <row r="455">
      <c r="A455" s="333"/>
      <c r="B455" s="333"/>
      <c r="C455" s="333"/>
    </row>
    <row r="456">
      <c r="A456" s="333"/>
      <c r="B456" s="333"/>
      <c r="C456" s="333"/>
    </row>
    <row r="457">
      <c r="A457" s="333"/>
      <c r="B457" s="333"/>
      <c r="C457" s="333"/>
    </row>
    <row r="458">
      <c r="A458" s="333"/>
      <c r="B458" s="333"/>
      <c r="C458" s="333"/>
    </row>
    <row r="459">
      <c r="A459" s="333"/>
      <c r="B459" s="333"/>
      <c r="C459" s="333"/>
    </row>
    <row r="460">
      <c r="A460" s="333"/>
      <c r="B460" s="333"/>
      <c r="C460" s="333"/>
    </row>
    <row r="461">
      <c r="A461" s="333"/>
      <c r="B461" s="333"/>
      <c r="C461" s="333"/>
    </row>
    <row r="462">
      <c r="A462" s="333"/>
      <c r="B462" s="333"/>
      <c r="C462" s="333"/>
    </row>
    <row r="463">
      <c r="A463" s="333"/>
      <c r="B463" s="333"/>
      <c r="C463" s="333"/>
    </row>
    <row r="464">
      <c r="A464" s="333"/>
      <c r="B464" s="333"/>
      <c r="C464" s="333"/>
    </row>
    <row r="465">
      <c r="A465" s="333"/>
      <c r="B465" s="333"/>
      <c r="C465" s="333"/>
    </row>
    <row r="466">
      <c r="A466" s="333"/>
      <c r="B466" s="333"/>
      <c r="C466" s="333"/>
    </row>
    <row r="467">
      <c r="A467" s="333"/>
      <c r="B467" s="333"/>
      <c r="C467" s="333"/>
    </row>
    <row r="468">
      <c r="A468" s="333"/>
      <c r="B468" s="333"/>
      <c r="C468" s="333"/>
    </row>
    <row r="469">
      <c r="A469" s="333"/>
      <c r="B469" s="333"/>
      <c r="C469" s="333"/>
    </row>
    <row r="470">
      <c r="A470" s="333"/>
      <c r="B470" s="333"/>
      <c r="C470" s="333"/>
    </row>
    <row r="471">
      <c r="A471" s="333"/>
      <c r="B471" s="333"/>
      <c r="C471" s="333"/>
    </row>
    <row r="472">
      <c r="A472" s="333"/>
      <c r="B472" s="333"/>
      <c r="C472" s="333"/>
    </row>
    <row r="473">
      <c r="A473" s="333"/>
      <c r="B473" s="333"/>
      <c r="C473" s="333"/>
    </row>
    <row r="474">
      <c r="A474" s="333"/>
      <c r="B474" s="333"/>
      <c r="C474" s="333"/>
    </row>
    <row r="475">
      <c r="A475" s="333"/>
      <c r="B475" s="333"/>
      <c r="C475" s="333"/>
    </row>
    <row r="476">
      <c r="A476" s="333"/>
      <c r="B476" s="333"/>
      <c r="C476" s="333"/>
    </row>
    <row r="477">
      <c r="A477" s="333"/>
      <c r="B477" s="333"/>
      <c r="C477" s="333"/>
    </row>
    <row r="478">
      <c r="A478" s="333"/>
      <c r="B478" s="333"/>
      <c r="C478" s="333"/>
    </row>
    <row r="479">
      <c r="A479" s="333"/>
      <c r="B479" s="333"/>
      <c r="C479" s="333"/>
    </row>
    <row r="480">
      <c r="A480" s="333"/>
      <c r="B480" s="333"/>
      <c r="C480" s="333"/>
    </row>
    <row r="481">
      <c r="A481" s="333"/>
      <c r="B481" s="333"/>
      <c r="C481" s="333"/>
    </row>
    <row r="482">
      <c r="A482" s="333"/>
      <c r="B482" s="333"/>
      <c r="C482" s="333"/>
    </row>
    <row r="483">
      <c r="A483" s="333"/>
      <c r="B483" s="333"/>
      <c r="C483" s="333"/>
    </row>
    <row r="484">
      <c r="A484" s="333"/>
      <c r="B484" s="333"/>
      <c r="C484" s="333"/>
    </row>
    <row r="485">
      <c r="A485" s="333"/>
      <c r="B485" s="333"/>
      <c r="C485" s="333"/>
    </row>
    <row r="486">
      <c r="A486" s="333"/>
      <c r="B486" s="333"/>
      <c r="C486" s="333"/>
    </row>
    <row r="487">
      <c r="A487" s="333"/>
      <c r="B487" s="333"/>
      <c r="C487" s="333"/>
    </row>
    <row r="488">
      <c r="A488" s="333"/>
      <c r="B488" s="333"/>
      <c r="C488" s="333"/>
    </row>
    <row r="489">
      <c r="A489" s="333"/>
      <c r="B489" s="333"/>
      <c r="C489" s="333"/>
    </row>
    <row r="490">
      <c r="A490" s="333"/>
      <c r="B490" s="333"/>
      <c r="C490" s="333"/>
    </row>
    <row r="491">
      <c r="A491" s="333"/>
      <c r="B491" s="333"/>
      <c r="C491" s="333"/>
    </row>
    <row r="492">
      <c r="A492" s="333"/>
      <c r="B492" s="333"/>
      <c r="C492" s="333"/>
    </row>
    <row r="493">
      <c r="A493" s="333"/>
      <c r="B493" s="333"/>
      <c r="C493" s="333"/>
    </row>
    <row r="494">
      <c r="A494" s="333"/>
      <c r="B494" s="333"/>
      <c r="C494" s="333"/>
    </row>
    <row r="495">
      <c r="A495" s="333"/>
      <c r="B495" s="333"/>
      <c r="C495" s="333"/>
    </row>
    <row r="496">
      <c r="A496" s="333"/>
      <c r="B496" s="333"/>
      <c r="C496" s="333"/>
    </row>
    <row r="497">
      <c r="A497" s="333"/>
      <c r="B497" s="333"/>
      <c r="C497" s="333"/>
    </row>
    <row r="498">
      <c r="A498" s="333"/>
      <c r="B498" s="333"/>
      <c r="C498" s="333"/>
    </row>
    <row r="499">
      <c r="A499" s="333"/>
      <c r="B499" s="333"/>
      <c r="C499" s="333"/>
    </row>
    <row r="500">
      <c r="A500" s="333"/>
      <c r="B500" s="333"/>
      <c r="C500" s="333"/>
    </row>
    <row r="501">
      <c r="A501" s="333"/>
      <c r="B501" s="333"/>
      <c r="C501" s="333"/>
    </row>
    <row r="502">
      <c r="A502" s="333"/>
      <c r="B502" s="333"/>
      <c r="C502" s="333"/>
    </row>
    <row r="503">
      <c r="A503" s="333"/>
      <c r="B503" s="333"/>
      <c r="C503" s="333"/>
    </row>
    <row r="504">
      <c r="A504" s="333"/>
      <c r="B504" s="333"/>
      <c r="C504" s="333"/>
    </row>
    <row r="505">
      <c r="A505" s="333"/>
      <c r="B505" s="333"/>
      <c r="C505" s="333"/>
    </row>
    <row r="506">
      <c r="A506" s="333"/>
      <c r="B506" s="333"/>
      <c r="C506" s="333"/>
    </row>
    <row r="507">
      <c r="A507" s="333"/>
      <c r="B507" s="333"/>
      <c r="C507" s="333"/>
    </row>
    <row r="508">
      <c r="A508" s="333"/>
      <c r="B508" s="333"/>
      <c r="C508" s="333"/>
    </row>
    <row r="509">
      <c r="A509" s="333"/>
      <c r="B509" s="333"/>
      <c r="C509" s="333"/>
    </row>
    <row r="510">
      <c r="A510" s="333"/>
      <c r="B510" s="333"/>
      <c r="C510" s="333"/>
    </row>
    <row r="511">
      <c r="A511" s="333"/>
      <c r="B511" s="333"/>
      <c r="C511" s="333"/>
    </row>
    <row r="512">
      <c r="A512" s="333"/>
      <c r="B512" s="333"/>
      <c r="C512" s="333"/>
    </row>
    <row r="513">
      <c r="A513" s="333"/>
      <c r="B513" s="333"/>
      <c r="C513" s="333"/>
    </row>
    <row r="514">
      <c r="A514" s="333"/>
      <c r="B514" s="333"/>
      <c r="C514" s="333"/>
    </row>
    <row r="515">
      <c r="A515" s="333"/>
      <c r="B515" s="333"/>
      <c r="C515" s="333"/>
    </row>
    <row r="516">
      <c r="A516" s="333"/>
      <c r="B516" s="333"/>
      <c r="C516" s="333"/>
    </row>
    <row r="517">
      <c r="A517" s="333"/>
      <c r="B517" s="333"/>
      <c r="C517" s="333"/>
    </row>
    <row r="518">
      <c r="A518" s="333"/>
      <c r="B518" s="333"/>
      <c r="C518" s="333"/>
    </row>
    <row r="519">
      <c r="A519" s="333"/>
      <c r="B519" s="333"/>
      <c r="C519" s="333"/>
    </row>
    <row r="520">
      <c r="A520" s="333"/>
      <c r="B520" s="333"/>
      <c r="C520" s="333"/>
    </row>
    <row r="521">
      <c r="A521" s="333"/>
      <c r="B521" s="333"/>
      <c r="C521" s="333"/>
    </row>
    <row r="522">
      <c r="A522" s="333"/>
      <c r="B522" s="333"/>
      <c r="C522" s="333"/>
    </row>
    <row r="523">
      <c r="A523" s="333"/>
      <c r="B523" s="333"/>
      <c r="C523" s="333"/>
    </row>
    <row r="524">
      <c r="A524" s="333"/>
      <c r="B524" s="333"/>
      <c r="C524" s="333"/>
    </row>
    <row r="525">
      <c r="A525" s="333"/>
      <c r="B525" s="333"/>
      <c r="C525" s="333"/>
    </row>
    <row r="526">
      <c r="A526" s="333"/>
      <c r="B526" s="333"/>
      <c r="C526" s="333"/>
    </row>
    <row r="527">
      <c r="A527" s="333"/>
      <c r="B527" s="333"/>
      <c r="C527" s="333"/>
    </row>
    <row r="528">
      <c r="A528" s="333"/>
      <c r="B528" s="333"/>
      <c r="C528" s="333"/>
    </row>
    <row r="529">
      <c r="A529" s="333"/>
      <c r="B529" s="333"/>
      <c r="C529" s="333"/>
    </row>
    <row r="530">
      <c r="A530" s="333"/>
      <c r="B530" s="333"/>
      <c r="C530" s="333"/>
    </row>
    <row r="531">
      <c r="A531" s="333"/>
      <c r="B531" s="333"/>
      <c r="C531" s="333"/>
    </row>
    <row r="532">
      <c r="A532" s="333"/>
      <c r="B532" s="333"/>
      <c r="C532" s="333"/>
    </row>
    <row r="533">
      <c r="A533" s="333"/>
      <c r="B533" s="333"/>
      <c r="C533" s="333"/>
    </row>
    <row r="534">
      <c r="A534" s="333"/>
      <c r="B534" s="333"/>
      <c r="C534" s="333"/>
    </row>
    <row r="535">
      <c r="A535" s="333"/>
      <c r="B535" s="333"/>
      <c r="C535" s="333"/>
    </row>
    <row r="536">
      <c r="A536" s="333"/>
      <c r="B536" s="333"/>
      <c r="C536" s="333"/>
    </row>
    <row r="537">
      <c r="A537" s="333"/>
      <c r="B537" s="333"/>
      <c r="C537" s="333"/>
    </row>
    <row r="538">
      <c r="A538" s="333"/>
      <c r="B538" s="333"/>
      <c r="C538" s="333"/>
    </row>
    <row r="539">
      <c r="A539" s="333"/>
      <c r="B539" s="333"/>
      <c r="C539" s="333"/>
    </row>
    <row r="540">
      <c r="A540" s="333"/>
      <c r="B540" s="333"/>
      <c r="C540" s="333"/>
    </row>
    <row r="541">
      <c r="A541" s="333"/>
      <c r="B541" s="333"/>
      <c r="C541" s="333"/>
    </row>
    <row r="542">
      <c r="A542" s="333"/>
      <c r="B542" s="333"/>
      <c r="C542" s="333"/>
    </row>
    <row r="543">
      <c r="A543" s="333"/>
      <c r="B543" s="333"/>
      <c r="C543" s="333"/>
    </row>
    <row r="544">
      <c r="A544" s="333"/>
      <c r="B544" s="333"/>
      <c r="C544" s="333"/>
    </row>
    <row r="545">
      <c r="A545" s="333"/>
      <c r="B545" s="333"/>
      <c r="C545" s="333"/>
    </row>
    <row r="546">
      <c r="A546" s="333"/>
      <c r="B546" s="333"/>
      <c r="C546" s="333"/>
    </row>
    <row r="547">
      <c r="A547" s="333"/>
      <c r="B547" s="333"/>
      <c r="C547" s="333"/>
    </row>
    <row r="548">
      <c r="A548" s="333"/>
      <c r="B548" s="333"/>
      <c r="C548" s="333"/>
    </row>
    <row r="549">
      <c r="A549" s="333"/>
      <c r="B549" s="333"/>
      <c r="C549" s="333"/>
    </row>
    <row r="550">
      <c r="A550" s="333"/>
      <c r="B550" s="333"/>
      <c r="C550" s="333"/>
    </row>
    <row r="551">
      <c r="A551" s="333"/>
      <c r="B551" s="333"/>
      <c r="C551" s="333"/>
    </row>
    <row r="552">
      <c r="A552" s="333"/>
      <c r="B552" s="333"/>
      <c r="C552" s="333"/>
    </row>
    <row r="553">
      <c r="A553" s="333"/>
      <c r="B553" s="333"/>
      <c r="C553" s="333"/>
    </row>
    <row r="554">
      <c r="A554" s="333"/>
      <c r="B554" s="333"/>
      <c r="C554" s="333"/>
    </row>
    <row r="555">
      <c r="A555" s="333"/>
      <c r="B555" s="333"/>
      <c r="C555" s="333"/>
    </row>
    <row r="556">
      <c r="A556" s="333"/>
      <c r="B556" s="333"/>
      <c r="C556" s="333"/>
    </row>
    <row r="557">
      <c r="A557" s="333"/>
      <c r="B557" s="333"/>
      <c r="C557" s="333"/>
    </row>
    <row r="558">
      <c r="A558" s="333"/>
      <c r="B558" s="333"/>
      <c r="C558" s="333"/>
    </row>
    <row r="559">
      <c r="A559" s="333"/>
      <c r="B559" s="333"/>
      <c r="C559" s="333"/>
    </row>
    <row r="560">
      <c r="A560" s="333"/>
      <c r="B560" s="333"/>
      <c r="C560" s="333"/>
    </row>
    <row r="561">
      <c r="A561" s="333"/>
      <c r="B561" s="333"/>
      <c r="C561" s="333"/>
    </row>
    <row r="562">
      <c r="A562" s="333"/>
      <c r="B562" s="333"/>
      <c r="C562" s="333"/>
    </row>
    <row r="563">
      <c r="A563" s="333"/>
      <c r="B563" s="333"/>
      <c r="C563" s="333"/>
    </row>
    <row r="564">
      <c r="A564" s="333"/>
      <c r="B564" s="333"/>
      <c r="C564" s="333"/>
    </row>
    <row r="565">
      <c r="A565" s="333"/>
      <c r="B565" s="333"/>
      <c r="C565" s="333"/>
    </row>
    <row r="566">
      <c r="A566" s="333"/>
      <c r="B566" s="333"/>
      <c r="C566" s="333"/>
    </row>
    <row r="567">
      <c r="A567" s="333"/>
      <c r="B567" s="333"/>
      <c r="C567" s="333"/>
    </row>
    <row r="568">
      <c r="A568" s="333"/>
      <c r="B568" s="333"/>
      <c r="C568" s="333"/>
    </row>
    <row r="569">
      <c r="A569" s="333"/>
      <c r="B569" s="333"/>
      <c r="C569" s="333"/>
    </row>
    <row r="570">
      <c r="A570" s="333"/>
      <c r="B570" s="333"/>
      <c r="C570" s="333"/>
    </row>
    <row r="571">
      <c r="A571" s="333"/>
      <c r="B571" s="333"/>
      <c r="C571" s="333"/>
    </row>
    <row r="572">
      <c r="A572" s="333"/>
      <c r="B572" s="333"/>
      <c r="C572" s="333"/>
    </row>
    <row r="573">
      <c r="A573" s="333"/>
      <c r="B573" s="333"/>
      <c r="C573" s="333"/>
    </row>
    <row r="574">
      <c r="A574" s="333"/>
      <c r="B574" s="333"/>
      <c r="C574" s="333"/>
    </row>
    <row r="575">
      <c r="A575" s="333"/>
      <c r="B575" s="333"/>
      <c r="C575" s="333"/>
    </row>
    <row r="576">
      <c r="A576" s="333"/>
      <c r="B576" s="333"/>
      <c r="C576" s="333"/>
    </row>
    <row r="577">
      <c r="A577" s="333"/>
      <c r="B577" s="333"/>
      <c r="C577" s="333"/>
    </row>
    <row r="578">
      <c r="A578" s="333"/>
      <c r="B578" s="333"/>
      <c r="C578" s="333"/>
    </row>
    <row r="579">
      <c r="A579" s="333"/>
      <c r="B579" s="333"/>
      <c r="C579" s="333"/>
    </row>
    <row r="580">
      <c r="A580" s="333"/>
      <c r="B580" s="333"/>
      <c r="C580" s="333"/>
    </row>
    <row r="581">
      <c r="A581" s="333"/>
      <c r="B581" s="333"/>
      <c r="C581" s="333"/>
    </row>
    <row r="582">
      <c r="A582" s="333"/>
      <c r="B582" s="333"/>
      <c r="C582" s="333"/>
    </row>
    <row r="583">
      <c r="A583" s="333"/>
      <c r="B583" s="333"/>
      <c r="C583" s="333"/>
    </row>
    <row r="584">
      <c r="A584" s="333"/>
      <c r="B584" s="333"/>
      <c r="C584" s="333"/>
    </row>
    <row r="585">
      <c r="A585" s="333"/>
      <c r="B585" s="333"/>
      <c r="C585" s="333"/>
    </row>
    <row r="586">
      <c r="A586" s="333"/>
      <c r="B586" s="333"/>
      <c r="C586" s="333"/>
    </row>
    <row r="587">
      <c r="A587" s="333"/>
      <c r="B587" s="333"/>
      <c r="C587" s="333"/>
    </row>
    <row r="588">
      <c r="A588" s="333"/>
      <c r="B588" s="333"/>
      <c r="C588" s="333"/>
    </row>
    <row r="589">
      <c r="A589" s="333"/>
      <c r="B589" s="333"/>
      <c r="C589" s="333"/>
    </row>
    <row r="590">
      <c r="A590" s="333"/>
      <c r="B590" s="333"/>
      <c r="C590" s="333"/>
    </row>
    <row r="591">
      <c r="A591" s="333"/>
      <c r="B591" s="333"/>
      <c r="C591" s="333"/>
    </row>
    <row r="592">
      <c r="A592" s="333"/>
      <c r="B592" s="333"/>
      <c r="C592" s="333"/>
    </row>
    <row r="593">
      <c r="A593" s="333"/>
      <c r="B593" s="333"/>
      <c r="C593" s="333"/>
    </row>
    <row r="594">
      <c r="A594" s="333"/>
      <c r="B594" s="333"/>
      <c r="C594" s="333"/>
    </row>
    <row r="595">
      <c r="A595" s="333"/>
      <c r="B595" s="333"/>
      <c r="C595" s="333"/>
    </row>
    <row r="596">
      <c r="A596" s="333"/>
      <c r="B596" s="333"/>
      <c r="C596" s="333"/>
    </row>
    <row r="597">
      <c r="A597" s="333"/>
      <c r="B597" s="333"/>
      <c r="C597" s="333"/>
    </row>
    <row r="598">
      <c r="A598" s="333"/>
      <c r="B598" s="333"/>
      <c r="C598" s="333"/>
    </row>
    <row r="599">
      <c r="A599" s="333"/>
      <c r="B599" s="333"/>
      <c r="C599" s="333"/>
    </row>
    <row r="600">
      <c r="A600" s="333"/>
      <c r="B600" s="333"/>
      <c r="C600" s="333"/>
    </row>
    <row r="601">
      <c r="A601" s="333"/>
      <c r="B601" s="333"/>
      <c r="C601" s="333"/>
    </row>
    <row r="602">
      <c r="A602" s="333"/>
      <c r="B602" s="333"/>
      <c r="C602" s="333"/>
    </row>
    <row r="603">
      <c r="A603" s="333"/>
      <c r="B603" s="333"/>
      <c r="C603" s="333"/>
    </row>
    <row r="604">
      <c r="A604" s="333"/>
      <c r="B604" s="333"/>
      <c r="C604" s="333"/>
    </row>
    <row r="605">
      <c r="A605" s="333"/>
      <c r="B605" s="333"/>
      <c r="C605" s="333"/>
    </row>
    <row r="606">
      <c r="A606" s="333"/>
      <c r="B606" s="333"/>
      <c r="C606" s="333"/>
    </row>
    <row r="607">
      <c r="A607" s="333"/>
      <c r="B607" s="333"/>
      <c r="C607" s="333"/>
    </row>
    <row r="608">
      <c r="A608" s="333"/>
      <c r="B608" s="333"/>
      <c r="C608" s="333"/>
    </row>
    <row r="609">
      <c r="A609" s="333"/>
      <c r="B609" s="333"/>
      <c r="C609" s="333"/>
    </row>
    <row r="610">
      <c r="A610" s="333"/>
      <c r="B610" s="333"/>
      <c r="C610" s="333"/>
    </row>
    <row r="611">
      <c r="A611" s="333"/>
      <c r="B611" s="333"/>
      <c r="C611" s="333"/>
    </row>
    <row r="612">
      <c r="A612" s="333"/>
      <c r="B612" s="333"/>
      <c r="C612" s="333"/>
    </row>
    <row r="613">
      <c r="A613" s="333"/>
      <c r="B613" s="333"/>
      <c r="C613" s="333"/>
    </row>
    <row r="614">
      <c r="A614" s="333"/>
      <c r="B614" s="333"/>
      <c r="C614" s="333"/>
    </row>
    <row r="615">
      <c r="A615" s="333"/>
      <c r="B615" s="333"/>
      <c r="C615" s="333"/>
    </row>
    <row r="616">
      <c r="A616" s="333"/>
      <c r="B616" s="333"/>
      <c r="C616" s="333"/>
    </row>
    <row r="617">
      <c r="A617" s="333"/>
      <c r="B617" s="333"/>
      <c r="C617" s="333"/>
    </row>
    <row r="618">
      <c r="A618" s="333"/>
      <c r="B618" s="333"/>
      <c r="C618" s="333"/>
    </row>
    <row r="619">
      <c r="A619" s="333"/>
      <c r="B619" s="333"/>
      <c r="C619" s="333"/>
    </row>
    <row r="620">
      <c r="A620" s="333"/>
      <c r="B620" s="333"/>
      <c r="C620" s="333"/>
    </row>
    <row r="621">
      <c r="A621" s="333"/>
      <c r="B621" s="333"/>
      <c r="C621" s="333"/>
    </row>
    <row r="622">
      <c r="A622" s="333"/>
      <c r="B622" s="333"/>
      <c r="C622" s="333"/>
    </row>
    <row r="623">
      <c r="A623" s="333"/>
      <c r="B623" s="333"/>
      <c r="C623" s="333"/>
    </row>
    <row r="624">
      <c r="A624" s="333"/>
      <c r="B624" s="333"/>
      <c r="C624" s="333"/>
    </row>
    <row r="625">
      <c r="A625" s="333"/>
      <c r="B625" s="333"/>
      <c r="C625" s="333"/>
    </row>
    <row r="626">
      <c r="A626" s="333"/>
      <c r="B626" s="333"/>
      <c r="C626" s="333"/>
    </row>
    <row r="627">
      <c r="A627" s="333"/>
      <c r="B627" s="333"/>
      <c r="C627" s="333"/>
    </row>
    <row r="628">
      <c r="A628" s="333"/>
      <c r="B628" s="333"/>
      <c r="C628" s="333"/>
    </row>
    <row r="629">
      <c r="A629" s="333"/>
      <c r="B629" s="333"/>
      <c r="C629" s="333"/>
    </row>
    <row r="630">
      <c r="A630" s="333"/>
      <c r="B630" s="333"/>
      <c r="C630" s="333"/>
    </row>
    <row r="631">
      <c r="A631" s="333"/>
      <c r="B631" s="333"/>
      <c r="C631" s="333"/>
    </row>
    <row r="632">
      <c r="A632" s="333"/>
      <c r="B632" s="333"/>
      <c r="C632" s="333"/>
    </row>
    <row r="633">
      <c r="A633" s="333"/>
      <c r="B633" s="333"/>
      <c r="C633" s="333"/>
    </row>
    <row r="634">
      <c r="A634" s="333"/>
      <c r="B634" s="333"/>
      <c r="C634" s="333"/>
    </row>
    <row r="635">
      <c r="A635" s="333"/>
      <c r="B635" s="333"/>
      <c r="C635" s="333"/>
    </row>
    <row r="636">
      <c r="A636" s="333"/>
      <c r="B636" s="333"/>
      <c r="C636" s="333"/>
    </row>
    <row r="637">
      <c r="A637" s="333"/>
      <c r="B637" s="333"/>
      <c r="C637" s="333"/>
    </row>
    <row r="638">
      <c r="A638" s="333"/>
      <c r="B638" s="333"/>
      <c r="C638" s="333"/>
    </row>
    <row r="639">
      <c r="A639" s="333"/>
      <c r="B639" s="333"/>
      <c r="C639" s="333"/>
    </row>
    <row r="640">
      <c r="A640" s="333"/>
      <c r="B640" s="333"/>
      <c r="C640" s="333"/>
    </row>
    <row r="641">
      <c r="A641" s="333"/>
      <c r="B641" s="333"/>
      <c r="C641" s="333"/>
    </row>
    <row r="642">
      <c r="A642" s="333"/>
      <c r="B642" s="333"/>
      <c r="C642" s="333"/>
    </row>
    <row r="643">
      <c r="A643" s="333"/>
      <c r="B643" s="333"/>
      <c r="C643" s="333"/>
    </row>
    <row r="644">
      <c r="A644" s="333"/>
      <c r="B644" s="333"/>
      <c r="C644" s="333"/>
    </row>
    <row r="645">
      <c r="A645" s="333"/>
      <c r="B645" s="333"/>
      <c r="C645" s="333"/>
    </row>
    <row r="646">
      <c r="A646" s="333"/>
      <c r="B646" s="333"/>
      <c r="C646" s="333"/>
    </row>
    <row r="647">
      <c r="A647" s="333"/>
      <c r="B647" s="333"/>
      <c r="C647" s="333"/>
    </row>
    <row r="648">
      <c r="A648" s="333"/>
      <c r="B648" s="333"/>
      <c r="C648" s="333"/>
    </row>
    <row r="649">
      <c r="A649" s="333"/>
      <c r="B649" s="333"/>
      <c r="C649" s="333"/>
    </row>
    <row r="650">
      <c r="A650" s="333"/>
      <c r="B650" s="333"/>
      <c r="C650" s="333"/>
    </row>
    <row r="651">
      <c r="A651" s="333"/>
      <c r="B651" s="333"/>
      <c r="C651" s="333"/>
    </row>
    <row r="652">
      <c r="A652" s="333"/>
      <c r="B652" s="333"/>
      <c r="C652" s="333"/>
    </row>
    <row r="653">
      <c r="A653" s="333"/>
      <c r="B653" s="333"/>
      <c r="C653" s="333"/>
    </row>
    <row r="654">
      <c r="A654" s="333"/>
      <c r="B654" s="333"/>
      <c r="C654" s="333"/>
    </row>
    <row r="655">
      <c r="A655" s="333"/>
      <c r="B655" s="333"/>
      <c r="C655" s="333"/>
    </row>
    <row r="656">
      <c r="A656" s="333"/>
      <c r="B656" s="333"/>
      <c r="C656" s="333"/>
    </row>
    <row r="657">
      <c r="A657" s="333"/>
      <c r="B657" s="333"/>
      <c r="C657" s="333"/>
    </row>
    <row r="658">
      <c r="A658" s="333"/>
      <c r="B658" s="333"/>
      <c r="C658" s="333"/>
    </row>
    <row r="659">
      <c r="A659" s="333"/>
      <c r="B659" s="333"/>
      <c r="C659" s="333"/>
    </row>
    <row r="660">
      <c r="A660" s="333"/>
      <c r="B660" s="333"/>
      <c r="C660" s="333"/>
    </row>
    <row r="661">
      <c r="A661" s="333"/>
      <c r="B661" s="333"/>
      <c r="C661" s="333"/>
    </row>
    <row r="662">
      <c r="A662" s="333"/>
      <c r="B662" s="333"/>
      <c r="C662" s="333"/>
    </row>
    <row r="663">
      <c r="A663" s="333"/>
      <c r="B663" s="333"/>
      <c r="C663" s="333"/>
    </row>
    <row r="664">
      <c r="A664" s="333"/>
      <c r="B664" s="333"/>
      <c r="C664" s="333"/>
    </row>
    <row r="665">
      <c r="A665" s="333"/>
      <c r="B665" s="333"/>
      <c r="C665" s="333"/>
    </row>
    <row r="666">
      <c r="A666" s="333"/>
      <c r="B666" s="333"/>
      <c r="C666" s="333"/>
    </row>
    <row r="667">
      <c r="A667" s="333"/>
      <c r="B667" s="333"/>
      <c r="C667" s="333"/>
    </row>
    <row r="668">
      <c r="A668" s="333"/>
      <c r="B668" s="333"/>
      <c r="C668" s="333"/>
    </row>
    <row r="669">
      <c r="A669" s="333"/>
      <c r="B669" s="333"/>
      <c r="C669" s="333"/>
    </row>
    <row r="670">
      <c r="A670" s="333"/>
      <c r="B670" s="333"/>
      <c r="C670" s="333"/>
    </row>
    <row r="671">
      <c r="A671" s="333"/>
      <c r="B671" s="333"/>
      <c r="C671" s="333"/>
    </row>
    <row r="672">
      <c r="A672" s="333"/>
      <c r="B672" s="333"/>
      <c r="C672" s="333"/>
    </row>
    <row r="673">
      <c r="A673" s="333"/>
      <c r="B673" s="333"/>
      <c r="C673" s="333"/>
    </row>
    <row r="674">
      <c r="A674" s="333"/>
      <c r="B674" s="333"/>
      <c r="C674" s="333"/>
    </row>
    <row r="675">
      <c r="A675" s="333"/>
      <c r="B675" s="333"/>
      <c r="C675" s="333"/>
    </row>
    <row r="676">
      <c r="A676" s="333"/>
      <c r="B676" s="333"/>
      <c r="C676" s="333"/>
    </row>
    <row r="677">
      <c r="A677" s="333"/>
      <c r="B677" s="333"/>
      <c r="C677" s="333"/>
    </row>
    <row r="678">
      <c r="A678" s="333"/>
      <c r="B678" s="333"/>
      <c r="C678" s="333"/>
    </row>
    <row r="679">
      <c r="A679" s="333"/>
      <c r="B679" s="333"/>
      <c r="C679" s="333"/>
    </row>
    <row r="680">
      <c r="A680" s="333"/>
      <c r="B680" s="333"/>
      <c r="C680" s="333"/>
    </row>
    <row r="681">
      <c r="A681" s="333"/>
      <c r="B681" s="333"/>
      <c r="C681" s="333"/>
    </row>
    <row r="682">
      <c r="A682" s="333"/>
      <c r="B682" s="333"/>
      <c r="C682" s="333"/>
    </row>
    <row r="683">
      <c r="A683" s="333"/>
      <c r="B683" s="333"/>
      <c r="C683" s="333"/>
    </row>
    <row r="684">
      <c r="A684" s="333"/>
      <c r="B684" s="333"/>
      <c r="C684" s="333"/>
    </row>
    <row r="685">
      <c r="A685" s="333"/>
      <c r="B685" s="333"/>
      <c r="C685" s="333"/>
    </row>
    <row r="686">
      <c r="A686" s="333"/>
      <c r="B686" s="333"/>
      <c r="C686" s="333"/>
    </row>
    <row r="687">
      <c r="A687" s="333"/>
      <c r="B687" s="333"/>
      <c r="C687" s="333"/>
    </row>
    <row r="688">
      <c r="A688" s="333"/>
      <c r="B688" s="333"/>
      <c r="C688" s="333"/>
    </row>
    <row r="689">
      <c r="A689" s="333"/>
      <c r="B689" s="333"/>
      <c r="C689" s="333"/>
    </row>
    <row r="690">
      <c r="A690" s="333"/>
      <c r="B690" s="333"/>
      <c r="C690" s="333"/>
    </row>
    <row r="691">
      <c r="A691" s="333"/>
      <c r="B691" s="333"/>
      <c r="C691" s="333"/>
    </row>
    <row r="692">
      <c r="A692" s="333"/>
      <c r="B692" s="333"/>
      <c r="C692" s="333"/>
    </row>
    <row r="693">
      <c r="A693" s="333"/>
      <c r="B693" s="333"/>
      <c r="C693" s="333"/>
    </row>
    <row r="694">
      <c r="A694" s="333"/>
      <c r="B694" s="333"/>
      <c r="C694" s="333"/>
    </row>
    <row r="695">
      <c r="A695" s="333"/>
      <c r="B695" s="333"/>
      <c r="C695" s="333"/>
    </row>
    <row r="696">
      <c r="A696" s="333"/>
      <c r="B696" s="333"/>
      <c r="C696" s="333"/>
    </row>
    <row r="697">
      <c r="A697" s="333"/>
      <c r="B697" s="333"/>
      <c r="C697" s="333"/>
    </row>
    <row r="698">
      <c r="A698" s="333"/>
      <c r="B698" s="333"/>
      <c r="C698" s="333"/>
    </row>
    <row r="699">
      <c r="A699" s="333"/>
      <c r="B699" s="333"/>
      <c r="C699" s="333"/>
    </row>
    <row r="700">
      <c r="A700" s="333"/>
      <c r="B700" s="333"/>
      <c r="C700" s="333"/>
    </row>
    <row r="701">
      <c r="A701" s="333"/>
      <c r="B701" s="333"/>
      <c r="C701" s="333"/>
    </row>
    <row r="702">
      <c r="A702" s="333"/>
      <c r="B702" s="333"/>
      <c r="C702" s="333"/>
    </row>
    <row r="703">
      <c r="A703" s="333"/>
      <c r="B703" s="333"/>
      <c r="C703" s="333"/>
    </row>
    <row r="704">
      <c r="A704" s="333"/>
      <c r="B704" s="333"/>
      <c r="C704" s="333"/>
    </row>
    <row r="705">
      <c r="A705" s="333"/>
      <c r="B705" s="333"/>
      <c r="C705" s="333"/>
    </row>
    <row r="706">
      <c r="A706" s="333"/>
      <c r="B706" s="333"/>
      <c r="C706" s="333"/>
    </row>
    <row r="707">
      <c r="A707" s="333"/>
      <c r="B707" s="333"/>
      <c r="C707" s="333"/>
    </row>
    <row r="708">
      <c r="A708" s="333"/>
      <c r="B708" s="333"/>
      <c r="C708" s="333"/>
    </row>
    <row r="709">
      <c r="A709" s="333"/>
      <c r="B709" s="333"/>
      <c r="C709" s="333"/>
    </row>
    <row r="710">
      <c r="A710" s="333"/>
      <c r="B710" s="333"/>
      <c r="C710" s="333"/>
    </row>
    <row r="711">
      <c r="A711" s="333"/>
      <c r="B711" s="333"/>
      <c r="C711" s="333"/>
    </row>
    <row r="712">
      <c r="A712" s="333"/>
      <c r="B712" s="333"/>
      <c r="C712" s="333"/>
    </row>
    <row r="713">
      <c r="A713" s="333"/>
      <c r="B713" s="333"/>
      <c r="C713" s="333"/>
    </row>
    <row r="714">
      <c r="A714" s="333"/>
      <c r="B714" s="333"/>
      <c r="C714" s="333"/>
    </row>
    <row r="715">
      <c r="A715" s="333"/>
      <c r="B715" s="333"/>
      <c r="C715" s="333"/>
    </row>
    <row r="716">
      <c r="A716" s="333"/>
      <c r="B716" s="333"/>
      <c r="C716" s="333"/>
    </row>
    <row r="717">
      <c r="A717" s="333"/>
      <c r="B717" s="333"/>
      <c r="C717" s="333"/>
    </row>
    <row r="718">
      <c r="A718" s="333"/>
      <c r="B718" s="333"/>
      <c r="C718" s="333"/>
    </row>
    <row r="719">
      <c r="A719" s="333"/>
      <c r="B719" s="333"/>
      <c r="C719" s="333"/>
    </row>
    <row r="720">
      <c r="A720" s="333"/>
      <c r="B720" s="333"/>
      <c r="C720" s="333"/>
    </row>
    <row r="721">
      <c r="A721" s="333"/>
      <c r="B721" s="333"/>
      <c r="C721" s="333"/>
    </row>
    <row r="722">
      <c r="A722" s="333"/>
      <c r="B722" s="333"/>
      <c r="C722" s="333"/>
    </row>
    <row r="723">
      <c r="A723" s="333"/>
      <c r="B723" s="333"/>
      <c r="C723" s="333"/>
    </row>
    <row r="724">
      <c r="A724" s="333"/>
      <c r="B724" s="333"/>
      <c r="C724" s="333"/>
    </row>
    <row r="725">
      <c r="A725" s="333"/>
      <c r="B725" s="333"/>
      <c r="C725" s="333"/>
    </row>
    <row r="726">
      <c r="A726" s="333"/>
      <c r="B726" s="333"/>
      <c r="C726" s="333"/>
    </row>
    <row r="727">
      <c r="A727" s="333"/>
      <c r="B727" s="333"/>
      <c r="C727" s="333"/>
    </row>
    <row r="728">
      <c r="A728" s="333"/>
      <c r="B728" s="333"/>
      <c r="C728" s="333"/>
    </row>
    <row r="729">
      <c r="A729" s="333"/>
      <c r="B729" s="333"/>
      <c r="C729" s="333"/>
    </row>
    <row r="730">
      <c r="A730" s="333"/>
      <c r="B730" s="333"/>
      <c r="C730" s="333"/>
    </row>
    <row r="731">
      <c r="A731" s="333"/>
      <c r="B731" s="333"/>
      <c r="C731" s="333"/>
    </row>
    <row r="732">
      <c r="A732" s="333"/>
      <c r="B732" s="333"/>
      <c r="C732" s="333"/>
    </row>
    <row r="733">
      <c r="A733" s="333"/>
      <c r="B733" s="333"/>
      <c r="C733" s="333"/>
    </row>
    <row r="734">
      <c r="A734" s="333"/>
      <c r="B734" s="333"/>
      <c r="C734" s="333"/>
    </row>
    <row r="735">
      <c r="A735" s="333"/>
      <c r="B735" s="333"/>
      <c r="C735" s="333"/>
    </row>
    <row r="736">
      <c r="A736" s="333"/>
      <c r="B736" s="333"/>
      <c r="C736" s="333"/>
    </row>
    <row r="737">
      <c r="A737" s="333"/>
      <c r="B737" s="333"/>
      <c r="C737" s="333"/>
    </row>
    <row r="738">
      <c r="A738" s="333"/>
      <c r="B738" s="333"/>
      <c r="C738" s="333"/>
    </row>
    <row r="739">
      <c r="A739" s="333"/>
      <c r="B739" s="333"/>
      <c r="C739" s="333"/>
    </row>
    <row r="740">
      <c r="A740" s="333"/>
      <c r="B740" s="333"/>
      <c r="C740" s="333"/>
    </row>
    <row r="741">
      <c r="A741" s="333"/>
      <c r="B741" s="333"/>
      <c r="C741" s="333"/>
    </row>
    <row r="742">
      <c r="A742" s="333"/>
      <c r="B742" s="333"/>
      <c r="C742" s="333"/>
    </row>
    <row r="743">
      <c r="A743" s="333"/>
      <c r="B743" s="333"/>
      <c r="C743" s="333"/>
    </row>
    <row r="744">
      <c r="A744" s="333"/>
      <c r="B744" s="333"/>
      <c r="C744" s="333"/>
    </row>
    <row r="745">
      <c r="A745" s="333"/>
      <c r="B745" s="333"/>
      <c r="C745" s="333"/>
    </row>
    <row r="746">
      <c r="A746" s="333"/>
      <c r="B746" s="333"/>
      <c r="C746" s="333"/>
    </row>
    <row r="747">
      <c r="A747" s="333"/>
      <c r="B747" s="333"/>
      <c r="C747" s="333"/>
    </row>
    <row r="748">
      <c r="A748" s="333"/>
      <c r="B748" s="333"/>
      <c r="C748" s="333"/>
    </row>
    <row r="749">
      <c r="A749" s="333"/>
      <c r="B749" s="333"/>
      <c r="C749" s="333"/>
    </row>
    <row r="750">
      <c r="A750" s="333"/>
      <c r="B750" s="333"/>
      <c r="C750" s="333"/>
    </row>
    <row r="751">
      <c r="A751" s="333"/>
      <c r="B751" s="333"/>
      <c r="C751" s="333"/>
    </row>
    <row r="752">
      <c r="A752" s="333"/>
      <c r="B752" s="333"/>
      <c r="C752" s="333"/>
    </row>
    <row r="753">
      <c r="A753" s="333"/>
      <c r="B753" s="333"/>
      <c r="C753" s="333"/>
    </row>
    <row r="754">
      <c r="A754" s="333"/>
      <c r="B754" s="333"/>
      <c r="C754" s="333"/>
    </row>
    <row r="755">
      <c r="A755" s="333"/>
      <c r="B755" s="333"/>
      <c r="C755" s="333"/>
    </row>
    <row r="756">
      <c r="A756" s="333"/>
      <c r="B756" s="333"/>
      <c r="C756" s="333"/>
    </row>
    <row r="757">
      <c r="A757" s="333"/>
      <c r="B757" s="333"/>
      <c r="C757" s="333"/>
    </row>
    <row r="758">
      <c r="A758" s="333"/>
      <c r="B758" s="333"/>
      <c r="C758" s="333"/>
    </row>
    <row r="759">
      <c r="A759" s="333"/>
      <c r="B759" s="333"/>
      <c r="C759" s="333"/>
    </row>
    <row r="760">
      <c r="A760" s="333"/>
      <c r="B760" s="333"/>
      <c r="C760" s="333"/>
    </row>
    <row r="761">
      <c r="A761" s="333"/>
      <c r="B761" s="333"/>
      <c r="C761" s="333"/>
    </row>
    <row r="762">
      <c r="A762" s="333"/>
      <c r="B762" s="333"/>
      <c r="C762" s="333"/>
    </row>
    <row r="763">
      <c r="A763" s="333"/>
      <c r="B763" s="333"/>
      <c r="C763" s="333"/>
    </row>
    <row r="764">
      <c r="A764" s="333"/>
      <c r="B764" s="333"/>
      <c r="C764" s="333"/>
    </row>
    <row r="765">
      <c r="A765" s="333"/>
      <c r="B765" s="333"/>
      <c r="C765" s="333"/>
    </row>
    <row r="766">
      <c r="A766" s="333"/>
      <c r="B766" s="333"/>
      <c r="C766" s="333"/>
    </row>
    <row r="767">
      <c r="A767" s="333"/>
      <c r="B767" s="333"/>
      <c r="C767" s="333"/>
    </row>
    <row r="768">
      <c r="A768" s="333"/>
      <c r="B768" s="333"/>
      <c r="C768" s="333"/>
    </row>
    <row r="769">
      <c r="A769" s="333"/>
      <c r="B769" s="333"/>
      <c r="C769" s="333"/>
    </row>
    <row r="770">
      <c r="A770" s="333"/>
      <c r="B770" s="333"/>
      <c r="C770" s="333"/>
    </row>
    <row r="771">
      <c r="A771" s="333"/>
      <c r="B771" s="333"/>
      <c r="C771" s="333"/>
    </row>
    <row r="772">
      <c r="A772" s="333"/>
      <c r="B772" s="333"/>
      <c r="C772" s="333"/>
    </row>
    <row r="773">
      <c r="A773" s="333"/>
      <c r="B773" s="333"/>
      <c r="C773" s="333"/>
    </row>
    <row r="774">
      <c r="A774" s="333"/>
      <c r="B774" s="333"/>
      <c r="C774" s="333"/>
    </row>
    <row r="775">
      <c r="A775" s="333"/>
      <c r="B775" s="333"/>
      <c r="C775" s="333"/>
    </row>
    <row r="776">
      <c r="A776" s="333"/>
      <c r="B776" s="333"/>
      <c r="C776" s="333"/>
    </row>
    <row r="777">
      <c r="A777" s="333"/>
      <c r="B777" s="333"/>
      <c r="C777" s="333"/>
    </row>
    <row r="778">
      <c r="A778" s="333"/>
      <c r="B778" s="333"/>
      <c r="C778" s="333"/>
    </row>
    <row r="779">
      <c r="A779" s="333"/>
      <c r="B779" s="333"/>
      <c r="C779" s="333"/>
    </row>
    <row r="780">
      <c r="A780" s="333"/>
      <c r="B780" s="333"/>
      <c r="C780" s="333"/>
    </row>
    <row r="781">
      <c r="A781" s="333"/>
      <c r="B781" s="333"/>
      <c r="C781" s="333"/>
    </row>
    <row r="782">
      <c r="A782" s="333"/>
      <c r="B782" s="333"/>
      <c r="C782" s="333"/>
    </row>
    <row r="783">
      <c r="A783" s="333"/>
      <c r="B783" s="333"/>
      <c r="C783" s="333"/>
    </row>
    <row r="784">
      <c r="A784" s="333"/>
      <c r="B784" s="333"/>
      <c r="C784" s="333"/>
    </row>
    <row r="785">
      <c r="A785" s="333"/>
      <c r="B785" s="333"/>
      <c r="C785" s="333"/>
    </row>
    <row r="786">
      <c r="A786" s="333"/>
      <c r="B786" s="333"/>
      <c r="C786" s="333"/>
    </row>
    <row r="787">
      <c r="A787" s="333"/>
      <c r="B787" s="333"/>
      <c r="C787" s="333"/>
    </row>
    <row r="788">
      <c r="A788" s="333"/>
      <c r="B788" s="333"/>
      <c r="C788" s="333"/>
    </row>
    <row r="789">
      <c r="A789" s="333"/>
      <c r="B789" s="333"/>
      <c r="C789" s="333"/>
    </row>
    <row r="790">
      <c r="A790" s="333"/>
      <c r="B790" s="333"/>
      <c r="C790" s="333"/>
    </row>
    <row r="791">
      <c r="A791" s="333"/>
      <c r="B791" s="333"/>
      <c r="C791" s="333"/>
    </row>
    <row r="792">
      <c r="A792" s="333"/>
      <c r="B792" s="333"/>
      <c r="C792" s="333"/>
    </row>
    <row r="793">
      <c r="A793" s="333"/>
      <c r="B793" s="333"/>
      <c r="C793" s="333"/>
    </row>
    <row r="794">
      <c r="A794" s="333"/>
      <c r="B794" s="333"/>
      <c r="C794" s="333"/>
    </row>
    <row r="795">
      <c r="A795" s="333"/>
      <c r="B795" s="333"/>
      <c r="C795" s="333"/>
    </row>
    <row r="796">
      <c r="A796" s="333"/>
      <c r="B796" s="333"/>
      <c r="C796" s="333"/>
    </row>
    <row r="797">
      <c r="A797" s="333"/>
      <c r="B797" s="333"/>
      <c r="C797" s="333"/>
    </row>
    <row r="798">
      <c r="A798" s="333"/>
      <c r="B798" s="333"/>
      <c r="C798" s="333"/>
    </row>
    <row r="799">
      <c r="A799" s="333"/>
      <c r="B799" s="333"/>
      <c r="C799" s="333"/>
    </row>
    <row r="800">
      <c r="A800" s="333"/>
      <c r="B800" s="333"/>
      <c r="C800" s="333"/>
    </row>
    <row r="801">
      <c r="A801" s="333"/>
      <c r="B801" s="333"/>
      <c r="C801" s="333"/>
    </row>
    <row r="802">
      <c r="A802" s="333"/>
      <c r="B802" s="333"/>
      <c r="C802" s="333"/>
    </row>
    <row r="803">
      <c r="A803" s="333"/>
      <c r="B803" s="333"/>
      <c r="C803" s="333"/>
    </row>
    <row r="804">
      <c r="A804" s="333"/>
      <c r="B804" s="333"/>
      <c r="C804" s="333"/>
    </row>
    <row r="805">
      <c r="A805" s="333"/>
      <c r="B805" s="333"/>
      <c r="C805" s="333"/>
    </row>
    <row r="806">
      <c r="A806" s="333"/>
      <c r="B806" s="333"/>
      <c r="C806" s="333"/>
    </row>
    <row r="807">
      <c r="A807" s="333"/>
      <c r="B807" s="333"/>
      <c r="C807" s="333"/>
    </row>
    <row r="808">
      <c r="A808" s="333"/>
      <c r="B808" s="333"/>
      <c r="C808" s="333"/>
    </row>
    <row r="809">
      <c r="A809" s="333"/>
      <c r="B809" s="333"/>
      <c r="C809" s="333"/>
    </row>
    <row r="810">
      <c r="A810" s="333"/>
      <c r="B810" s="333"/>
      <c r="C810" s="333"/>
    </row>
    <row r="811">
      <c r="A811" s="333"/>
      <c r="B811" s="333"/>
      <c r="C811" s="333"/>
    </row>
    <row r="812">
      <c r="A812" s="333"/>
      <c r="B812" s="333"/>
      <c r="C812" s="333"/>
    </row>
    <row r="813">
      <c r="A813" s="333"/>
      <c r="B813" s="333"/>
      <c r="C813" s="333"/>
    </row>
    <row r="814">
      <c r="A814" s="333"/>
      <c r="B814" s="333"/>
      <c r="C814" s="333"/>
    </row>
    <row r="815">
      <c r="A815" s="333"/>
      <c r="B815" s="333"/>
      <c r="C815" s="333"/>
    </row>
    <row r="816">
      <c r="A816" s="333"/>
      <c r="B816" s="333"/>
      <c r="C816" s="333"/>
    </row>
    <row r="817">
      <c r="A817" s="333"/>
      <c r="B817" s="333"/>
      <c r="C817" s="333"/>
    </row>
    <row r="818">
      <c r="A818" s="333"/>
      <c r="B818" s="333"/>
      <c r="C818" s="333"/>
    </row>
    <row r="819">
      <c r="A819" s="333"/>
      <c r="B819" s="333"/>
      <c r="C819" s="333"/>
    </row>
    <row r="820">
      <c r="A820" s="333"/>
      <c r="B820" s="333"/>
      <c r="C820" s="333"/>
    </row>
    <row r="821">
      <c r="A821" s="333"/>
      <c r="B821" s="333"/>
      <c r="C821" s="333"/>
    </row>
    <row r="822">
      <c r="A822" s="333"/>
      <c r="B822" s="333"/>
      <c r="C822" s="333"/>
    </row>
    <row r="823">
      <c r="A823" s="333"/>
      <c r="B823" s="333"/>
      <c r="C823" s="333"/>
    </row>
    <row r="824">
      <c r="A824" s="333"/>
      <c r="B824" s="333"/>
      <c r="C824" s="333"/>
    </row>
    <row r="825">
      <c r="A825" s="333"/>
      <c r="B825" s="333"/>
      <c r="C825" s="333"/>
    </row>
    <row r="826">
      <c r="A826" s="333"/>
      <c r="B826" s="333"/>
      <c r="C826" s="333"/>
    </row>
    <row r="827">
      <c r="A827" s="333"/>
      <c r="B827" s="333"/>
      <c r="C827" s="333"/>
    </row>
    <row r="828">
      <c r="A828" s="333"/>
      <c r="B828" s="333"/>
      <c r="C828" s="333"/>
    </row>
    <row r="829">
      <c r="A829" s="333"/>
      <c r="B829" s="333"/>
      <c r="C829" s="333"/>
    </row>
    <row r="830">
      <c r="A830" s="333"/>
      <c r="B830" s="333"/>
      <c r="C830" s="333"/>
    </row>
    <row r="831">
      <c r="A831" s="333"/>
      <c r="B831" s="333"/>
      <c r="C831" s="333"/>
    </row>
    <row r="832">
      <c r="A832" s="333"/>
      <c r="B832" s="333"/>
      <c r="C832" s="333"/>
    </row>
    <row r="833">
      <c r="A833" s="333"/>
      <c r="B833" s="333"/>
      <c r="C833" s="333"/>
    </row>
    <row r="834">
      <c r="A834" s="333"/>
      <c r="B834" s="333"/>
      <c r="C834" s="333"/>
    </row>
    <row r="835">
      <c r="A835" s="333"/>
      <c r="B835" s="333"/>
      <c r="C835" s="333"/>
    </row>
    <row r="836">
      <c r="A836" s="333"/>
      <c r="B836" s="333"/>
      <c r="C836" s="333"/>
    </row>
    <row r="837">
      <c r="A837" s="333"/>
      <c r="B837" s="333"/>
      <c r="C837" s="333"/>
    </row>
    <row r="838">
      <c r="A838" s="333"/>
      <c r="B838" s="333"/>
      <c r="C838" s="333"/>
    </row>
    <row r="839">
      <c r="A839" s="333"/>
      <c r="B839" s="333"/>
      <c r="C839" s="333"/>
    </row>
    <row r="840">
      <c r="A840" s="333"/>
      <c r="B840" s="333"/>
      <c r="C840" s="333"/>
    </row>
    <row r="841">
      <c r="A841" s="333"/>
      <c r="B841" s="333"/>
      <c r="C841" s="333"/>
    </row>
    <row r="842">
      <c r="A842" s="333"/>
      <c r="B842" s="333"/>
      <c r="C842" s="333"/>
    </row>
    <row r="843">
      <c r="A843" s="333"/>
      <c r="B843" s="333"/>
      <c r="C843" s="333"/>
    </row>
    <row r="844">
      <c r="A844" s="333"/>
      <c r="B844" s="333"/>
      <c r="C844" s="333"/>
    </row>
    <row r="845">
      <c r="A845" s="333"/>
      <c r="B845" s="333"/>
      <c r="C845" s="333"/>
    </row>
    <row r="846">
      <c r="A846" s="333"/>
      <c r="B846" s="333"/>
      <c r="C846" s="333"/>
    </row>
    <row r="847">
      <c r="A847" s="333"/>
      <c r="B847" s="333"/>
      <c r="C847" s="333"/>
    </row>
    <row r="848">
      <c r="A848" s="333"/>
      <c r="B848" s="333"/>
      <c r="C848" s="333"/>
    </row>
    <row r="849">
      <c r="A849" s="333"/>
      <c r="B849" s="333"/>
      <c r="C849" s="333"/>
    </row>
    <row r="850">
      <c r="A850" s="333"/>
      <c r="B850" s="333"/>
      <c r="C850" s="333"/>
    </row>
    <row r="851">
      <c r="A851" s="333"/>
      <c r="B851" s="333"/>
      <c r="C851" s="333"/>
    </row>
    <row r="852">
      <c r="A852" s="333"/>
      <c r="B852" s="333"/>
      <c r="C852" s="333"/>
    </row>
    <row r="853">
      <c r="A853" s="333"/>
      <c r="B853" s="333"/>
      <c r="C853" s="333"/>
    </row>
    <row r="854">
      <c r="A854" s="333"/>
      <c r="B854" s="333"/>
      <c r="C854" s="333"/>
    </row>
    <row r="855">
      <c r="A855" s="333"/>
      <c r="B855" s="333"/>
      <c r="C855" s="333"/>
    </row>
    <row r="856">
      <c r="A856" s="333"/>
      <c r="B856" s="333"/>
      <c r="C856" s="333"/>
    </row>
    <row r="857">
      <c r="A857" s="333"/>
      <c r="B857" s="333"/>
      <c r="C857" s="333"/>
    </row>
    <row r="858">
      <c r="A858" s="333"/>
      <c r="B858" s="333"/>
      <c r="C858" s="333"/>
    </row>
    <row r="859">
      <c r="A859" s="333"/>
      <c r="B859" s="333"/>
      <c r="C859" s="333"/>
    </row>
    <row r="860">
      <c r="A860" s="333"/>
      <c r="B860" s="333"/>
      <c r="C860" s="333"/>
    </row>
    <row r="861">
      <c r="A861" s="333"/>
      <c r="B861" s="333"/>
      <c r="C861" s="333"/>
    </row>
    <row r="862">
      <c r="A862" s="333"/>
      <c r="B862" s="333"/>
      <c r="C862" s="333"/>
    </row>
    <row r="863">
      <c r="A863" s="333"/>
      <c r="B863" s="333"/>
      <c r="C863" s="333"/>
    </row>
    <row r="864">
      <c r="A864" s="333"/>
      <c r="B864" s="333"/>
      <c r="C864" s="333"/>
    </row>
    <row r="865">
      <c r="A865" s="333"/>
      <c r="B865" s="333"/>
      <c r="C865" s="333"/>
    </row>
    <row r="866">
      <c r="A866" s="333"/>
      <c r="B866" s="333"/>
      <c r="C866" s="333"/>
    </row>
    <row r="867">
      <c r="A867" s="333"/>
      <c r="B867" s="333"/>
      <c r="C867" s="333"/>
    </row>
    <row r="868">
      <c r="A868" s="333"/>
      <c r="B868" s="333"/>
      <c r="C868" s="333"/>
    </row>
    <row r="869">
      <c r="A869" s="333"/>
      <c r="B869" s="333"/>
      <c r="C869" s="333"/>
    </row>
    <row r="870">
      <c r="A870" s="333"/>
      <c r="B870" s="333"/>
      <c r="C870" s="333"/>
    </row>
    <row r="871">
      <c r="A871" s="333"/>
      <c r="B871" s="333"/>
      <c r="C871" s="333"/>
    </row>
    <row r="872">
      <c r="A872" s="333"/>
      <c r="B872" s="333"/>
      <c r="C872" s="333"/>
    </row>
    <row r="873">
      <c r="A873" s="333"/>
      <c r="B873" s="333"/>
      <c r="C873" s="333"/>
    </row>
    <row r="874">
      <c r="A874" s="333"/>
      <c r="B874" s="333"/>
      <c r="C874" s="333"/>
    </row>
    <row r="875">
      <c r="A875" s="333"/>
      <c r="B875" s="333"/>
      <c r="C875" s="333"/>
    </row>
    <row r="876">
      <c r="A876" s="333"/>
      <c r="B876" s="333"/>
      <c r="C876" s="333"/>
    </row>
    <row r="877">
      <c r="A877" s="333"/>
      <c r="B877" s="333"/>
      <c r="C877" s="333"/>
    </row>
    <row r="878">
      <c r="A878" s="333"/>
      <c r="B878" s="333"/>
      <c r="C878" s="333"/>
    </row>
    <row r="879">
      <c r="A879" s="333"/>
      <c r="B879" s="333"/>
      <c r="C879" s="333"/>
    </row>
    <row r="880">
      <c r="A880" s="333"/>
      <c r="B880" s="333"/>
      <c r="C880" s="333"/>
    </row>
    <row r="881">
      <c r="A881" s="333"/>
      <c r="B881" s="333"/>
      <c r="C881" s="333"/>
    </row>
    <row r="882">
      <c r="A882" s="333"/>
      <c r="B882" s="333"/>
      <c r="C882" s="333"/>
    </row>
    <row r="883">
      <c r="A883" s="333"/>
      <c r="B883" s="333"/>
      <c r="C883" s="333"/>
    </row>
    <row r="884">
      <c r="A884" s="333"/>
      <c r="B884" s="333"/>
      <c r="C884" s="333"/>
    </row>
    <row r="885">
      <c r="A885" s="333"/>
      <c r="B885" s="333"/>
      <c r="C885" s="333"/>
    </row>
    <row r="886">
      <c r="A886" s="333"/>
      <c r="B886" s="333"/>
      <c r="C886" s="333"/>
    </row>
    <row r="887">
      <c r="A887" s="333"/>
      <c r="B887" s="333"/>
      <c r="C887" s="333"/>
    </row>
    <row r="888">
      <c r="A888" s="333"/>
      <c r="B888" s="333"/>
      <c r="C888" s="333"/>
    </row>
    <row r="889">
      <c r="A889" s="333"/>
      <c r="B889" s="333"/>
      <c r="C889" s="333"/>
    </row>
    <row r="890">
      <c r="A890" s="333"/>
      <c r="B890" s="333"/>
      <c r="C890" s="333"/>
    </row>
    <row r="891">
      <c r="A891" s="333"/>
      <c r="B891" s="333"/>
      <c r="C891" s="333"/>
    </row>
    <row r="892">
      <c r="A892" s="333"/>
      <c r="B892" s="333"/>
      <c r="C892" s="333"/>
    </row>
    <row r="893">
      <c r="A893" s="333"/>
      <c r="B893" s="333"/>
      <c r="C893" s="333"/>
    </row>
    <row r="894">
      <c r="A894" s="333"/>
      <c r="B894" s="333"/>
      <c r="C894" s="333"/>
    </row>
    <row r="895">
      <c r="A895" s="333"/>
      <c r="B895" s="333"/>
      <c r="C895" s="333"/>
    </row>
    <row r="896">
      <c r="A896" s="333"/>
      <c r="B896" s="333"/>
      <c r="C896" s="333"/>
    </row>
    <row r="897">
      <c r="A897" s="333"/>
      <c r="B897" s="333"/>
      <c r="C897" s="333"/>
    </row>
    <row r="898">
      <c r="A898" s="333"/>
      <c r="B898" s="333"/>
      <c r="C898" s="333"/>
    </row>
    <row r="899">
      <c r="A899" s="333"/>
      <c r="B899" s="333"/>
      <c r="C899" s="333"/>
    </row>
    <row r="900">
      <c r="A900" s="333"/>
      <c r="B900" s="333"/>
      <c r="C900" s="333"/>
    </row>
    <row r="901">
      <c r="A901" s="333"/>
      <c r="B901" s="333"/>
      <c r="C901" s="333"/>
    </row>
    <row r="902">
      <c r="A902" s="333"/>
      <c r="B902" s="333"/>
      <c r="C902" s="333"/>
    </row>
    <row r="903">
      <c r="A903" s="333"/>
      <c r="B903" s="333"/>
      <c r="C903" s="333"/>
    </row>
    <row r="904">
      <c r="A904" s="333"/>
      <c r="B904" s="333"/>
      <c r="C904" s="333"/>
    </row>
    <row r="905">
      <c r="A905" s="333"/>
      <c r="B905" s="333"/>
      <c r="C905" s="333"/>
    </row>
    <row r="906">
      <c r="A906" s="333"/>
      <c r="B906" s="333"/>
      <c r="C906" s="333"/>
    </row>
    <row r="907">
      <c r="A907" s="333"/>
      <c r="B907" s="333"/>
      <c r="C907" s="333"/>
    </row>
    <row r="908">
      <c r="A908" s="333"/>
      <c r="B908" s="333"/>
      <c r="C908" s="333"/>
    </row>
    <row r="909">
      <c r="A909" s="333"/>
      <c r="B909" s="333"/>
      <c r="C909" s="333"/>
    </row>
    <row r="910">
      <c r="A910" s="333"/>
      <c r="B910" s="333"/>
      <c r="C910" s="333"/>
    </row>
    <row r="911">
      <c r="A911" s="333"/>
      <c r="B911" s="333"/>
      <c r="C911" s="333"/>
    </row>
    <row r="912">
      <c r="A912" s="333"/>
      <c r="B912" s="333"/>
      <c r="C912" s="333"/>
    </row>
    <row r="913">
      <c r="A913" s="333"/>
      <c r="B913" s="333"/>
      <c r="C913" s="333"/>
    </row>
    <row r="914">
      <c r="A914" s="333"/>
      <c r="B914" s="333"/>
      <c r="C914" s="333"/>
    </row>
    <row r="915">
      <c r="A915" s="333"/>
      <c r="B915" s="333"/>
      <c r="C915" s="333"/>
    </row>
    <row r="916">
      <c r="A916" s="333"/>
      <c r="B916" s="333"/>
      <c r="C916" s="333"/>
    </row>
    <row r="917">
      <c r="A917" s="333"/>
      <c r="B917" s="333"/>
      <c r="C917" s="333"/>
    </row>
    <row r="918">
      <c r="A918" s="333"/>
      <c r="B918" s="333"/>
      <c r="C918" s="333"/>
    </row>
    <row r="919">
      <c r="A919" s="333"/>
      <c r="B919" s="333"/>
      <c r="C919" s="333"/>
    </row>
    <row r="920">
      <c r="A920" s="333"/>
      <c r="B920" s="333"/>
      <c r="C920" s="333"/>
    </row>
    <row r="921">
      <c r="A921" s="333"/>
      <c r="B921" s="333"/>
      <c r="C921" s="333"/>
    </row>
    <row r="922">
      <c r="A922" s="333"/>
      <c r="B922" s="333"/>
      <c r="C922" s="333"/>
    </row>
    <row r="923">
      <c r="A923" s="333"/>
      <c r="B923" s="333"/>
      <c r="C923" s="333"/>
    </row>
    <row r="924">
      <c r="A924" s="333"/>
      <c r="B924" s="333"/>
      <c r="C924" s="333"/>
    </row>
    <row r="925">
      <c r="A925" s="333"/>
      <c r="B925" s="333"/>
      <c r="C925" s="333"/>
    </row>
    <row r="926">
      <c r="A926" s="333"/>
      <c r="B926" s="333"/>
      <c r="C926" s="333"/>
    </row>
    <row r="927">
      <c r="A927" s="333"/>
      <c r="B927" s="333"/>
      <c r="C927" s="333"/>
    </row>
    <row r="928">
      <c r="A928" s="333"/>
      <c r="B928" s="333"/>
      <c r="C928" s="333"/>
    </row>
    <row r="929">
      <c r="A929" s="333"/>
      <c r="B929" s="333"/>
      <c r="C929" s="333"/>
    </row>
    <row r="930">
      <c r="A930" s="333"/>
      <c r="B930" s="333"/>
      <c r="C930" s="333"/>
    </row>
    <row r="931">
      <c r="A931" s="333"/>
      <c r="B931" s="333"/>
      <c r="C931" s="333"/>
    </row>
    <row r="932">
      <c r="A932" s="333"/>
      <c r="B932" s="333"/>
      <c r="C932" s="333"/>
    </row>
    <row r="933">
      <c r="A933" s="333"/>
      <c r="B933" s="333"/>
      <c r="C933" s="333"/>
    </row>
    <row r="934">
      <c r="A934" s="333"/>
      <c r="B934" s="333"/>
      <c r="C934" s="333"/>
    </row>
    <row r="935">
      <c r="A935" s="333"/>
      <c r="B935" s="333"/>
      <c r="C935" s="333"/>
    </row>
    <row r="936">
      <c r="A936" s="333"/>
      <c r="B936" s="333"/>
      <c r="C936" s="333"/>
    </row>
    <row r="937">
      <c r="A937" s="333"/>
      <c r="B937" s="333"/>
      <c r="C937" s="333"/>
    </row>
    <row r="938">
      <c r="A938" s="333"/>
      <c r="B938" s="333"/>
      <c r="C938" s="333"/>
    </row>
    <row r="939">
      <c r="A939" s="333"/>
      <c r="B939" s="333"/>
      <c r="C939" s="333"/>
    </row>
    <row r="940">
      <c r="A940" s="333"/>
      <c r="B940" s="333"/>
      <c r="C940" s="333"/>
    </row>
    <row r="941">
      <c r="A941" s="333"/>
      <c r="B941" s="333"/>
      <c r="C941" s="333"/>
    </row>
    <row r="942">
      <c r="A942" s="333"/>
      <c r="B942" s="333"/>
      <c r="C942" s="333"/>
    </row>
    <row r="943">
      <c r="A943" s="333"/>
      <c r="B943" s="333"/>
      <c r="C943" s="333"/>
    </row>
    <row r="944">
      <c r="A944" s="333"/>
      <c r="B944" s="333"/>
      <c r="C944" s="333"/>
    </row>
    <row r="945">
      <c r="A945" s="333"/>
      <c r="B945" s="333"/>
      <c r="C945" s="333"/>
    </row>
    <row r="946">
      <c r="A946" s="333"/>
      <c r="B946" s="333"/>
      <c r="C946" s="333"/>
    </row>
    <row r="947">
      <c r="A947" s="333"/>
      <c r="B947" s="333"/>
      <c r="C947" s="333"/>
    </row>
    <row r="948">
      <c r="A948" s="333"/>
      <c r="B948" s="333"/>
      <c r="C948" s="333"/>
    </row>
    <row r="949">
      <c r="A949" s="333"/>
      <c r="B949" s="333"/>
      <c r="C949" s="333"/>
    </row>
    <row r="950">
      <c r="A950" s="333"/>
      <c r="B950" s="333"/>
      <c r="C950" s="333"/>
    </row>
    <row r="951">
      <c r="A951" s="333"/>
      <c r="B951" s="333"/>
      <c r="C951" s="333"/>
    </row>
    <row r="952">
      <c r="A952" s="333"/>
      <c r="B952" s="333"/>
      <c r="C952" s="333"/>
    </row>
    <row r="953">
      <c r="A953" s="333"/>
      <c r="B953" s="333"/>
      <c r="C953" s="333"/>
    </row>
    <row r="954">
      <c r="A954" s="333"/>
      <c r="B954" s="333"/>
      <c r="C954" s="333"/>
    </row>
    <row r="955">
      <c r="A955" s="333"/>
      <c r="B955" s="333"/>
      <c r="C955" s="333"/>
    </row>
    <row r="956">
      <c r="A956" s="333"/>
      <c r="B956" s="333"/>
      <c r="C956" s="333"/>
    </row>
    <row r="957">
      <c r="A957" s="333"/>
      <c r="B957" s="333"/>
      <c r="C957" s="333"/>
    </row>
    <row r="958">
      <c r="A958" s="333"/>
      <c r="B958" s="333"/>
      <c r="C958" s="333"/>
    </row>
    <row r="959">
      <c r="A959" s="333"/>
      <c r="B959" s="333"/>
      <c r="C959" s="333"/>
    </row>
    <row r="960">
      <c r="A960" s="333"/>
      <c r="B960" s="333"/>
      <c r="C960" s="333"/>
    </row>
    <row r="961">
      <c r="A961" s="333"/>
      <c r="B961" s="333"/>
      <c r="C961" s="333"/>
    </row>
    <row r="962">
      <c r="A962" s="333"/>
      <c r="B962" s="333"/>
      <c r="C962" s="333"/>
    </row>
    <row r="963">
      <c r="A963" s="333"/>
      <c r="B963" s="333"/>
      <c r="C963" s="333"/>
    </row>
    <row r="964">
      <c r="A964" s="333"/>
      <c r="B964" s="333"/>
      <c r="C964" s="333"/>
    </row>
    <row r="965">
      <c r="A965" s="333"/>
      <c r="B965" s="333"/>
      <c r="C965" s="333"/>
    </row>
    <row r="966">
      <c r="A966" s="333"/>
      <c r="B966" s="333"/>
      <c r="C966" s="333"/>
    </row>
    <row r="967">
      <c r="A967" s="333"/>
      <c r="B967" s="333"/>
      <c r="C967" s="333"/>
    </row>
    <row r="968">
      <c r="A968" s="333"/>
      <c r="B968" s="333"/>
      <c r="C968" s="333"/>
    </row>
    <row r="969">
      <c r="A969" s="333"/>
      <c r="B969" s="333"/>
      <c r="C969" s="333"/>
    </row>
    <row r="970">
      <c r="A970" s="333"/>
      <c r="B970" s="333"/>
      <c r="C970" s="333"/>
    </row>
    <row r="971">
      <c r="A971" s="333"/>
      <c r="B971" s="333"/>
      <c r="C971" s="333"/>
    </row>
    <row r="972">
      <c r="A972" s="333"/>
      <c r="B972" s="333"/>
      <c r="C972" s="333"/>
    </row>
    <row r="973">
      <c r="A973" s="333"/>
      <c r="B973" s="333"/>
      <c r="C973" s="333"/>
    </row>
    <row r="974">
      <c r="A974" s="333"/>
      <c r="B974" s="333"/>
      <c r="C974" s="333"/>
    </row>
    <row r="975">
      <c r="A975" s="333"/>
      <c r="B975" s="333"/>
      <c r="C975" s="333"/>
    </row>
    <row r="976">
      <c r="A976" s="333"/>
      <c r="B976" s="333"/>
      <c r="C976" s="333"/>
    </row>
    <row r="977">
      <c r="A977" s="333"/>
      <c r="B977" s="333"/>
      <c r="C977" s="333"/>
    </row>
    <row r="978">
      <c r="A978" s="333"/>
      <c r="B978" s="333"/>
      <c r="C978" s="333"/>
    </row>
    <row r="979">
      <c r="A979" s="333"/>
      <c r="B979" s="333"/>
      <c r="C979" s="333"/>
    </row>
    <row r="980">
      <c r="A980" s="333"/>
      <c r="B980" s="333"/>
      <c r="C980" s="333"/>
    </row>
    <row r="981">
      <c r="A981" s="333"/>
      <c r="B981" s="333"/>
      <c r="C981" s="333"/>
    </row>
    <row r="982">
      <c r="A982" s="333"/>
      <c r="B982" s="333"/>
      <c r="C982" s="333"/>
    </row>
    <row r="983">
      <c r="A983" s="333"/>
      <c r="B983" s="333"/>
      <c r="C983" s="333"/>
    </row>
    <row r="984">
      <c r="A984" s="333"/>
      <c r="B984" s="333"/>
      <c r="C984" s="333"/>
    </row>
    <row r="985">
      <c r="A985" s="333"/>
      <c r="B985" s="333"/>
      <c r="C985" s="333"/>
    </row>
    <row r="986">
      <c r="A986" s="333"/>
      <c r="B986" s="333"/>
      <c r="C986" s="333"/>
    </row>
    <row r="987">
      <c r="A987" s="333"/>
      <c r="B987" s="333"/>
      <c r="C987" s="333"/>
    </row>
    <row r="988">
      <c r="A988" s="333"/>
      <c r="B988" s="333"/>
      <c r="C988" s="333"/>
    </row>
    <row r="989">
      <c r="A989" s="333"/>
      <c r="B989" s="333"/>
      <c r="C989" s="333"/>
    </row>
    <row r="990">
      <c r="A990" s="333"/>
      <c r="B990" s="333"/>
      <c r="C990" s="333"/>
    </row>
    <row r="991">
      <c r="A991" s="333"/>
      <c r="B991" s="333"/>
      <c r="C991" s="333"/>
    </row>
    <row r="992">
      <c r="A992" s="333"/>
      <c r="B992" s="333"/>
      <c r="C992" s="333"/>
    </row>
    <row r="993">
      <c r="A993" s="333"/>
      <c r="B993" s="333"/>
      <c r="C993" s="333"/>
    </row>
    <row r="994">
      <c r="A994" s="333"/>
      <c r="B994" s="333"/>
      <c r="C994" s="333"/>
    </row>
    <row r="995">
      <c r="A995" s="333"/>
      <c r="B995" s="333"/>
      <c r="C995" s="333"/>
    </row>
    <row r="996">
      <c r="A996" s="333"/>
      <c r="B996" s="333"/>
      <c r="C996" s="333"/>
    </row>
    <row r="997">
      <c r="A997" s="333"/>
      <c r="B997" s="333"/>
      <c r="C997" s="333"/>
    </row>
    <row r="998">
      <c r="A998" s="333"/>
      <c r="B998" s="333"/>
      <c r="C998" s="333"/>
    </row>
    <row r="999">
      <c r="A999" s="333"/>
      <c r="B999" s="333"/>
      <c r="C999" s="333"/>
    </row>
    <row r="1000">
      <c r="A1000" s="333"/>
      <c r="B1000" s="333"/>
      <c r="C1000" s="3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8">
        <v>45601.0</v>
      </c>
    </row>
    <row r="3">
      <c r="A3" s="339" t="s">
        <v>2</v>
      </c>
      <c r="B3" s="339" t="s">
        <v>314</v>
      </c>
      <c r="C3" s="339" t="s">
        <v>315</v>
      </c>
      <c r="D3" s="339" t="s">
        <v>316</v>
      </c>
      <c r="E3" s="339"/>
    </row>
    <row r="4">
      <c r="A4" s="339">
        <v>2719.0</v>
      </c>
      <c r="B4" s="340">
        <v>45336.0</v>
      </c>
      <c r="C4" s="340">
        <v>45418.0</v>
      </c>
      <c r="D4" s="339">
        <f t="shared" ref="D4:D6" si="1">(C4-B4)</f>
        <v>82</v>
      </c>
      <c r="E4" s="339"/>
    </row>
    <row r="5">
      <c r="A5" s="339">
        <v>2708.0</v>
      </c>
      <c r="B5" s="340">
        <v>45362.0</v>
      </c>
      <c r="C5" s="340">
        <v>45399.0</v>
      </c>
      <c r="D5" s="339">
        <f t="shared" si="1"/>
        <v>37</v>
      </c>
      <c r="E5" s="339"/>
    </row>
    <row r="6">
      <c r="A6" s="339">
        <v>2743.0</v>
      </c>
      <c r="B6" s="340">
        <v>45363.0</v>
      </c>
      <c r="C6" s="340">
        <v>45425.0</v>
      </c>
      <c r="D6" s="339">
        <f t="shared" si="1"/>
        <v>62</v>
      </c>
      <c r="E6" s="339"/>
    </row>
    <row r="7">
      <c r="A7" s="341">
        <v>2728.0</v>
      </c>
      <c r="B7" s="340">
        <v>45474.0</v>
      </c>
      <c r="C7" s="342" t="s">
        <v>317</v>
      </c>
      <c r="D7" s="339">
        <f>(TODAY()-B7)</f>
        <v>773</v>
      </c>
      <c r="E7" s="339"/>
    </row>
    <row r="8">
      <c r="A8" s="339">
        <v>2727.0</v>
      </c>
      <c r="B8" s="340">
        <v>45495.0</v>
      </c>
      <c r="C8" s="340">
        <v>45524.0</v>
      </c>
      <c r="D8" s="339">
        <f>(C8-B8)</f>
        <v>29</v>
      </c>
      <c r="E8" s="339"/>
    </row>
    <row r="9">
      <c r="A9" s="341">
        <v>2734.0</v>
      </c>
      <c r="B9" s="340">
        <v>45467.0</v>
      </c>
      <c r="C9" s="342" t="s">
        <v>317</v>
      </c>
      <c r="D9" s="339">
        <f t="shared" ref="D9:D10" si="2">(TODAY()-B9)</f>
        <v>780</v>
      </c>
      <c r="E9" s="339"/>
    </row>
    <row r="10">
      <c r="A10" s="339">
        <v>2722.0</v>
      </c>
      <c r="B10" s="340">
        <v>45534.0</v>
      </c>
      <c r="C10" s="342" t="s">
        <v>317</v>
      </c>
      <c r="D10" s="339">
        <f t="shared" si="2"/>
        <v>713</v>
      </c>
      <c r="E10" s="339"/>
    </row>
    <row r="11">
      <c r="A11" s="339" t="s">
        <v>2</v>
      </c>
      <c r="B11" s="339" t="s">
        <v>318</v>
      </c>
      <c r="C11" s="339" t="s">
        <v>319</v>
      </c>
      <c r="D11" s="342" t="s">
        <v>320</v>
      </c>
      <c r="E11" s="343"/>
    </row>
    <row r="12">
      <c r="A12" s="339">
        <v>2729.0</v>
      </c>
      <c r="B12" s="344">
        <v>45280.0</v>
      </c>
      <c r="C12" s="345">
        <v>45327.0</v>
      </c>
      <c r="D12" s="342">
        <v>36.0</v>
      </c>
      <c r="E12" s="343"/>
    </row>
    <row r="13">
      <c r="A13" s="339">
        <v>2734.0</v>
      </c>
      <c r="B13" s="340">
        <v>45300.0</v>
      </c>
      <c r="C13" s="345">
        <v>45408.0</v>
      </c>
      <c r="D13" s="342">
        <v>108.0</v>
      </c>
      <c r="E13" s="343"/>
    </row>
    <row r="14">
      <c r="A14" s="341">
        <v>2731.0</v>
      </c>
      <c r="B14" s="340">
        <v>45491.0</v>
      </c>
      <c r="C14" s="345">
        <v>45567.0</v>
      </c>
      <c r="D14" s="342">
        <v>110.0</v>
      </c>
      <c r="E14" s="343"/>
    </row>
    <row r="15">
      <c r="A15" s="339">
        <v>2734.0</v>
      </c>
      <c r="B15" s="340">
        <v>45552.0</v>
      </c>
      <c r="C15" s="342" t="s">
        <v>317</v>
      </c>
      <c r="D15" s="342">
        <v>49.0</v>
      </c>
      <c r="E15" s="343"/>
    </row>
    <row r="16">
      <c r="A16" s="346">
        <v>2740.0</v>
      </c>
      <c r="B16" s="347">
        <v>45590.0</v>
      </c>
      <c r="C16" s="346" t="s">
        <v>317</v>
      </c>
      <c r="D16" s="346">
        <v>12.0</v>
      </c>
      <c r="E16" s="346" t="s">
        <v>82</v>
      </c>
    </row>
    <row r="17">
      <c r="A17" s="346">
        <v>2740.0</v>
      </c>
      <c r="B17" s="347">
        <v>45456.0</v>
      </c>
      <c r="C17" s="346" t="s">
        <v>317</v>
      </c>
      <c r="D17" s="346">
        <v>146.0</v>
      </c>
      <c r="E17" s="346" t="s">
        <v>145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8"/>
      <c r="G2" s="349" t="s">
        <v>321</v>
      </c>
    </row>
    <row r="3">
      <c r="A3" s="349">
        <v>2702.0</v>
      </c>
      <c r="B3" s="349" t="s">
        <v>322</v>
      </c>
      <c r="G3" s="349">
        <v>2734.0</v>
      </c>
    </row>
    <row r="4">
      <c r="A4" s="349">
        <v>2727.0</v>
      </c>
      <c r="B4" s="349" t="s">
        <v>323</v>
      </c>
      <c r="G4" s="349">
        <v>2737.0</v>
      </c>
    </row>
    <row r="5">
      <c r="A5" s="349">
        <v>2737.0</v>
      </c>
      <c r="B5" s="349" t="s">
        <v>324</v>
      </c>
      <c r="G5" s="349">
        <v>2730.0</v>
      </c>
    </row>
    <row r="6">
      <c r="A6" s="349">
        <v>2742.0</v>
      </c>
      <c r="B6" s="349" t="s">
        <v>325</v>
      </c>
      <c r="G6" s="349">
        <v>2724.0</v>
      </c>
    </row>
    <row r="8">
      <c r="A8" s="349">
        <v>2732.0</v>
      </c>
      <c r="B8" s="348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0" t="str">
        <f>'Cenários'!AV52</f>
        <v>SERIAL</v>
      </c>
      <c r="B1" s="350" t="str">
        <f>'Cenários'!AW52</f>
        <v>MATRICULA</v>
      </c>
      <c r="C1" s="350" t="str">
        <f>'Cenários'!AX52</f>
        <v>COND</v>
      </c>
      <c r="D1" s="350" t="str">
        <f>'Cenários'!AY52</f>
        <v>ESQ</v>
      </c>
      <c r="E1" s="350" t="str">
        <f>'Cenários'!AZ52</f>
        <v>TSO</v>
      </c>
      <c r="F1" s="351" t="str">
        <f>'Cenários'!BA52</f>
        <v>Hr disp</v>
      </c>
      <c r="G1" s="352" t="str">
        <f>'Cenários'!BB52</f>
        <v>Voo mensal</v>
      </c>
      <c r="H1" s="350" t="str">
        <f>'Cenários'!BC52</f>
        <v>Mês disp</v>
      </c>
      <c r="I1" s="350" t="str">
        <f>'Cenários'!BE52</f>
        <v>AGO</v>
      </c>
      <c r="J1" s="350" t="str">
        <f>'Cenários'!BF52</f>
        <v>SET</v>
      </c>
      <c r="K1" s="350" t="str">
        <f>'Cenários'!BG52</f>
        <v>OUT</v>
      </c>
      <c r="L1" s="350" t="str">
        <f>'Cenários'!BH52</f>
        <v>NOV</v>
      </c>
      <c r="M1" s="350" t="str">
        <f>'Cenários'!BI52</f>
        <v>DEZ</v>
      </c>
      <c r="N1" s="350" t="str">
        <f>'Cenários'!BJ52</f>
        <v>JAN</v>
      </c>
      <c r="O1" s="350" t="str">
        <f>'Cenários'!BK52</f>
        <v>FEV</v>
      </c>
      <c r="P1" s="350" t="str">
        <f>'Cenários'!BL52</f>
        <v>MAR</v>
      </c>
      <c r="Q1" s="350" t="str">
        <f>'Cenários'!BM52</f>
        <v>ABR</v>
      </c>
      <c r="R1" s="350" t="str">
        <f>'Cenários'!BN52</f>
        <v>MAI</v>
      </c>
      <c r="S1" s="350" t="str">
        <f>'Cenários'!BO52</f>
        <v>JUN</v>
      </c>
      <c r="T1" s="350" t="str">
        <f>'Cenários'!BP52</f>
        <v>JUL</v>
      </c>
      <c r="U1" s="350" t="str">
        <f>'Cenários'!BQ52</f>
        <v>AGO</v>
      </c>
      <c r="V1" s="350" t="str">
        <f>'Cenários'!BR52</f>
        <v>SET</v>
      </c>
      <c r="W1" s="350" t="str">
        <f>'Cenários'!BS52</f>
        <v>OUT</v>
      </c>
      <c r="X1" s="350" t="str">
        <f>'Cenários'!BT52</f>
        <v>NOV</v>
      </c>
      <c r="Y1" s="350" t="str">
        <f>'Cenários'!BU52</f>
        <v>DEZ</v>
      </c>
      <c r="Z1" s="350" t="str">
        <f>'Cenários'!BV52</f>
        <v>JAN</v>
      </c>
      <c r="AA1" s="350" t="str">
        <f>'Cenários'!BW52</f>
        <v>FEV</v>
      </c>
      <c r="AB1" s="350" t="str">
        <f>'Cenários'!BX52</f>
        <v>MAR</v>
      </c>
      <c r="AC1" s="350" t="str">
        <f>'Cenários'!BY52</f>
        <v>ABR</v>
      </c>
      <c r="AD1" s="350" t="str">
        <f>'Cenários'!BZ52</f>
        <v>MAI</v>
      </c>
      <c r="AE1" s="350" t="str">
        <f>'Cenários'!CA52</f>
        <v>JUN</v>
      </c>
      <c r="AF1" s="350" t="str">
        <f>'Cenários'!CB52</f>
        <v>JUL</v>
      </c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</row>
    <row r="2">
      <c r="A2" s="354" t="str">
        <f>'Cenários'!AV89</f>
        <v>PCE-PC2290</v>
      </c>
      <c r="B2" s="175">
        <f>'Cenários'!AW89</f>
        <v>2729</v>
      </c>
      <c r="C2" s="175" t="str">
        <f>'Cenários'!AX89</f>
        <v>OS</v>
      </c>
      <c r="D2" s="175" t="str">
        <f>'Cenários'!AY89</f>
        <v>1/5GAV</v>
      </c>
      <c r="E2" s="355">
        <f>'Cenários'!AZ89</f>
        <v>118.0347222</v>
      </c>
      <c r="F2" s="356">
        <f>'Cenários'!BA89</f>
        <v>167.1666667</v>
      </c>
      <c r="G2" s="357">
        <f>'Cenários'!BB89</f>
        <v>55.625</v>
      </c>
      <c r="H2" s="358">
        <f>'Cenários'!BC89</f>
        <v>3.005243446</v>
      </c>
      <c r="I2" s="175" t="str">
        <f>'Cenários'!BE184</f>
        <v/>
      </c>
      <c r="J2" s="175" t="str">
        <f>'Cenários'!BF184</f>
        <v/>
      </c>
      <c r="K2" s="175" t="str">
        <f>'Cenários'!BG184</f>
        <v/>
      </c>
      <c r="L2" s="175" t="str">
        <f>'Cenários'!BH184</f>
        <v>HSI</v>
      </c>
      <c r="M2" s="175" t="str">
        <f>'Cenários'!BI184</f>
        <v/>
      </c>
      <c r="N2" s="175" t="str">
        <f>'Cenários'!BJ184</f>
        <v/>
      </c>
      <c r="O2" s="175" t="str">
        <f>'Cenários'!BK184</f>
        <v/>
      </c>
      <c r="P2" s="175" t="str">
        <f>'Cenários'!BL184</f>
        <v/>
      </c>
      <c r="Q2" s="175" t="str">
        <f>'Cenários'!BM184</f>
        <v/>
      </c>
      <c r="R2" s="175" t="str">
        <f>'Cenários'!BN184</f>
        <v/>
      </c>
      <c r="S2" s="175" t="str">
        <f>'Cenários'!BO184</f>
        <v/>
      </c>
      <c r="T2" s="175" t="str">
        <f>'Cenários'!BP184</f>
        <v/>
      </c>
      <c r="U2" s="175" t="str">
        <f>'Cenários'!BQ184</f>
        <v/>
      </c>
      <c r="V2" s="175" t="str">
        <f>'Cenários'!BR184</f>
        <v/>
      </c>
      <c r="W2" s="175" t="str">
        <f>'Cenários'!BS184</f>
        <v/>
      </c>
      <c r="X2" s="175" t="str">
        <f>'Cenários'!BT184</f>
        <v/>
      </c>
      <c r="Y2" s="175" t="str">
        <f>'Cenários'!BU184</f>
        <v/>
      </c>
      <c r="Z2" s="175" t="str">
        <f>'Cenários'!BV184</f>
        <v/>
      </c>
      <c r="AA2" s="175" t="str">
        <f>'Cenários'!BW184</f>
        <v/>
      </c>
      <c r="AB2" s="175" t="str">
        <f>'Cenários'!BX184</f>
        <v/>
      </c>
      <c r="AC2" s="175" t="str">
        <f>'Cenários'!BY184</f>
        <v/>
      </c>
      <c r="AD2" s="175" t="str">
        <f>'Cenários'!BZ184</f>
        <v/>
      </c>
      <c r="AE2" s="175" t="str">
        <f>'Cenários'!CA184</f>
        <v/>
      </c>
      <c r="AF2" s="175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54" t="str">
        <f>'Cenários'!AV88</f>
        <v>PCE-PC2289</v>
      </c>
      <c r="B3" s="175">
        <f>'Cenários'!AW88</f>
        <v>2731</v>
      </c>
      <c r="C3" s="175" t="str">
        <f>'Cenários'!AX88</f>
        <v>OS</v>
      </c>
      <c r="D3" s="175" t="str">
        <f>'Cenários'!AY88</f>
        <v>PAMASP</v>
      </c>
      <c r="E3" s="355">
        <f>'Cenários'!AZ88</f>
        <v>75.78819444</v>
      </c>
      <c r="F3" s="356">
        <f>'Cenários'!BA88</f>
        <v>1181.083333</v>
      </c>
      <c r="G3" s="357" t="str">
        <f>'Cenários'!BB88</f>
        <v>#DIV/0!</v>
      </c>
      <c r="H3" s="358" t="str">
        <f>'Cenários'!BC88</f>
        <v>#DIV/0!</v>
      </c>
      <c r="I3" s="175" t="str">
        <f>'Cenários'!BE183</f>
        <v>#DIV/0!</v>
      </c>
      <c r="J3" s="175" t="str">
        <f>'Cenários'!BF183</f>
        <v>#DIV/0!</v>
      </c>
      <c r="K3" s="175" t="str">
        <f>'Cenários'!BG183</f>
        <v>#DIV/0!</v>
      </c>
      <c r="L3" s="175" t="str">
        <f>'Cenários'!BH183</f>
        <v>#DIV/0!</v>
      </c>
      <c r="M3" s="175" t="str">
        <f>'Cenários'!BI183</f>
        <v>#DIV/0!</v>
      </c>
      <c r="N3" s="175" t="str">
        <f>'Cenários'!BJ183</f>
        <v>#DIV/0!</v>
      </c>
      <c r="O3" s="175" t="str">
        <f>'Cenários'!BK183</f>
        <v>#DIV/0!</v>
      </c>
      <c r="P3" s="175" t="str">
        <f>'Cenários'!BL183</f>
        <v>#DIV/0!</v>
      </c>
      <c r="Q3" s="175" t="str">
        <f>'Cenários'!BM183</f>
        <v>#DIV/0!</v>
      </c>
      <c r="R3" s="175" t="str">
        <f>'Cenários'!BN183</f>
        <v>#DIV/0!</v>
      </c>
      <c r="S3" s="175" t="str">
        <f>'Cenários'!BO183</f>
        <v>#DIV/0!</v>
      </c>
      <c r="T3" s="175" t="str">
        <f>'Cenários'!BP183</f>
        <v>#DIV/0!</v>
      </c>
      <c r="U3" s="175" t="str">
        <f>'Cenários'!BQ183</f>
        <v>#DIV/0!</v>
      </c>
      <c r="V3" s="175" t="str">
        <f>'Cenários'!BR183</f>
        <v>#DIV/0!</v>
      </c>
      <c r="W3" s="175" t="str">
        <f>'Cenários'!BS183</f>
        <v>#DIV/0!</v>
      </c>
      <c r="X3" s="175" t="str">
        <f>'Cenários'!BT183</f>
        <v>#DIV/0!</v>
      </c>
      <c r="Y3" s="175" t="str">
        <f>'Cenários'!BU183</f>
        <v>#DIV/0!</v>
      </c>
      <c r="Z3" s="175" t="str">
        <f>'Cenários'!BV183</f>
        <v>#DIV/0!</v>
      </c>
      <c r="AA3" s="175" t="str">
        <f>'Cenários'!BW183</f>
        <v>#DIV/0!</v>
      </c>
      <c r="AB3" s="175" t="str">
        <f>'Cenários'!BX183</f>
        <v>#DIV/0!</v>
      </c>
      <c r="AC3" s="175" t="str">
        <f>'Cenários'!BY183</f>
        <v>#DIV/0!</v>
      </c>
      <c r="AD3" s="175" t="str">
        <f>'Cenários'!BZ183</f>
        <v>#DIV/0!</v>
      </c>
      <c r="AE3" s="175" t="str">
        <f>'Cenários'!CA183</f>
        <v>#DIV/0!</v>
      </c>
      <c r="AF3" s="175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54" t="str">
        <f>'Cenários'!AV53</f>
        <v>PC-E17371</v>
      </c>
      <c r="B4" s="175">
        <f>'Cenários'!AW53</f>
        <v>2702</v>
      </c>
      <c r="C4" s="175" t="str">
        <f>'Cenários'!AX53</f>
        <v>OS</v>
      </c>
      <c r="D4" s="175" t="str">
        <f>'Cenários'!AY53</f>
        <v>PAMASP</v>
      </c>
      <c r="E4" s="355">
        <f>'Cenários'!AZ53</f>
        <v>214.1354167</v>
      </c>
      <c r="F4" s="356">
        <f>'Cenários'!BA53</f>
        <v>-139.25</v>
      </c>
      <c r="G4" s="357" t="str">
        <f>'Cenários'!BB53</f>
        <v>#DIV/0!</v>
      </c>
      <c r="H4" s="358" t="str">
        <f>'Cenários'!BC53</f>
        <v>#DIV/0!</v>
      </c>
      <c r="I4" s="175" t="str">
        <f>'Cenários'!BE148</f>
        <v>#DIV/0!</v>
      </c>
      <c r="J4" s="175" t="str">
        <f>'Cenários'!BF148</f>
        <v>#DIV/0!</v>
      </c>
      <c r="K4" s="175" t="str">
        <f>'Cenários'!BG148</f>
        <v>#DIV/0!</v>
      </c>
      <c r="L4" s="175" t="str">
        <f>'Cenários'!BH148</f>
        <v>#DIV/0!</v>
      </c>
      <c r="M4" s="175" t="str">
        <f>'Cenários'!BI148</f>
        <v>#DIV/0!</v>
      </c>
      <c r="N4" s="175" t="str">
        <f>'Cenários'!BJ148</f>
        <v>#DIV/0!</v>
      </c>
      <c r="O4" s="175" t="str">
        <f>'Cenários'!BK148</f>
        <v>#DIV/0!</v>
      </c>
      <c r="P4" s="175" t="str">
        <f>'Cenários'!BL148</f>
        <v>#DIV/0!</v>
      </c>
      <c r="Q4" s="175" t="str">
        <f>'Cenários'!BM148</f>
        <v>#DIV/0!</v>
      </c>
      <c r="R4" s="175" t="str">
        <f>'Cenários'!BN148</f>
        <v>#DIV/0!</v>
      </c>
      <c r="S4" s="175" t="str">
        <f>'Cenários'!BO148</f>
        <v>#DIV/0!</v>
      </c>
      <c r="T4" s="175" t="str">
        <f>'Cenários'!BP148</f>
        <v>#DIV/0!</v>
      </c>
      <c r="U4" s="175" t="str">
        <f>'Cenários'!BQ148</f>
        <v>#DIV/0!</v>
      </c>
      <c r="V4" s="175" t="str">
        <f>'Cenários'!BR148</f>
        <v>#DIV/0!</v>
      </c>
      <c r="W4" s="175" t="str">
        <f>'Cenários'!BS148</f>
        <v>#DIV/0!</v>
      </c>
      <c r="X4" s="175" t="str">
        <f>'Cenários'!BT148</f>
        <v>#DIV/0!</v>
      </c>
      <c r="Y4" s="175" t="str">
        <f>'Cenários'!BU148</f>
        <v>#DIV/0!</v>
      </c>
      <c r="Z4" s="175" t="str">
        <f>'Cenários'!BV148</f>
        <v>#DIV/0!</v>
      </c>
      <c r="AA4" s="175" t="str">
        <f>'Cenários'!BW148</f>
        <v>#DIV/0!</v>
      </c>
      <c r="AB4" s="175" t="str">
        <f>'Cenários'!BX148</f>
        <v>#DIV/0!</v>
      </c>
      <c r="AC4" s="175" t="str">
        <f>'Cenários'!BY148</f>
        <v>#DIV/0!</v>
      </c>
      <c r="AD4" s="175" t="str">
        <f>'Cenários'!BZ148</f>
        <v>#DIV/0!</v>
      </c>
      <c r="AE4" s="175" t="str">
        <f>'Cenários'!CA148</f>
        <v>#DIV/0!</v>
      </c>
      <c r="AF4" s="175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54" t="str">
        <f>'Cenários'!AV86</f>
        <v>PCE-PC2257</v>
      </c>
      <c r="B5" s="175">
        <f>'Cenários'!AW86</f>
        <v>2709</v>
      </c>
      <c r="C5" s="175" t="str">
        <f>'Cenários'!AX86</f>
        <v>APL</v>
      </c>
      <c r="D5" s="175" t="str">
        <f>'Cenários'!AY86</f>
        <v>6ETA</v>
      </c>
      <c r="E5" s="355">
        <f>'Cenários'!AZ86</f>
        <v>114.8020833</v>
      </c>
      <c r="F5" s="356">
        <f>'Cenários'!BA86</f>
        <v>244.75</v>
      </c>
      <c r="G5" s="357">
        <f>'Cenários'!BB86</f>
        <v>0.05952380952</v>
      </c>
      <c r="H5" s="358">
        <f>'Cenários'!BC86</f>
        <v>4111.8</v>
      </c>
      <c r="I5" s="175" t="str">
        <f>'Cenários'!BE181</f>
        <v/>
      </c>
      <c r="J5" s="175" t="str">
        <f>'Cenários'!BF181</f>
        <v/>
      </c>
      <c r="K5" s="175" t="str">
        <f>'Cenários'!BG181</f>
        <v/>
      </c>
      <c r="L5" s="175" t="str">
        <f>'Cenários'!BH181</f>
        <v/>
      </c>
      <c r="M5" s="175" t="str">
        <f>'Cenários'!BI181</f>
        <v/>
      </c>
      <c r="N5" s="175" t="str">
        <f>'Cenários'!BJ181</f>
        <v/>
      </c>
      <c r="O5" s="175" t="str">
        <f>'Cenários'!BK181</f>
        <v/>
      </c>
      <c r="P5" s="175" t="str">
        <f>'Cenários'!BL181</f>
        <v/>
      </c>
      <c r="Q5" s="175" t="str">
        <f>'Cenários'!BM181</f>
        <v/>
      </c>
      <c r="R5" s="175" t="str">
        <f>'Cenários'!BN181</f>
        <v/>
      </c>
      <c r="S5" s="175" t="str">
        <f>'Cenários'!BO181</f>
        <v/>
      </c>
      <c r="T5" s="175" t="str">
        <f>'Cenários'!BP181</f>
        <v/>
      </c>
      <c r="U5" s="175" t="str">
        <f>'Cenários'!BQ181</f>
        <v/>
      </c>
      <c r="V5" s="175" t="str">
        <f>'Cenários'!BR181</f>
        <v/>
      </c>
      <c r="W5" s="175" t="str">
        <f>'Cenários'!BS181</f>
        <v/>
      </c>
      <c r="X5" s="175" t="str">
        <f>'Cenários'!BT181</f>
        <v/>
      </c>
      <c r="Y5" s="175" t="str">
        <f>'Cenários'!BU181</f>
        <v/>
      </c>
      <c r="Z5" s="175" t="str">
        <f>'Cenários'!BV181</f>
        <v/>
      </c>
      <c r="AA5" s="175" t="str">
        <f>'Cenários'!BW181</f>
        <v/>
      </c>
      <c r="AB5" s="175" t="str">
        <f>'Cenários'!BX181</f>
        <v/>
      </c>
      <c r="AC5" s="175" t="str">
        <f>'Cenários'!BY181</f>
        <v/>
      </c>
      <c r="AD5" s="175" t="str">
        <f>'Cenários'!BZ181</f>
        <v/>
      </c>
      <c r="AE5" s="175" t="str">
        <f>'Cenários'!CA181</f>
        <v/>
      </c>
      <c r="AF5" s="175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54" t="str">
        <f>'Cenários'!AV57</f>
        <v>PCE-PC0743</v>
      </c>
      <c r="B6" s="175">
        <f>'Cenários'!AW57</f>
        <v>2742</v>
      </c>
      <c r="C6" s="175" t="str">
        <f>'Cenários'!AX57</f>
        <v>APL</v>
      </c>
      <c r="D6" s="175" t="str">
        <f>'Cenários'!AY57</f>
        <v>DACTAII</v>
      </c>
      <c r="E6" s="355">
        <f>'Cenários'!AZ57</f>
        <v>32.93402778</v>
      </c>
      <c r="F6" s="356">
        <f>'Cenários'!BA57</f>
        <v>709.5833333</v>
      </c>
      <c r="G6" s="357">
        <f>'Cenários'!BB57</f>
        <v>9.542857143</v>
      </c>
      <c r="H6" s="358">
        <f>'Cenários'!BC57</f>
        <v>74.35753493</v>
      </c>
      <c r="I6" s="175" t="str">
        <f>'Cenários'!BE152</f>
        <v/>
      </c>
      <c r="J6" s="175" t="str">
        <f>'Cenários'!BF152</f>
        <v/>
      </c>
      <c r="K6" s="175" t="str">
        <f>'Cenários'!BG152</f>
        <v/>
      </c>
      <c r="L6" s="175" t="str">
        <f>'Cenários'!BH152</f>
        <v/>
      </c>
      <c r="M6" s="175" t="str">
        <f>'Cenários'!BI152</f>
        <v/>
      </c>
      <c r="N6" s="175" t="str">
        <f>'Cenários'!BJ152</f>
        <v/>
      </c>
      <c r="O6" s="175" t="str">
        <f>'Cenários'!BK152</f>
        <v/>
      </c>
      <c r="P6" s="175" t="str">
        <f>'Cenários'!BL152</f>
        <v/>
      </c>
      <c r="Q6" s="175" t="str">
        <f>'Cenários'!BM152</f>
        <v/>
      </c>
      <c r="R6" s="175" t="str">
        <f>'Cenários'!BN152</f>
        <v/>
      </c>
      <c r="S6" s="175" t="str">
        <f>'Cenários'!BO152</f>
        <v/>
      </c>
      <c r="T6" s="175" t="str">
        <f>'Cenários'!BP152</f>
        <v/>
      </c>
      <c r="U6" s="175" t="str">
        <f>'Cenários'!BQ152</f>
        <v/>
      </c>
      <c r="V6" s="175" t="str">
        <f>'Cenários'!BR152</f>
        <v/>
      </c>
      <c r="W6" s="175" t="str">
        <f>'Cenários'!BS152</f>
        <v/>
      </c>
      <c r="X6" s="175" t="str">
        <f>'Cenários'!BT152</f>
        <v/>
      </c>
      <c r="Y6" s="175" t="str">
        <f>'Cenários'!BU152</f>
        <v/>
      </c>
      <c r="Z6" s="175" t="str">
        <f>'Cenários'!BV152</f>
        <v/>
      </c>
      <c r="AA6" s="175" t="str">
        <f>'Cenários'!BW152</f>
        <v/>
      </c>
      <c r="AB6" s="175" t="str">
        <f>'Cenários'!BX152</f>
        <v/>
      </c>
      <c r="AC6" s="175" t="str">
        <f>'Cenários'!BY152</f>
        <v/>
      </c>
      <c r="AD6" s="175" t="str">
        <f>'Cenários'!BZ152</f>
        <v/>
      </c>
      <c r="AE6" s="175" t="str">
        <f>'Cenários'!CA152</f>
        <v/>
      </c>
      <c r="AF6" s="175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54" t="str">
        <f>'Cenários'!AV82</f>
        <v>PCE-PC2115</v>
      </c>
      <c r="B7" s="175">
        <f>'Cenários'!AW82</f>
        <v>2741</v>
      </c>
      <c r="C7" s="175" t="str">
        <f>'Cenários'!AX82</f>
        <v>APL</v>
      </c>
      <c r="D7" s="175" t="str">
        <f>'Cenários'!AY82</f>
        <v>7ETA</v>
      </c>
      <c r="E7" s="355">
        <f>'Cenários'!AZ82</f>
        <v>161.9444444</v>
      </c>
      <c r="F7" s="356">
        <f>'Cenários'!BA82</f>
        <v>613.3333333</v>
      </c>
      <c r="G7" s="357">
        <f>'Cenários'!BB82</f>
        <v>4.411111111</v>
      </c>
      <c r="H7" s="358">
        <f>'Cenários'!BC82</f>
        <v>139.0428212</v>
      </c>
      <c r="I7" s="175" t="str">
        <f>'Cenários'!BE177</f>
        <v/>
      </c>
      <c r="J7" s="175" t="str">
        <f>'Cenários'!BF177</f>
        <v/>
      </c>
      <c r="K7" s="175" t="str">
        <f>'Cenários'!BG177</f>
        <v/>
      </c>
      <c r="L7" s="175" t="str">
        <f>'Cenários'!BH177</f>
        <v/>
      </c>
      <c r="M7" s="175" t="str">
        <f>'Cenários'!BI177</f>
        <v/>
      </c>
      <c r="N7" s="175" t="str">
        <f>'Cenários'!BJ177</f>
        <v/>
      </c>
      <c r="O7" s="175" t="str">
        <f>'Cenários'!BK177</f>
        <v/>
      </c>
      <c r="P7" s="175" t="str">
        <f>'Cenários'!BL177</f>
        <v/>
      </c>
      <c r="Q7" s="175" t="str">
        <f>'Cenários'!BM177</f>
        <v/>
      </c>
      <c r="R7" s="175" t="str">
        <f>'Cenários'!BN177</f>
        <v/>
      </c>
      <c r="S7" s="175" t="str">
        <f>'Cenários'!BO177</f>
        <v/>
      </c>
      <c r="T7" s="175" t="str">
        <f>'Cenários'!BP177</f>
        <v/>
      </c>
      <c r="U7" s="175" t="str">
        <f>'Cenários'!BQ177</f>
        <v/>
      </c>
      <c r="V7" s="175" t="str">
        <f>'Cenários'!BR177</f>
        <v/>
      </c>
      <c r="W7" s="175" t="str">
        <f>'Cenários'!BS177</f>
        <v/>
      </c>
      <c r="X7" s="175" t="str">
        <f>'Cenários'!BT177</f>
        <v/>
      </c>
      <c r="Y7" s="175" t="str">
        <f>'Cenários'!BU177</f>
        <v/>
      </c>
      <c r="Z7" s="175" t="str">
        <f>'Cenários'!BV177</f>
        <v/>
      </c>
      <c r="AA7" s="175" t="str">
        <f>'Cenários'!BW177</f>
        <v/>
      </c>
      <c r="AB7" s="175" t="str">
        <f>'Cenários'!BX177</f>
        <v/>
      </c>
      <c r="AC7" s="175" t="str">
        <f>'Cenários'!BY177</f>
        <v/>
      </c>
      <c r="AD7" s="175" t="str">
        <f>'Cenários'!BZ177</f>
        <v/>
      </c>
      <c r="AE7" s="175" t="str">
        <f>'Cenários'!CA177</f>
        <v/>
      </c>
      <c r="AF7" s="175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54" t="str">
        <f>'Cenários'!AV59</f>
        <v>PCE-PC0776</v>
      </c>
      <c r="B8" s="175">
        <f>'Cenários'!AW59</f>
        <v>2740</v>
      </c>
      <c r="C8" s="175" t="str">
        <f>'Cenários'!AX59</f>
        <v>APL</v>
      </c>
      <c r="D8" s="175" t="str">
        <f>'Cenários'!AY59</f>
        <v>7ETA</v>
      </c>
      <c r="E8" s="355">
        <f>'Cenários'!AZ59</f>
        <v>137.5729167</v>
      </c>
      <c r="F8" s="356">
        <f>'Cenários'!BA59</f>
        <v>1198.25</v>
      </c>
      <c r="G8" s="357">
        <f>'Cenários'!BB59</f>
        <v>4.411111111</v>
      </c>
      <c r="H8" s="358">
        <f>'Cenários'!BC59</f>
        <v>271.6435768</v>
      </c>
      <c r="I8" s="175" t="str">
        <f>'Cenários'!BE154</f>
        <v/>
      </c>
      <c r="J8" s="175" t="str">
        <f>'Cenários'!BF154</f>
        <v/>
      </c>
      <c r="K8" s="175" t="str">
        <f>'Cenários'!BG154</f>
        <v/>
      </c>
      <c r="L8" s="175" t="str">
        <f>'Cenários'!BH154</f>
        <v/>
      </c>
      <c r="M8" s="175" t="str">
        <f>'Cenários'!BI154</f>
        <v/>
      </c>
      <c r="N8" s="175" t="str">
        <f>'Cenários'!BJ154</f>
        <v/>
      </c>
      <c r="O8" s="175" t="str">
        <f>'Cenários'!BK154</f>
        <v/>
      </c>
      <c r="P8" s="175" t="str">
        <f>'Cenários'!BL154</f>
        <v/>
      </c>
      <c r="Q8" s="175" t="str">
        <f>'Cenários'!BM154</f>
        <v/>
      </c>
      <c r="R8" s="175" t="str">
        <f>'Cenários'!BN154</f>
        <v/>
      </c>
      <c r="S8" s="175" t="str">
        <f>'Cenários'!BO154</f>
        <v/>
      </c>
      <c r="T8" s="175" t="str">
        <f>'Cenários'!BP154</f>
        <v/>
      </c>
      <c r="U8" s="175" t="str">
        <f>'Cenários'!BQ154</f>
        <v/>
      </c>
      <c r="V8" s="175" t="str">
        <f>'Cenários'!BR154</f>
        <v/>
      </c>
      <c r="W8" s="175" t="str">
        <f>'Cenários'!BS154</f>
        <v/>
      </c>
      <c r="X8" s="175" t="str">
        <f>'Cenários'!BT154</f>
        <v/>
      </c>
      <c r="Y8" s="175" t="str">
        <f>'Cenários'!BU154</f>
        <v/>
      </c>
      <c r="Z8" s="175" t="str">
        <f>'Cenários'!BV154</f>
        <v/>
      </c>
      <c r="AA8" s="175" t="str">
        <f>'Cenários'!BW154</f>
        <v/>
      </c>
      <c r="AB8" s="175" t="str">
        <f>'Cenários'!BX154</f>
        <v/>
      </c>
      <c r="AC8" s="175" t="str">
        <f>'Cenários'!BY154</f>
        <v/>
      </c>
      <c r="AD8" s="175" t="str">
        <f>'Cenários'!BZ154</f>
        <v/>
      </c>
      <c r="AE8" s="175" t="str">
        <f>'Cenários'!CA154</f>
        <v/>
      </c>
      <c r="AF8" s="175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54" t="str">
        <f>'Cenários'!AV85</f>
        <v>PCE-PC2232</v>
      </c>
      <c r="B9" s="175">
        <f>'Cenários'!AW85</f>
        <v>2743</v>
      </c>
      <c r="C9" s="175" t="str">
        <f>'Cenários'!AX85</f>
        <v>APL</v>
      </c>
      <c r="D9" s="175" t="str">
        <f>'Cenários'!AY85</f>
        <v>5ETA</v>
      </c>
      <c r="E9" s="355">
        <f>'Cenários'!AZ85</f>
        <v>183.8715278</v>
      </c>
      <c r="F9" s="356">
        <f>'Cenários'!BA85</f>
        <v>87.08333333</v>
      </c>
      <c r="G9" s="357">
        <f>'Cenários'!BB85</f>
        <v>0.119047619</v>
      </c>
      <c r="H9" s="358">
        <f>'Cenários'!BC85</f>
        <v>731.5</v>
      </c>
      <c r="I9" s="175" t="str">
        <f>'Cenários'!BE180</f>
        <v/>
      </c>
      <c r="J9" s="175" t="str">
        <f>'Cenários'!BF180</f>
        <v/>
      </c>
      <c r="K9" s="175" t="str">
        <f>'Cenários'!BG180</f>
        <v/>
      </c>
      <c r="L9" s="175" t="str">
        <f>'Cenários'!BH180</f>
        <v/>
      </c>
      <c r="M9" s="175" t="str">
        <f>'Cenários'!BI180</f>
        <v/>
      </c>
      <c r="N9" s="175" t="str">
        <f>'Cenários'!BJ180</f>
        <v/>
      </c>
      <c r="O9" s="175" t="str">
        <f>'Cenários'!BK180</f>
        <v/>
      </c>
      <c r="P9" s="175" t="str">
        <f>'Cenários'!BL180</f>
        <v/>
      </c>
      <c r="Q9" s="175" t="str">
        <f>'Cenários'!BM180</f>
        <v/>
      </c>
      <c r="R9" s="175" t="str">
        <f>'Cenários'!BN180</f>
        <v/>
      </c>
      <c r="S9" s="175" t="str">
        <f>'Cenários'!BO180</f>
        <v/>
      </c>
      <c r="T9" s="175" t="str">
        <f>'Cenários'!BP180</f>
        <v/>
      </c>
      <c r="U9" s="175" t="str">
        <f>'Cenários'!BQ180</f>
        <v/>
      </c>
      <c r="V9" s="175" t="str">
        <f>'Cenários'!BR180</f>
        <v/>
      </c>
      <c r="W9" s="175" t="str">
        <f>'Cenários'!BS180</f>
        <v/>
      </c>
      <c r="X9" s="175" t="str">
        <f>'Cenários'!BT180</f>
        <v/>
      </c>
      <c r="Y9" s="175" t="str">
        <f>'Cenários'!BU180</f>
        <v/>
      </c>
      <c r="Z9" s="175" t="str">
        <f>'Cenários'!BV180</f>
        <v/>
      </c>
      <c r="AA9" s="175" t="str">
        <f>'Cenários'!BW180</f>
        <v/>
      </c>
      <c r="AB9" s="175" t="str">
        <f>'Cenários'!BX180</f>
        <v/>
      </c>
      <c r="AC9" s="175" t="str">
        <f>'Cenários'!BY180</f>
        <v/>
      </c>
      <c r="AD9" s="175" t="str">
        <f>'Cenários'!BZ180</f>
        <v/>
      </c>
      <c r="AE9" s="175" t="str">
        <f>'Cenários'!CA180</f>
        <v/>
      </c>
      <c r="AF9" s="175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54" t="str">
        <f>'Cenários'!AV64</f>
        <v>PCE-PC1211</v>
      </c>
      <c r="B10" s="175">
        <f>'Cenários'!AW64</f>
        <v>2738</v>
      </c>
      <c r="C10" s="175" t="str">
        <f>'Cenários'!AX64</f>
        <v>APL</v>
      </c>
      <c r="D10" s="175" t="str">
        <f>'Cenários'!AY64</f>
        <v>7ETA</v>
      </c>
      <c r="E10" s="355">
        <f>'Cenários'!AZ64</f>
        <v>4.170138889</v>
      </c>
      <c r="F10" s="356">
        <f>'Cenários'!BA64</f>
        <v>1399.916667</v>
      </c>
      <c r="G10" s="357">
        <f>'Cenários'!BB64</f>
        <v>4.411111111</v>
      </c>
      <c r="H10" s="358">
        <f>'Cenários'!BC64</f>
        <v>317.361461</v>
      </c>
      <c r="I10" s="175" t="str">
        <f>'Cenários'!BE159</f>
        <v/>
      </c>
      <c r="J10" s="175" t="str">
        <f>'Cenários'!BF159</f>
        <v/>
      </c>
      <c r="K10" s="175" t="str">
        <f>'Cenários'!BG159</f>
        <v/>
      </c>
      <c r="L10" s="175" t="str">
        <f>'Cenários'!BH159</f>
        <v/>
      </c>
      <c r="M10" s="175" t="str">
        <f>'Cenários'!BI159</f>
        <v/>
      </c>
      <c r="N10" s="175" t="str">
        <f>'Cenários'!BJ159</f>
        <v/>
      </c>
      <c r="O10" s="175" t="str">
        <f>'Cenários'!BK159</f>
        <v/>
      </c>
      <c r="P10" s="175" t="str">
        <f>'Cenários'!BL159</f>
        <v/>
      </c>
      <c r="Q10" s="175" t="str">
        <f>'Cenários'!BM159</f>
        <v/>
      </c>
      <c r="R10" s="175" t="str">
        <f>'Cenários'!BN159</f>
        <v/>
      </c>
      <c r="S10" s="175" t="str">
        <f>'Cenários'!BO159</f>
        <v/>
      </c>
      <c r="T10" s="175" t="str">
        <f>'Cenários'!BP159</f>
        <v/>
      </c>
      <c r="U10" s="175" t="str">
        <f>'Cenários'!BQ159</f>
        <v/>
      </c>
      <c r="V10" s="175" t="str">
        <f>'Cenários'!BR159</f>
        <v/>
      </c>
      <c r="W10" s="175" t="str">
        <f>'Cenários'!BS159</f>
        <v/>
      </c>
      <c r="X10" s="175" t="str">
        <f>'Cenários'!BT159</f>
        <v/>
      </c>
      <c r="Y10" s="175" t="str">
        <f>'Cenários'!BU159</f>
        <v/>
      </c>
      <c r="Z10" s="175" t="str">
        <f>'Cenários'!BV159</f>
        <v/>
      </c>
      <c r="AA10" s="175" t="str">
        <f>'Cenários'!BW159</f>
        <v/>
      </c>
      <c r="AB10" s="175" t="str">
        <f>'Cenários'!BX159</f>
        <v/>
      </c>
      <c r="AC10" s="175" t="str">
        <f>'Cenários'!BY159</f>
        <v/>
      </c>
      <c r="AD10" s="175" t="str">
        <f>'Cenários'!BZ159</f>
        <v/>
      </c>
      <c r="AE10" s="175" t="str">
        <f>'Cenários'!CA159</f>
        <v/>
      </c>
      <c r="AF10" s="175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54" t="str">
        <f>'Cenários'!AV73</f>
        <v>PCE-PC1835</v>
      </c>
      <c r="B11" s="175">
        <f>'Cenários'!AW73</f>
        <v>2731</v>
      </c>
      <c r="C11" s="175" t="str">
        <f>'Cenários'!AX73</f>
        <v>OS</v>
      </c>
      <c r="D11" s="175" t="str">
        <f>'Cenários'!AY73</f>
        <v>PAMASP</v>
      </c>
      <c r="E11" s="355">
        <f>'Cenários'!AZ73</f>
        <v>192.9097222</v>
      </c>
      <c r="F11" s="356">
        <f>'Cenários'!BA73</f>
        <v>370.1666667</v>
      </c>
      <c r="G11" s="357" t="str">
        <f>'Cenários'!BB73</f>
        <v>#DIV/0!</v>
      </c>
      <c r="H11" s="358" t="str">
        <f>'Cenários'!BC73</f>
        <v>#DIV/0!</v>
      </c>
      <c r="I11" s="175" t="str">
        <f>'Cenários'!BE168</f>
        <v>#DIV/0!</v>
      </c>
      <c r="J11" s="175" t="str">
        <f>'Cenários'!BF168</f>
        <v>#DIV/0!</v>
      </c>
      <c r="K11" s="175" t="str">
        <f>'Cenários'!BG168</f>
        <v>#DIV/0!</v>
      </c>
      <c r="L11" s="175" t="str">
        <f>'Cenários'!BH168</f>
        <v>#DIV/0!</v>
      </c>
      <c r="M11" s="175" t="str">
        <f>'Cenários'!BI168</f>
        <v>#DIV/0!</v>
      </c>
      <c r="N11" s="175" t="str">
        <f>'Cenários'!BJ168</f>
        <v>#DIV/0!</v>
      </c>
      <c r="O11" s="175" t="str">
        <f>'Cenários'!BK168</f>
        <v>#DIV/0!</v>
      </c>
      <c r="P11" s="175" t="str">
        <f>'Cenários'!BL168</f>
        <v>#DIV/0!</v>
      </c>
      <c r="Q11" s="175" t="str">
        <f>'Cenários'!BM168</f>
        <v>#DIV/0!</v>
      </c>
      <c r="R11" s="175" t="str">
        <f>'Cenários'!BN168</f>
        <v>#DIV/0!</v>
      </c>
      <c r="S11" s="175" t="str">
        <f>'Cenários'!BO168</f>
        <v>#DIV/0!</v>
      </c>
      <c r="T11" s="175" t="str">
        <f>'Cenários'!BP168</f>
        <v>#DIV/0!</v>
      </c>
      <c r="U11" s="175" t="str">
        <f>'Cenários'!BQ168</f>
        <v>#DIV/0!</v>
      </c>
      <c r="V11" s="175" t="str">
        <f>'Cenários'!BR168</f>
        <v>#DIV/0!</v>
      </c>
      <c r="W11" s="175" t="str">
        <f>'Cenários'!BS168</f>
        <v>#DIV/0!</v>
      </c>
      <c r="X11" s="175" t="str">
        <f>'Cenários'!BT168</f>
        <v>#DIV/0!</v>
      </c>
      <c r="Y11" s="175" t="str">
        <f>'Cenários'!BU168</f>
        <v>#DIV/0!</v>
      </c>
      <c r="Z11" s="175" t="str">
        <f>'Cenários'!BV168</f>
        <v>#DIV/0!</v>
      </c>
      <c r="AA11" s="175" t="str">
        <f>'Cenários'!BW168</f>
        <v>#DIV/0!</v>
      </c>
      <c r="AB11" s="175" t="str">
        <f>'Cenários'!BX168</f>
        <v>#DIV/0!</v>
      </c>
      <c r="AC11" s="175" t="str">
        <f>'Cenários'!BY168</f>
        <v>#DIV/0!</v>
      </c>
      <c r="AD11" s="175" t="str">
        <f>'Cenários'!BZ168</f>
        <v>#DIV/0!</v>
      </c>
      <c r="AE11" s="175" t="str">
        <f>'Cenários'!CA168</f>
        <v>#DIV/0!</v>
      </c>
      <c r="AF11" s="175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54" t="str">
        <f>'Cenários'!AV61</f>
        <v>PCE-PC0797</v>
      </c>
      <c r="B12" s="175">
        <f>'Cenários'!AW61</f>
        <v>2733</v>
      </c>
      <c r="C12" s="175" t="str">
        <f>'Cenários'!AX61</f>
        <v>APL</v>
      </c>
      <c r="D12" s="175" t="str">
        <f>'Cenários'!AY61</f>
        <v>1ETA</v>
      </c>
      <c r="E12" s="355">
        <f>'Cenários'!AZ61</f>
        <v>172.3298611</v>
      </c>
      <c r="F12" s="356">
        <f>'Cenários'!BA61</f>
        <v>364.0833333</v>
      </c>
      <c r="G12" s="357">
        <f>'Cenários'!BB61</f>
        <v>19.3515873</v>
      </c>
      <c r="H12" s="358">
        <f>'Cenários'!BC61</f>
        <v>18.8141328</v>
      </c>
      <c r="I12" s="175" t="str">
        <f>'Cenários'!BE156</f>
        <v/>
      </c>
      <c r="J12" s="175" t="str">
        <f>'Cenários'!BF156</f>
        <v/>
      </c>
      <c r="K12" s="175" t="str">
        <f>'Cenários'!BG156</f>
        <v/>
      </c>
      <c r="L12" s="175" t="str">
        <f>'Cenários'!BH156</f>
        <v/>
      </c>
      <c r="M12" s="175" t="str">
        <f>'Cenários'!BI156</f>
        <v/>
      </c>
      <c r="N12" s="175" t="str">
        <f>'Cenários'!BJ156</f>
        <v/>
      </c>
      <c r="O12" s="175" t="str">
        <f>'Cenários'!BK156</f>
        <v/>
      </c>
      <c r="P12" s="175" t="str">
        <f>'Cenários'!BL156</f>
        <v/>
      </c>
      <c r="Q12" s="175" t="str">
        <f>'Cenários'!BM156</f>
        <v/>
      </c>
      <c r="R12" s="175" t="str">
        <f>'Cenários'!BN156</f>
        <v/>
      </c>
      <c r="S12" s="175" t="str">
        <f>'Cenários'!BO156</f>
        <v/>
      </c>
      <c r="T12" s="175" t="str">
        <f>'Cenários'!BP156</f>
        <v/>
      </c>
      <c r="U12" s="175" t="str">
        <f>'Cenários'!BQ156</f>
        <v/>
      </c>
      <c r="V12" s="175" t="str">
        <f>'Cenários'!BR156</f>
        <v/>
      </c>
      <c r="W12" s="175" t="str">
        <f>'Cenários'!BS156</f>
        <v/>
      </c>
      <c r="X12" s="175" t="str">
        <f>'Cenários'!BT156</f>
        <v/>
      </c>
      <c r="Y12" s="175" t="str">
        <f>'Cenários'!BU156</f>
        <v/>
      </c>
      <c r="Z12" s="175" t="str">
        <f>'Cenários'!BV156</f>
        <v/>
      </c>
      <c r="AA12" s="175" t="str">
        <f>'Cenários'!BW156</f>
        <v>HSI</v>
      </c>
      <c r="AB12" s="175" t="str">
        <f>'Cenários'!BX156</f>
        <v/>
      </c>
      <c r="AC12" s="175" t="str">
        <f>'Cenários'!BY156</f>
        <v/>
      </c>
      <c r="AD12" s="175" t="str">
        <f>'Cenários'!BZ156</f>
        <v/>
      </c>
      <c r="AE12" s="175" t="str">
        <f>'Cenários'!CA156</f>
        <v/>
      </c>
      <c r="AF12" s="175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54" t="str">
        <f>'Cenários'!AV63</f>
        <v>PCE-PC1002</v>
      </c>
      <c r="B13" s="175">
        <f>'Cenários'!AW63</f>
        <v>2727</v>
      </c>
      <c r="C13" s="175" t="str">
        <f>'Cenários'!AX63</f>
        <v>APL</v>
      </c>
      <c r="D13" s="175" t="str">
        <f>'Cenários'!AY63</f>
        <v>1/15GAV</v>
      </c>
      <c r="E13" s="355">
        <f>'Cenários'!AZ63</f>
        <v>4.232638889</v>
      </c>
      <c r="F13" s="356">
        <f>'Cenários'!BA63</f>
        <v>1398.416667</v>
      </c>
      <c r="G13" s="357">
        <f>'Cenários'!BB63</f>
        <v>12.22142857</v>
      </c>
      <c r="H13" s="358">
        <f>'Cenários'!BC63</f>
        <v>114.4233392</v>
      </c>
      <c r="I13" s="175" t="str">
        <f>'Cenários'!BE158</f>
        <v/>
      </c>
      <c r="J13" s="175" t="str">
        <f>'Cenários'!BF158</f>
        <v/>
      </c>
      <c r="K13" s="175" t="str">
        <f>'Cenários'!BG158</f>
        <v/>
      </c>
      <c r="L13" s="175" t="str">
        <f>'Cenários'!BH158</f>
        <v/>
      </c>
      <c r="M13" s="175" t="str">
        <f>'Cenários'!BI158</f>
        <v/>
      </c>
      <c r="N13" s="175" t="str">
        <f>'Cenários'!BJ158</f>
        <v/>
      </c>
      <c r="O13" s="175" t="str">
        <f>'Cenários'!BK158</f>
        <v/>
      </c>
      <c r="P13" s="175" t="str">
        <f>'Cenários'!BL158</f>
        <v/>
      </c>
      <c r="Q13" s="175" t="str">
        <f>'Cenários'!BM158</f>
        <v/>
      </c>
      <c r="R13" s="175" t="str">
        <f>'Cenários'!BN158</f>
        <v/>
      </c>
      <c r="S13" s="175" t="str">
        <f>'Cenários'!BO158</f>
        <v/>
      </c>
      <c r="T13" s="175" t="str">
        <f>'Cenários'!BP158</f>
        <v/>
      </c>
      <c r="U13" s="175" t="str">
        <f>'Cenários'!BQ158</f>
        <v/>
      </c>
      <c r="V13" s="175" t="str">
        <f>'Cenários'!BR158</f>
        <v/>
      </c>
      <c r="W13" s="175" t="str">
        <f>'Cenários'!BS158</f>
        <v/>
      </c>
      <c r="X13" s="175" t="str">
        <f>'Cenários'!BT158</f>
        <v/>
      </c>
      <c r="Y13" s="175" t="str">
        <f>'Cenários'!BU158</f>
        <v/>
      </c>
      <c r="Z13" s="175" t="str">
        <f>'Cenários'!BV158</f>
        <v/>
      </c>
      <c r="AA13" s="175" t="str">
        <f>'Cenários'!BW158</f>
        <v/>
      </c>
      <c r="AB13" s="175" t="str">
        <f>'Cenários'!BX158</f>
        <v/>
      </c>
      <c r="AC13" s="175" t="str">
        <f>'Cenários'!BY158</f>
        <v/>
      </c>
      <c r="AD13" s="175" t="str">
        <f>'Cenários'!BZ158</f>
        <v/>
      </c>
      <c r="AE13" s="175" t="str">
        <f>'Cenários'!CA158</f>
        <v/>
      </c>
      <c r="AF13" s="175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54" t="str">
        <f>'Cenários'!AV81</f>
        <v>PCE-PC2081</v>
      </c>
      <c r="B14" s="175">
        <f>'Cenários'!AW81</f>
        <v>2724</v>
      </c>
      <c r="C14" s="175" t="str">
        <f>'Cenários'!AX81</f>
        <v>OS</v>
      </c>
      <c r="D14" s="175" t="str">
        <f>'Cenários'!AY81</f>
        <v>PAMASP</v>
      </c>
      <c r="E14" s="355">
        <f>'Cenários'!AZ81</f>
        <v>139.4548611</v>
      </c>
      <c r="F14" s="356">
        <f>'Cenários'!BA81</f>
        <v>1153.083333</v>
      </c>
      <c r="G14" s="357" t="str">
        <f>'Cenários'!BB81</f>
        <v>#DIV/0!</v>
      </c>
      <c r="H14" s="358" t="str">
        <f>'Cenários'!BC81</f>
        <v>#DIV/0!</v>
      </c>
      <c r="I14" s="175" t="str">
        <f>'Cenários'!BE176</f>
        <v>#DIV/0!</v>
      </c>
      <c r="J14" s="175" t="str">
        <f>'Cenários'!BF176</f>
        <v>#DIV/0!</v>
      </c>
      <c r="K14" s="175" t="str">
        <f>'Cenários'!BG176</f>
        <v>#DIV/0!</v>
      </c>
      <c r="L14" s="175" t="str">
        <f>'Cenários'!BH176</f>
        <v>#DIV/0!</v>
      </c>
      <c r="M14" s="175" t="str">
        <f>'Cenários'!BI176</f>
        <v>#DIV/0!</v>
      </c>
      <c r="N14" s="175" t="str">
        <f>'Cenários'!BJ176</f>
        <v>#DIV/0!</v>
      </c>
      <c r="O14" s="175" t="str">
        <f>'Cenários'!BK176</f>
        <v>#DIV/0!</v>
      </c>
      <c r="P14" s="175" t="str">
        <f>'Cenários'!BL176</f>
        <v>#DIV/0!</v>
      </c>
      <c r="Q14" s="175" t="str">
        <f>'Cenários'!BM176</f>
        <v>#DIV/0!</v>
      </c>
      <c r="R14" s="175" t="str">
        <f>'Cenários'!BN176</f>
        <v>#DIV/0!</v>
      </c>
      <c r="S14" s="175" t="str">
        <f>'Cenários'!BO176</f>
        <v>#DIV/0!</v>
      </c>
      <c r="T14" s="175" t="str">
        <f>'Cenários'!BP176</f>
        <v>#DIV/0!</v>
      </c>
      <c r="U14" s="175" t="str">
        <f>'Cenários'!BQ176</f>
        <v>#DIV/0!</v>
      </c>
      <c r="V14" s="175" t="str">
        <f>'Cenários'!BR176</f>
        <v>#DIV/0!</v>
      </c>
      <c r="W14" s="175" t="str">
        <f>'Cenários'!BS176</f>
        <v>#DIV/0!</v>
      </c>
      <c r="X14" s="175" t="str">
        <f>'Cenários'!BT176</f>
        <v>#DIV/0!</v>
      </c>
      <c r="Y14" s="175" t="str">
        <f>'Cenários'!BU176</f>
        <v>#DIV/0!</v>
      </c>
      <c r="Z14" s="175" t="str">
        <f>'Cenários'!BV176</f>
        <v>#DIV/0!</v>
      </c>
      <c r="AA14" s="175" t="str">
        <f>'Cenários'!BW176</f>
        <v>#DIV/0!</v>
      </c>
      <c r="AB14" s="175" t="str">
        <f>'Cenários'!BX176</f>
        <v>#DIV/0!</v>
      </c>
      <c r="AC14" s="175" t="str">
        <f>'Cenários'!BY176</f>
        <v>#DIV/0!</v>
      </c>
      <c r="AD14" s="175" t="str">
        <f>'Cenários'!BZ176</f>
        <v>#DIV/0!</v>
      </c>
      <c r="AE14" s="175" t="str">
        <f>'Cenários'!CA176</f>
        <v>#DIV/0!</v>
      </c>
      <c r="AF14" s="175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54" t="str">
        <f>'Cenários'!AV56</f>
        <v>PCE-PC0499</v>
      </c>
      <c r="B15" s="175">
        <f>'Cenários'!AW56</f>
        <v>2728</v>
      </c>
      <c r="C15" s="175" t="str">
        <f>'Cenários'!AX56</f>
        <v>OS</v>
      </c>
      <c r="D15" s="175" t="str">
        <f>'Cenários'!AY56</f>
        <v>PAMASP</v>
      </c>
      <c r="E15" s="355">
        <f>'Cenários'!AZ56</f>
        <v>2.465277778</v>
      </c>
      <c r="F15" s="356">
        <f>'Cenários'!BA56</f>
        <v>1440.833333</v>
      </c>
      <c r="G15" s="357" t="str">
        <f>'Cenários'!BB56</f>
        <v>#DIV/0!</v>
      </c>
      <c r="H15" s="358" t="str">
        <f>'Cenários'!BC56</f>
        <v>#DIV/0!</v>
      </c>
      <c r="I15" s="175" t="str">
        <f>'Cenários'!BE151</f>
        <v>#DIV/0!</v>
      </c>
      <c r="J15" s="175" t="str">
        <f>'Cenários'!BF151</f>
        <v>#DIV/0!</v>
      </c>
      <c r="K15" s="175" t="str">
        <f>'Cenários'!BG151</f>
        <v>#DIV/0!</v>
      </c>
      <c r="L15" s="175" t="str">
        <f>'Cenários'!BH151</f>
        <v>#DIV/0!</v>
      </c>
      <c r="M15" s="175" t="str">
        <f>'Cenários'!BI151</f>
        <v>#DIV/0!</v>
      </c>
      <c r="N15" s="175" t="str">
        <f>'Cenários'!BJ151</f>
        <v>#DIV/0!</v>
      </c>
      <c r="O15" s="175" t="str">
        <f>'Cenários'!BK151</f>
        <v>#DIV/0!</v>
      </c>
      <c r="P15" s="175" t="str">
        <f>'Cenários'!BL151</f>
        <v>#DIV/0!</v>
      </c>
      <c r="Q15" s="175" t="str">
        <f>'Cenários'!BM151</f>
        <v>#DIV/0!</v>
      </c>
      <c r="R15" s="175" t="str">
        <f>'Cenários'!BN151</f>
        <v>#DIV/0!</v>
      </c>
      <c r="S15" s="175" t="str">
        <f>'Cenários'!BO151</f>
        <v>#DIV/0!</v>
      </c>
      <c r="T15" s="175" t="str">
        <f>'Cenários'!BP151</f>
        <v>#DIV/0!</v>
      </c>
      <c r="U15" s="175" t="str">
        <f>'Cenários'!BQ151</f>
        <v>#DIV/0!</v>
      </c>
      <c r="V15" s="175" t="str">
        <f>'Cenários'!BR151</f>
        <v>#DIV/0!</v>
      </c>
      <c r="W15" s="175" t="str">
        <f>'Cenários'!BS151</f>
        <v>#DIV/0!</v>
      </c>
      <c r="X15" s="175" t="str">
        <f>'Cenários'!BT151</f>
        <v>#DIV/0!</v>
      </c>
      <c r="Y15" s="175" t="str">
        <f>'Cenários'!BU151</f>
        <v>#DIV/0!</v>
      </c>
      <c r="Z15" s="175" t="str">
        <f>'Cenários'!BV151</f>
        <v>#DIV/0!</v>
      </c>
      <c r="AA15" s="175" t="str">
        <f>'Cenários'!BW151</f>
        <v>#DIV/0!</v>
      </c>
      <c r="AB15" s="175" t="str">
        <f>'Cenários'!BX151</f>
        <v>#DIV/0!</v>
      </c>
      <c r="AC15" s="175" t="str">
        <f>'Cenários'!BY151</f>
        <v>#DIV/0!</v>
      </c>
      <c r="AD15" s="175" t="str">
        <f>'Cenários'!BZ151</f>
        <v>#DIV/0!</v>
      </c>
      <c r="AE15" s="175" t="str">
        <f>'Cenários'!CA151</f>
        <v>#DIV/0!</v>
      </c>
      <c r="AF15" s="175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54" t="str">
        <f>'Cenários'!AV67</f>
        <v>PCE-PC1659</v>
      </c>
      <c r="B16" s="175">
        <f>'Cenários'!AW67</f>
        <v>2736</v>
      </c>
      <c r="C16" s="175" t="str">
        <f>'Cenários'!AX67</f>
        <v>OS</v>
      </c>
      <c r="D16" s="175" t="str">
        <f>'Cenários'!AY67</f>
        <v>PAMASP</v>
      </c>
      <c r="E16" s="355">
        <f>'Cenários'!AZ67</f>
        <v>186.6493056</v>
      </c>
      <c r="F16" s="356">
        <f>'Cenários'!BA67</f>
        <v>20.41666667</v>
      </c>
      <c r="G16" s="357" t="str">
        <f>'Cenários'!BB67</f>
        <v>#DIV/0!</v>
      </c>
      <c r="H16" s="358" t="str">
        <f>'Cenários'!BC67</f>
        <v>#DIV/0!</v>
      </c>
      <c r="I16" s="175" t="str">
        <f>'Cenários'!BE162</f>
        <v>#DIV/0!</v>
      </c>
      <c r="J16" s="175" t="str">
        <f>'Cenários'!BF162</f>
        <v>#DIV/0!</v>
      </c>
      <c r="K16" s="175" t="str">
        <f>'Cenários'!BG162</f>
        <v>#DIV/0!</v>
      </c>
      <c r="L16" s="175" t="str">
        <f>'Cenários'!BH162</f>
        <v>#DIV/0!</v>
      </c>
      <c r="M16" s="175" t="str">
        <f>'Cenários'!BI162</f>
        <v>#DIV/0!</v>
      </c>
      <c r="N16" s="175" t="str">
        <f>'Cenários'!BJ162</f>
        <v>#DIV/0!</v>
      </c>
      <c r="O16" s="175" t="str">
        <f>'Cenários'!BK162</f>
        <v>#DIV/0!</v>
      </c>
      <c r="P16" s="175" t="str">
        <f>'Cenários'!BL162</f>
        <v>#DIV/0!</v>
      </c>
      <c r="Q16" s="175" t="str">
        <f>'Cenários'!BM162</f>
        <v>#DIV/0!</v>
      </c>
      <c r="R16" s="175" t="str">
        <f>'Cenários'!BN162</f>
        <v>#DIV/0!</v>
      </c>
      <c r="S16" s="175" t="str">
        <f>'Cenários'!BO162</f>
        <v>#DIV/0!</v>
      </c>
      <c r="T16" s="175" t="str">
        <f>'Cenários'!BP162</f>
        <v>#DIV/0!</v>
      </c>
      <c r="U16" s="175" t="str">
        <f>'Cenários'!BQ162</f>
        <v>#DIV/0!</v>
      </c>
      <c r="V16" s="175" t="str">
        <f>'Cenários'!BR162</f>
        <v>#DIV/0!</v>
      </c>
      <c r="W16" s="175" t="str">
        <f>'Cenários'!BS162</f>
        <v>#DIV/0!</v>
      </c>
      <c r="X16" s="175" t="str">
        <f>'Cenários'!BT162</f>
        <v>#DIV/0!</v>
      </c>
      <c r="Y16" s="175" t="str">
        <f>'Cenários'!BU162</f>
        <v>#DIV/0!</v>
      </c>
      <c r="Z16" s="175" t="str">
        <f>'Cenários'!BV162</f>
        <v>#DIV/0!</v>
      </c>
      <c r="AA16" s="175" t="str">
        <f>'Cenários'!BW162</f>
        <v>#DIV/0!</v>
      </c>
      <c r="AB16" s="175" t="str">
        <f>'Cenários'!BX162</f>
        <v>#DIV/0!</v>
      </c>
      <c r="AC16" s="175" t="str">
        <f>'Cenários'!BY162</f>
        <v>#DIV/0!</v>
      </c>
      <c r="AD16" s="175" t="str">
        <f>'Cenários'!BZ162</f>
        <v>#DIV/0!</v>
      </c>
      <c r="AE16" s="175" t="str">
        <f>'Cenários'!CA162</f>
        <v>#DIV/0!</v>
      </c>
      <c r="AF16" s="175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54" t="str">
        <f>'Cenários'!AV77</f>
        <v>PCE-PC2042</v>
      </c>
      <c r="B17" s="175">
        <f>'Cenários'!AW77</f>
        <v>2742</v>
      </c>
      <c r="C17" s="175" t="str">
        <f>'Cenários'!AX77</f>
        <v>OS</v>
      </c>
      <c r="D17" s="175" t="str">
        <f>'Cenários'!AY77</f>
        <v>PAMASP</v>
      </c>
      <c r="E17" s="355">
        <f>'Cenários'!AZ77</f>
        <v>222.8576389</v>
      </c>
      <c r="F17" s="356">
        <f>'Cenários'!BA77</f>
        <v>-348.5833333</v>
      </c>
      <c r="G17" s="357" t="str">
        <f>'Cenários'!BB77</f>
        <v>#DIV/0!</v>
      </c>
      <c r="H17" s="358" t="str">
        <f>'Cenários'!BC77</f>
        <v>#DIV/0!</v>
      </c>
      <c r="I17" s="175" t="str">
        <f>'Cenários'!BE172</f>
        <v>#DIV/0!</v>
      </c>
      <c r="J17" s="175" t="str">
        <f>'Cenários'!BF172</f>
        <v>#DIV/0!</v>
      </c>
      <c r="K17" s="175" t="str">
        <f>'Cenários'!BG172</f>
        <v>#DIV/0!</v>
      </c>
      <c r="L17" s="175" t="str">
        <f>'Cenários'!BH172</f>
        <v>#DIV/0!</v>
      </c>
      <c r="M17" s="175" t="str">
        <f>'Cenários'!BI172</f>
        <v>#DIV/0!</v>
      </c>
      <c r="N17" s="175" t="str">
        <f>'Cenários'!BJ172</f>
        <v>#DIV/0!</v>
      </c>
      <c r="O17" s="175" t="str">
        <f>'Cenários'!BK172</f>
        <v>#DIV/0!</v>
      </c>
      <c r="P17" s="175" t="str">
        <f>'Cenários'!BL172</f>
        <v>#DIV/0!</v>
      </c>
      <c r="Q17" s="175" t="str">
        <f>'Cenários'!BM172</f>
        <v>#DIV/0!</v>
      </c>
      <c r="R17" s="175" t="str">
        <f>'Cenários'!BN172</f>
        <v>#DIV/0!</v>
      </c>
      <c r="S17" s="175" t="str">
        <f>'Cenários'!BO172</f>
        <v>#DIV/0!</v>
      </c>
      <c r="T17" s="175" t="str">
        <f>'Cenários'!BP172</f>
        <v>#DIV/0!</v>
      </c>
      <c r="U17" s="175" t="str">
        <f>'Cenários'!BQ172</f>
        <v>#DIV/0!</v>
      </c>
      <c r="V17" s="175" t="str">
        <f>'Cenários'!BR172</f>
        <v>#DIV/0!</v>
      </c>
      <c r="W17" s="175" t="str">
        <f>'Cenários'!BS172</f>
        <v>#DIV/0!</v>
      </c>
      <c r="X17" s="175" t="str">
        <f>'Cenários'!BT172</f>
        <v>#DIV/0!</v>
      </c>
      <c r="Y17" s="175" t="str">
        <f>'Cenários'!BU172</f>
        <v>#DIV/0!</v>
      </c>
      <c r="Z17" s="175" t="str">
        <f>'Cenários'!BV172</f>
        <v>#DIV/0!</v>
      </c>
      <c r="AA17" s="175" t="str">
        <f>'Cenários'!BW172</f>
        <v>#DIV/0!</v>
      </c>
      <c r="AB17" s="175" t="str">
        <f>'Cenários'!BX172</f>
        <v>#DIV/0!</v>
      </c>
      <c r="AC17" s="175" t="str">
        <f>'Cenários'!BY172</f>
        <v>#DIV/0!</v>
      </c>
      <c r="AD17" s="175" t="str">
        <f>'Cenários'!BZ172</f>
        <v>#DIV/0!</v>
      </c>
      <c r="AE17" s="175" t="str">
        <f>'Cenários'!CA172</f>
        <v>#DIV/0!</v>
      </c>
      <c r="AF17" s="175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54" t="str">
        <f>'Cenários'!AV69</f>
        <v>PCE-PC1734</v>
      </c>
      <c r="B18" s="175">
        <f>'Cenários'!AW69</f>
        <v>2721</v>
      </c>
      <c r="C18" s="175" t="str">
        <f>'Cenários'!AX69</f>
        <v>OS</v>
      </c>
      <c r="D18" s="175" t="str">
        <f>'Cenários'!AY69</f>
        <v>PAMASP</v>
      </c>
      <c r="E18" s="355">
        <f>'Cenários'!AZ69</f>
        <v>11.13194444</v>
      </c>
      <c r="F18" s="356">
        <f>'Cenários'!BA69</f>
        <v>1232.833333</v>
      </c>
      <c r="G18" s="357" t="str">
        <f>'Cenários'!BB69</f>
        <v>#DIV/0!</v>
      </c>
      <c r="H18" s="358" t="str">
        <f>'Cenários'!BC69</f>
        <v>#DIV/0!</v>
      </c>
      <c r="I18" s="175" t="str">
        <f>'Cenários'!BE164</f>
        <v>#DIV/0!</v>
      </c>
      <c r="J18" s="175" t="str">
        <f>'Cenários'!BF164</f>
        <v>#DIV/0!</v>
      </c>
      <c r="K18" s="175" t="str">
        <f>'Cenários'!BG164</f>
        <v>#DIV/0!</v>
      </c>
      <c r="L18" s="175" t="str">
        <f>'Cenários'!BH164</f>
        <v>#DIV/0!</v>
      </c>
      <c r="M18" s="175" t="str">
        <f>'Cenários'!BI164</f>
        <v>#DIV/0!</v>
      </c>
      <c r="N18" s="175" t="str">
        <f>'Cenários'!BJ164</f>
        <v>#DIV/0!</v>
      </c>
      <c r="O18" s="175" t="str">
        <f>'Cenários'!BK164</f>
        <v>#DIV/0!</v>
      </c>
      <c r="P18" s="175" t="str">
        <f>'Cenários'!BL164</f>
        <v>#DIV/0!</v>
      </c>
      <c r="Q18" s="175" t="str">
        <f>'Cenários'!BM164</f>
        <v>#DIV/0!</v>
      </c>
      <c r="R18" s="175" t="str">
        <f>'Cenários'!BN164</f>
        <v>#DIV/0!</v>
      </c>
      <c r="S18" s="175" t="str">
        <f>'Cenários'!BO164</f>
        <v>#DIV/0!</v>
      </c>
      <c r="T18" s="175" t="str">
        <f>'Cenários'!BP164</f>
        <v>#DIV/0!</v>
      </c>
      <c r="U18" s="175" t="str">
        <f>'Cenários'!BQ164</f>
        <v>#DIV/0!</v>
      </c>
      <c r="V18" s="175" t="str">
        <f>'Cenários'!BR164</f>
        <v>#DIV/0!</v>
      </c>
      <c r="W18" s="175" t="str">
        <f>'Cenários'!BS164</f>
        <v>#DIV/0!</v>
      </c>
      <c r="X18" s="175" t="str">
        <f>'Cenários'!BT164</f>
        <v>#DIV/0!</v>
      </c>
      <c r="Y18" s="175" t="str">
        <f>'Cenários'!BU164</f>
        <v>#DIV/0!</v>
      </c>
      <c r="Z18" s="175" t="str">
        <f>'Cenários'!BV164</f>
        <v>#DIV/0!</v>
      </c>
      <c r="AA18" s="175" t="str">
        <f>'Cenários'!BW164</f>
        <v>#DIV/0!</v>
      </c>
      <c r="AB18" s="175" t="str">
        <f>'Cenários'!BX164</f>
        <v>#DIV/0!</v>
      </c>
      <c r="AC18" s="175" t="str">
        <f>'Cenários'!BY164</f>
        <v>#DIV/0!</v>
      </c>
      <c r="AD18" s="175" t="str">
        <f>'Cenários'!BZ164</f>
        <v>#DIV/0!</v>
      </c>
      <c r="AE18" s="175" t="str">
        <f>'Cenários'!CA164</f>
        <v>#DIV/0!</v>
      </c>
      <c r="AF18" s="175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54" t="str">
        <f>'Cenários'!AV78</f>
        <v>PCE-PC2047</v>
      </c>
      <c r="B19" s="175">
        <f>'Cenários'!AW78</f>
        <v>2739</v>
      </c>
      <c r="C19" s="175" t="str">
        <f>'Cenários'!AX78</f>
        <v>APL</v>
      </c>
      <c r="D19" s="175" t="str">
        <f>'Cenários'!AY78</f>
        <v>1ETA</v>
      </c>
      <c r="E19" s="355">
        <f>'Cenários'!AZ78</f>
        <v>52.10763889</v>
      </c>
      <c r="F19" s="356">
        <f>'Cenários'!BA78</f>
        <v>249.4166667</v>
      </c>
      <c r="G19" s="357">
        <f>'Cenários'!BB78</f>
        <v>19.3515873</v>
      </c>
      <c r="H19" s="358">
        <f>'Cenários'!BC78</f>
        <v>12.88869294</v>
      </c>
      <c r="I19" s="175" t="str">
        <f>'Cenários'!BE173</f>
        <v/>
      </c>
      <c r="J19" s="175" t="str">
        <f>'Cenários'!BF173</f>
        <v/>
      </c>
      <c r="K19" s="175" t="str">
        <f>'Cenários'!BG173</f>
        <v/>
      </c>
      <c r="L19" s="175" t="str">
        <f>'Cenários'!BH173</f>
        <v/>
      </c>
      <c r="M19" s="175" t="str">
        <f>'Cenários'!BI173</f>
        <v/>
      </c>
      <c r="N19" s="175" t="str">
        <f>'Cenários'!BJ173</f>
        <v/>
      </c>
      <c r="O19" s="175" t="str">
        <f>'Cenários'!BK173</f>
        <v/>
      </c>
      <c r="P19" s="175" t="str">
        <f>'Cenários'!BL173</f>
        <v/>
      </c>
      <c r="Q19" s="175" t="str">
        <f>'Cenários'!BM173</f>
        <v/>
      </c>
      <c r="R19" s="175" t="str">
        <f>'Cenários'!BN173</f>
        <v/>
      </c>
      <c r="S19" s="175" t="str">
        <f>'Cenários'!BO173</f>
        <v/>
      </c>
      <c r="T19" s="175" t="str">
        <f>'Cenários'!BP173</f>
        <v/>
      </c>
      <c r="U19" s="175" t="str">
        <f>'Cenários'!BQ173</f>
        <v>HSI</v>
      </c>
      <c r="V19" s="175" t="str">
        <f>'Cenários'!BR173</f>
        <v/>
      </c>
      <c r="W19" s="175" t="str">
        <f>'Cenários'!BS173</f>
        <v/>
      </c>
      <c r="X19" s="175" t="str">
        <f>'Cenários'!BT173</f>
        <v/>
      </c>
      <c r="Y19" s="175" t="str">
        <f>'Cenários'!BU173</f>
        <v/>
      </c>
      <c r="Z19" s="175" t="str">
        <f>'Cenários'!BV173</f>
        <v/>
      </c>
      <c r="AA19" s="175" t="str">
        <f>'Cenários'!BW173</f>
        <v/>
      </c>
      <c r="AB19" s="175" t="str">
        <f>'Cenários'!BX173</f>
        <v/>
      </c>
      <c r="AC19" s="175" t="str">
        <f>'Cenários'!BY173</f>
        <v/>
      </c>
      <c r="AD19" s="175" t="str">
        <f>'Cenários'!BZ173</f>
        <v/>
      </c>
      <c r="AE19" s="175" t="str">
        <f>'Cenários'!CA173</f>
        <v/>
      </c>
      <c r="AF19" s="175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54" t="str">
        <f>'Cenários'!AV58</f>
        <v>PCE-PC0764</v>
      </c>
      <c r="B20" s="175">
        <f>'Cenários'!AW58</f>
        <v>2734</v>
      </c>
      <c r="C20" s="175" t="str">
        <f>'Cenários'!AX58</f>
        <v>REPARA</v>
      </c>
      <c r="D20" s="175" t="str">
        <f>'Cenários'!AY58</f>
        <v>PAMASP</v>
      </c>
      <c r="E20" s="355">
        <f>'Cenários'!AZ58</f>
        <v>208.2083333</v>
      </c>
      <c r="F20" s="356">
        <f>'Cenários'!BA58</f>
        <v>3</v>
      </c>
      <c r="G20" s="357" t="str">
        <f>'Cenários'!BB58</f>
        <v>#DIV/0!</v>
      </c>
      <c r="H20" s="358" t="str">
        <f>'Cenários'!BC58</f>
        <v>#DIV/0!</v>
      </c>
      <c r="I20" s="175" t="str">
        <f>'Cenários'!BE153</f>
        <v>#DIV/0!</v>
      </c>
      <c r="J20" s="175" t="str">
        <f>'Cenários'!BF153</f>
        <v>#DIV/0!</v>
      </c>
      <c r="K20" s="175" t="str">
        <f>'Cenários'!BG153</f>
        <v>#DIV/0!</v>
      </c>
      <c r="L20" s="359" t="str">
        <f>'Cenários'!BH153</f>
        <v>#DIV/0!</v>
      </c>
      <c r="M20" s="175" t="str">
        <f>'Cenários'!BI153</f>
        <v>#DIV/0!</v>
      </c>
      <c r="N20" s="175" t="str">
        <f>'Cenários'!BJ153</f>
        <v>#DIV/0!</v>
      </c>
      <c r="O20" s="175" t="str">
        <f>'Cenários'!BK153</f>
        <v>#DIV/0!</v>
      </c>
      <c r="P20" s="175" t="str">
        <f>'Cenários'!BL153</f>
        <v>#DIV/0!</v>
      </c>
      <c r="Q20" s="175" t="str">
        <f>'Cenários'!BM153</f>
        <v>#DIV/0!</v>
      </c>
      <c r="R20" s="175" t="str">
        <f>'Cenários'!BN153</f>
        <v>#DIV/0!</v>
      </c>
      <c r="S20" s="175" t="str">
        <f>'Cenários'!BO153</f>
        <v>#DIV/0!</v>
      </c>
      <c r="T20" s="175" t="str">
        <f>'Cenários'!BP153</f>
        <v>#DIV/0!</v>
      </c>
      <c r="U20" s="175" t="str">
        <f>'Cenários'!BQ153</f>
        <v>#DIV/0!</v>
      </c>
      <c r="V20" s="175" t="str">
        <f>'Cenários'!BR153</f>
        <v>#DIV/0!</v>
      </c>
      <c r="W20" s="175" t="str">
        <f>'Cenários'!BS153</f>
        <v>#DIV/0!</v>
      </c>
      <c r="X20" s="175" t="str">
        <f>'Cenários'!BT153</f>
        <v>#DIV/0!</v>
      </c>
      <c r="Y20" s="175" t="str">
        <f>'Cenários'!BU153</f>
        <v>#DIV/0!</v>
      </c>
      <c r="Z20" s="175" t="str">
        <f>'Cenários'!BV153</f>
        <v>#DIV/0!</v>
      </c>
      <c r="AA20" s="175" t="str">
        <f>'Cenários'!BW153</f>
        <v>#DIV/0!</v>
      </c>
      <c r="AB20" s="175" t="str">
        <f>'Cenários'!BX153</f>
        <v>#DIV/0!</v>
      </c>
      <c r="AC20" s="175" t="str">
        <f>'Cenários'!BY153</f>
        <v>#DIV/0!</v>
      </c>
      <c r="AD20" s="175" t="str">
        <f>'Cenários'!BZ153</f>
        <v>#DIV/0!</v>
      </c>
      <c r="AE20" s="175" t="str">
        <f>'Cenários'!CA153</f>
        <v>#DIV/0!</v>
      </c>
      <c r="AF20" s="175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54" t="str">
        <f>'Cenários'!AV60</f>
        <v>PCE-PC0790</v>
      </c>
      <c r="B21" s="175">
        <f>'Cenários'!AW60</f>
        <v>2732</v>
      </c>
      <c r="C21" s="175" t="str">
        <f>'Cenários'!AX60</f>
        <v>REPARA</v>
      </c>
      <c r="D21" s="175" t="str">
        <f>'Cenários'!AY60</f>
        <v>PAMASP</v>
      </c>
      <c r="E21" s="355">
        <f>'Cenários'!AZ60</f>
        <v>120.3923611</v>
      </c>
      <c r="F21" s="356">
        <f>'Cenários'!BA60</f>
        <v>110.5833333</v>
      </c>
      <c r="G21" s="357" t="str">
        <f>'Cenários'!BB60</f>
        <v>#DIV/0!</v>
      </c>
      <c r="H21" s="358" t="str">
        <f>'Cenários'!BC60</f>
        <v>#DIV/0!</v>
      </c>
      <c r="I21" s="175" t="str">
        <f>'Cenários'!BE155</f>
        <v>#DIV/0!</v>
      </c>
      <c r="J21" s="175" t="str">
        <f>'Cenários'!BF155</f>
        <v>#DIV/0!</v>
      </c>
      <c r="K21" s="175" t="str">
        <f>'Cenários'!BG155</f>
        <v>#DIV/0!</v>
      </c>
      <c r="L21" s="175" t="str">
        <f>'Cenários'!BH155</f>
        <v>#DIV/0!</v>
      </c>
      <c r="M21" s="175" t="str">
        <f>'Cenários'!BI155</f>
        <v>#DIV/0!</v>
      </c>
      <c r="N21" s="175" t="str">
        <f>'Cenários'!BJ155</f>
        <v>#DIV/0!</v>
      </c>
      <c r="O21" s="175" t="str">
        <f>'Cenários'!BK155</f>
        <v>#DIV/0!</v>
      </c>
      <c r="P21" s="175" t="str">
        <f>'Cenários'!BL155</f>
        <v>#DIV/0!</v>
      </c>
      <c r="Q21" s="175" t="str">
        <f>'Cenários'!BM155</f>
        <v>#DIV/0!</v>
      </c>
      <c r="R21" s="175" t="str">
        <f>'Cenários'!BN155</f>
        <v>#DIV/0!</v>
      </c>
      <c r="S21" s="175" t="str">
        <f>'Cenários'!BO155</f>
        <v>#DIV/0!</v>
      </c>
      <c r="T21" s="175" t="str">
        <f>'Cenários'!BP155</f>
        <v>#DIV/0!</v>
      </c>
      <c r="U21" s="175" t="str">
        <f>'Cenários'!BQ155</f>
        <v>#DIV/0!</v>
      </c>
      <c r="V21" s="175" t="str">
        <f>'Cenários'!BR155</f>
        <v>#DIV/0!</v>
      </c>
      <c r="W21" s="175" t="str">
        <f>'Cenários'!BS155</f>
        <v>#DIV/0!</v>
      </c>
      <c r="X21" s="175" t="str">
        <f>'Cenários'!BT155</f>
        <v>#DIV/0!</v>
      </c>
      <c r="Y21" s="175" t="str">
        <f>'Cenários'!BU155</f>
        <v>#DIV/0!</v>
      </c>
      <c r="Z21" s="175" t="str">
        <f>'Cenários'!BV155</f>
        <v>#DIV/0!</v>
      </c>
      <c r="AA21" s="175" t="str">
        <f>'Cenários'!BW155</f>
        <v>#DIV/0!</v>
      </c>
      <c r="AB21" s="175" t="str">
        <f>'Cenários'!BX155</f>
        <v>#DIV/0!</v>
      </c>
      <c r="AC21" s="175" t="str">
        <f>'Cenários'!BY155</f>
        <v>#DIV/0!</v>
      </c>
      <c r="AD21" s="175" t="str">
        <f>'Cenários'!BZ155</f>
        <v>#DIV/0!</v>
      </c>
      <c r="AE21" s="175" t="str">
        <f>'Cenários'!CA155</f>
        <v>#DIV/0!</v>
      </c>
      <c r="AF21" s="175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54" t="str">
        <f>'Cenários'!AV71</f>
        <v>PCE-PC1801</v>
      </c>
      <c r="B22" s="175">
        <f>'Cenários'!AW71</f>
        <v>2740</v>
      </c>
      <c r="C22" s="175" t="str">
        <f>'Cenários'!AX71</f>
        <v>OS</v>
      </c>
      <c r="D22" s="175" t="str">
        <f>'Cenários'!AY71</f>
        <v>PAMASP</v>
      </c>
      <c r="E22" s="355">
        <f>'Cenários'!AZ71</f>
        <v>201.3506944</v>
      </c>
      <c r="F22" s="356">
        <f>'Cenários'!BA71</f>
        <v>167.5833333</v>
      </c>
      <c r="G22" s="357" t="str">
        <f>'Cenários'!BB71</f>
        <v>#DIV/0!</v>
      </c>
      <c r="H22" s="358" t="str">
        <f>'Cenários'!BC71</f>
        <v>#DIV/0!</v>
      </c>
      <c r="I22" s="175" t="str">
        <f>'Cenários'!BE166</f>
        <v>#DIV/0!</v>
      </c>
      <c r="J22" s="175" t="str">
        <f>'Cenários'!BF166</f>
        <v>#DIV/0!</v>
      </c>
      <c r="K22" s="175" t="str">
        <f>'Cenários'!BG166</f>
        <v>#DIV/0!</v>
      </c>
      <c r="L22" s="175" t="str">
        <f>'Cenários'!BH166</f>
        <v>#DIV/0!</v>
      </c>
      <c r="M22" s="175" t="str">
        <f>'Cenários'!BI166</f>
        <v>#DIV/0!</v>
      </c>
      <c r="N22" s="175" t="str">
        <f>'Cenários'!BJ166</f>
        <v>#DIV/0!</v>
      </c>
      <c r="O22" s="175" t="str">
        <f>'Cenários'!BK166</f>
        <v>#DIV/0!</v>
      </c>
      <c r="P22" s="175" t="str">
        <f>'Cenários'!BL166</f>
        <v>#DIV/0!</v>
      </c>
      <c r="Q22" s="175" t="str">
        <f>'Cenários'!BM166</f>
        <v>#DIV/0!</v>
      </c>
      <c r="R22" s="175" t="str">
        <f>'Cenários'!BN166</f>
        <v>#DIV/0!</v>
      </c>
      <c r="S22" s="175" t="str">
        <f>'Cenários'!BO166</f>
        <v>#DIV/0!</v>
      </c>
      <c r="T22" s="175" t="str">
        <f>'Cenários'!BP166</f>
        <v>#DIV/0!</v>
      </c>
      <c r="U22" s="175" t="str">
        <f>'Cenários'!BQ166</f>
        <v>#DIV/0!</v>
      </c>
      <c r="V22" s="175" t="str">
        <f>'Cenários'!BR166</f>
        <v>#DIV/0!</v>
      </c>
      <c r="W22" s="175" t="str">
        <f>'Cenários'!BS166</f>
        <v>#DIV/0!</v>
      </c>
      <c r="X22" s="175" t="str">
        <f>'Cenários'!BT166</f>
        <v>#DIV/0!</v>
      </c>
      <c r="Y22" s="175" t="str">
        <f>'Cenários'!BU166</f>
        <v>#DIV/0!</v>
      </c>
      <c r="Z22" s="175" t="str">
        <f>'Cenários'!BV166</f>
        <v>#DIV/0!</v>
      </c>
      <c r="AA22" s="175" t="str">
        <f>'Cenários'!BW166</f>
        <v>#DIV/0!</v>
      </c>
      <c r="AB22" s="175" t="str">
        <f>'Cenários'!BX166</f>
        <v>#DIV/0!</v>
      </c>
      <c r="AC22" s="175" t="str">
        <f>'Cenários'!BY166</f>
        <v>#DIV/0!</v>
      </c>
      <c r="AD22" s="175" t="str">
        <f>'Cenários'!BZ166</f>
        <v>#DIV/0!</v>
      </c>
      <c r="AE22" s="175" t="str">
        <f>'Cenários'!CA166</f>
        <v>#DIV/0!</v>
      </c>
      <c r="AF22" s="175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54" t="str">
        <f>'Cenários'!AV65</f>
        <v>PCE-PC1391</v>
      </c>
      <c r="B23" s="175">
        <f>'Cenários'!AW65</f>
        <v>2728</v>
      </c>
      <c r="C23" s="175" t="str">
        <f>'Cenários'!AX65</f>
        <v>OS</v>
      </c>
      <c r="D23" s="175" t="str">
        <f>'Cenários'!AY65</f>
        <v>PAMASP</v>
      </c>
      <c r="E23" s="355">
        <f>'Cenários'!AZ65</f>
        <v>5.954861111</v>
      </c>
      <c r="F23" s="356">
        <f>'Cenários'!BA65</f>
        <v>1357.083333</v>
      </c>
      <c r="G23" s="357" t="str">
        <f>'Cenários'!BB65</f>
        <v>#DIV/0!</v>
      </c>
      <c r="H23" s="358" t="str">
        <f>'Cenários'!BC65</f>
        <v>#DIV/0!</v>
      </c>
      <c r="I23" s="175" t="str">
        <f>'Cenários'!BE160</f>
        <v>#DIV/0!</v>
      </c>
      <c r="J23" s="175" t="str">
        <f>'Cenários'!BF160</f>
        <v>#DIV/0!</v>
      </c>
      <c r="K23" s="175" t="str">
        <f>'Cenários'!BG160</f>
        <v>#DIV/0!</v>
      </c>
      <c r="L23" s="175" t="str">
        <f>'Cenários'!BH160</f>
        <v>#DIV/0!</v>
      </c>
      <c r="M23" s="175" t="str">
        <f>'Cenários'!BI160</f>
        <v>#DIV/0!</v>
      </c>
      <c r="N23" s="175" t="str">
        <f>'Cenários'!BJ160</f>
        <v>#DIV/0!</v>
      </c>
      <c r="O23" s="175" t="str">
        <f>'Cenários'!BK160</f>
        <v>#DIV/0!</v>
      </c>
      <c r="P23" s="175" t="str">
        <f>'Cenários'!BL160</f>
        <v>#DIV/0!</v>
      </c>
      <c r="Q23" s="175" t="str">
        <f>'Cenários'!BM160</f>
        <v>#DIV/0!</v>
      </c>
      <c r="R23" s="175" t="str">
        <f>'Cenários'!BN160</f>
        <v>#DIV/0!</v>
      </c>
      <c r="S23" s="175" t="str">
        <f>'Cenários'!BO160</f>
        <v>#DIV/0!</v>
      </c>
      <c r="T23" s="175" t="str">
        <f>'Cenários'!BP160</f>
        <v>#DIV/0!</v>
      </c>
      <c r="U23" s="175" t="str">
        <f>'Cenários'!BQ160</f>
        <v>#DIV/0!</v>
      </c>
      <c r="V23" s="175" t="str">
        <f>'Cenários'!BR160</f>
        <v>#DIV/0!</v>
      </c>
      <c r="W23" s="175" t="str">
        <f>'Cenários'!BS160</f>
        <v>#DIV/0!</v>
      </c>
      <c r="X23" s="175" t="str">
        <f>'Cenários'!BT160</f>
        <v>#DIV/0!</v>
      </c>
      <c r="Y23" s="175" t="str">
        <f>'Cenários'!BU160</f>
        <v>#DIV/0!</v>
      </c>
      <c r="Z23" s="175" t="str">
        <f>'Cenários'!BV160</f>
        <v>#DIV/0!</v>
      </c>
      <c r="AA23" s="175" t="str">
        <f>'Cenários'!BW160</f>
        <v>#DIV/0!</v>
      </c>
      <c r="AB23" s="175" t="str">
        <f>'Cenários'!BX160</f>
        <v>#DIV/0!</v>
      </c>
      <c r="AC23" s="175" t="str">
        <f>'Cenários'!BY160</f>
        <v>#DIV/0!</v>
      </c>
      <c r="AD23" s="175" t="str">
        <f>'Cenários'!BZ160</f>
        <v>#DIV/0!</v>
      </c>
      <c r="AE23" s="175" t="str">
        <f>'Cenários'!CA160</f>
        <v>#DIV/0!</v>
      </c>
      <c r="AF23" s="175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54" t="str">
        <f>'Cenários'!AV54</f>
        <v>PC-E17377</v>
      </c>
      <c r="B24" s="175">
        <f>'Cenários'!AW54</f>
        <v>2703</v>
      </c>
      <c r="C24" s="175" t="str">
        <f>'Cenários'!AX54</f>
        <v>APL</v>
      </c>
      <c r="D24" s="175" t="str">
        <f>'Cenários'!AY54</f>
        <v>1/5GAV</v>
      </c>
      <c r="E24" s="355">
        <f>'Cenários'!AZ54</f>
        <v>174.4305556</v>
      </c>
      <c r="F24" s="356">
        <f>'Cenários'!BA54</f>
        <v>313.6666667</v>
      </c>
      <c r="G24" s="357">
        <f>'Cenários'!BB54</f>
        <v>55.625</v>
      </c>
      <c r="H24" s="358">
        <f>'Cenários'!BC54</f>
        <v>5.638951311</v>
      </c>
      <c r="I24" s="175" t="str">
        <f>'Cenários'!BE149</f>
        <v/>
      </c>
      <c r="J24" s="175" t="str">
        <f>'Cenários'!BF149</f>
        <v/>
      </c>
      <c r="K24" s="175" t="str">
        <f>'Cenários'!BG149</f>
        <v/>
      </c>
      <c r="L24" s="175" t="str">
        <f>'Cenários'!BH149</f>
        <v/>
      </c>
      <c r="M24" s="175" t="str">
        <f>'Cenários'!BI149</f>
        <v/>
      </c>
      <c r="N24" s="175" t="str">
        <f>'Cenários'!BJ149</f>
        <v>HSI</v>
      </c>
      <c r="O24" s="175" t="str">
        <f>'Cenários'!BK149</f>
        <v/>
      </c>
      <c r="P24" s="175" t="str">
        <f>'Cenários'!BL149</f>
        <v/>
      </c>
      <c r="Q24" s="175" t="str">
        <f>'Cenários'!BM149</f>
        <v/>
      </c>
      <c r="R24" s="175" t="str">
        <f>'Cenários'!BN149</f>
        <v/>
      </c>
      <c r="S24" s="175" t="str">
        <f>'Cenários'!BO149</f>
        <v/>
      </c>
      <c r="T24" s="175" t="str">
        <f>'Cenários'!BP149</f>
        <v/>
      </c>
      <c r="U24" s="175" t="str">
        <f>'Cenários'!BQ149</f>
        <v/>
      </c>
      <c r="V24" s="175" t="str">
        <f>'Cenários'!BR149</f>
        <v/>
      </c>
      <c r="W24" s="175" t="str">
        <f>'Cenários'!BS149</f>
        <v>TBO</v>
      </c>
      <c r="X24" s="175" t="str">
        <f>'Cenários'!BT149</f>
        <v/>
      </c>
      <c r="Y24" s="175" t="str">
        <f>'Cenários'!BU149</f>
        <v/>
      </c>
      <c r="Z24" s="175" t="str">
        <f>'Cenários'!BV149</f>
        <v/>
      </c>
      <c r="AA24" s="175" t="str">
        <f>'Cenários'!BW149</f>
        <v/>
      </c>
      <c r="AB24" s="175" t="str">
        <f>'Cenários'!BX149</f>
        <v/>
      </c>
      <c r="AC24" s="175" t="str">
        <f>'Cenários'!BY149</f>
        <v/>
      </c>
      <c r="AD24" s="175" t="str">
        <f>'Cenários'!BZ149</f>
        <v/>
      </c>
      <c r="AE24" s="175" t="str">
        <f>'Cenários'!CA149</f>
        <v/>
      </c>
      <c r="AF24" s="175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54" t="str">
        <f>'Cenários'!AV90</f>
        <v>PCE-PC2358</v>
      </c>
      <c r="B25" s="175">
        <f>'Cenários'!AW90</f>
        <v>2736</v>
      </c>
      <c r="C25" s="175" t="str">
        <f>'Cenários'!AX90</f>
        <v>APL</v>
      </c>
      <c r="D25" s="175" t="str">
        <f>'Cenários'!AY90</f>
        <v>7ETA</v>
      </c>
      <c r="E25" s="355">
        <f>'Cenários'!AZ90</f>
        <v>166.3472222</v>
      </c>
      <c r="F25" s="356">
        <f>'Cenários'!BA90</f>
        <v>507.6666667</v>
      </c>
      <c r="G25" s="357">
        <f>'Cenários'!BB90</f>
        <v>4.411111111</v>
      </c>
      <c r="H25" s="358">
        <f>'Cenários'!BC90</f>
        <v>115.0881612</v>
      </c>
      <c r="I25" s="175" t="str">
        <f>'Cenários'!BE185</f>
        <v/>
      </c>
      <c r="J25" s="175" t="str">
        <f>'Cenários'!BF185</f>
        <v/>
      </c>
      <c r="K25" s="175" t="str">
        <f>'Cenários'!BG185</f>
        <v/>
      </c>
      <c r="L25" s="175" t="str">
        <f>'Cenários'!BH185</f>
        <v/>
      </c>
      <c r="M25" s="175" t="str">
        <f>'Cenários'!BI185</f>
        <v/>
      </c>
      <c r="N25" s="175" t="str">
        <f>'Cenários'!BJ185</f>
        <v/>
      </c>
      <c r="O25" s="175" t="str">
        <f>'Cenários'!BK185</f>
        <v/>
      </c>
      <c r="P25" s="175" t="str">
        <f>'Cenários'!BL185</f>
        <v/>
      </c>
      <c r="Q25" s="175" t="str">
        <f>'Cenários'!BM185</f>
        <v/>
      </c>
      <c r="R25" s="175" t="str">
        <f>'Cenários'!BN185</f>
        <v/>
      </c>
      <c r="S25" s="175" t="str">
        <f>'Cenários'!BO185</f>
        <v/>
      </c>
      <c r="T25" s="175" t="str">
        <f>'Cenários'!BP185</f>
        <v/>
      </c>
      <c r="U25" s="175" t="str">
        <f>'Cenários'!BQ185</f>
        <v/>
      </c>
      <c r="V25" s="175" t="str">
        <f>'Cenários'!BR185</f>
        <v/>
      </c>
      <c r="W25" s="175" t="str">
        <f>'Cenários'!BS185</f>
        <v/>
      </c>
      <c r="X25" s="175" t="str">
        <f>'Cenários'!BT185</f>
        <v/>
      </c>
      <c r="Y25" s="175" t="str">
        <f>'Cenários'!BU185</f>
        <v/>
      </c>
      <c r="Z25" s="175" t="str">
        <f>'Cenários'!BV185</f>
        <v/>
      </c>
      <c r="AA25" s="175" t="str">
        <f>'Cenários'!BW185</f>
        <v/>
      </c>
      <c r="AB25" s="175" t="str">
        <f>'Cenários'!BX185</f>
        <v/>
      </c>
      <c r="AC25" s="175" t="str">
        <f>'Cenários'!BY185</f>
        <v/>
      </c>
      <c r="AD25" s="175" t="str">
        <f>'Cenários'!BZ185</f>
        <v/>
      </c>
      <c r="AE25" s="175" t="str">
        <f>'Cenários'!CA185</f>
        <v/>
      </c>
      <c r="AF25" s="175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54" t="str">
        <f>'Cenários'!AV74</f>
        <v>PCE-PC1850</v>
      </c>
      <c r="B26" s="175">
        <f>'Cenários'!AW74</f>
        <v>2737</v>
      </c>
      <c r="C26" s="175" t="str">
        <f>'Cenários'!AX74</f>
        <v>REMOV</v>
      </c>
      <c r="D26" s="175" t="str">
        <f>'Cenários'!AY74</f>
        <v>BACO</v>
      </c>
      <c r="E26" s="355">
        <f>'Cenários'!AZ74</f>
        <v>0</v>
      </c>
      <c r="F26" s="356">
        <f>'Cenários'!BA74</f>
        <v>1500</v>
      </c>
      <c r="G26" s="357" t="b">
        <f>'Cenários'!BB74</f>
        <v>0</v>
      </c>
      <c r="H26" s="358" t="str">
        <f>'Cenários'!BC74</f>
        <v>#DIV/0!</v>
      </c>
      <c r="I26" s="175" t="str">
        <f>'Cenários'!BE169</f>
        <v>#DIV/0!</v>
      </c>
      <c r="J26" s="175" t="str">
        <f>'Cenários'!BF169</f>
        <v>#DIV/0!</v>
      </c>
      <c r="K26" s="175" t="str">
        <f>'Cenários'!BG169</f>
        <v>#DIV/0!</v>
      </c>
      <c r="L26" s="175" t="str">
        <f>'Cenários'!BH169</f>
        <v>#DIV/0!</v>
      </c>
      <c r="M26" s="175" t="str">
        <f>'Cenários'!BI169</f>
        <v>#DIV/0!</v>
      </c>
      <c r="N26" s="175" t="str">
        <f>'Cenários'!BJ169</f>
        <v>#DIV/0!</v>
      </c>
      <c r="O26" s="175" t="str">
        <f>'Cenários'!BK169</f>
        <v>#DIV/0!</v>
      </c>
      <c r="P26" s="175" t="str">
        <f>'Cenários'!BL169</f>
        <v>#DIV/0!</v>
      </c>
      <c r="Q26" s="175" t="str">
        <f>'Cenários'!BM169</f>
        <v>#DIV/0!</v>
      </c>
      <c r="R26" s="175" t="str">
        <f>'Cenários'!BN169</f>
        <v>#DIV/0!</v>
      </c>
      <c r="S26" s="175" t="str">
        <f>'Cenários'!BO169</f>
        <v>#DIV/0!</v>
      </c>
      <c r="T26" s="175" t="str">
        <f>'Cenários'!BP169</f>
        <v>#DIV/0!</v>
      </c>
      <c r="U26" s="175" t="str">
        <f>'Cenários'!BQ169</f>
        <v>#DIV/0!</v>
      </c>
      <c r="V26" s="175" t="str">
        <f>'Cenários'!BR169</f>
        <v>#DIV/0!</v>
      </c>
      <c r="W26" s="175" t="str">
        <f>'Cenários'!BS169</f>
        <v>#DIV/0!</v>
      </c>
      <c r="X26" s="175" t="str">
        <f>'Cenários'!BT169</f>
        <v>#DIV/0!</v>
      </c>
      <c r="Y26" s="175" t="str">
        <f>'Cenários'!BU169</f>
        <v>#DIV/0!</v>
      </c>
      <c r="Z26" s="175" t="str">
        <f>'Cenários'!BV169</f>
        <v>#DIV/0!</v>
      </c>
      <c r="AA26" s="175" t="str">
        <f>'Cenários'!BW169</f>
        <v>#DIV/0!</v>
      </c>
      <c r="AB26" s="175" t="str">
        <f>'Cenários'!BX169</f>
        <v>#DIV/0!</v>
      </c>
      <c r="AC26" s="175" t="str">
        <f>'Cenários'!BY169</f>
        <v>#DIV/0!</v>
      </c>
      <c r="AD26" s="175" t="str">
        <f>'Cenários'!BZ169</f>
        <v>#DIV/0!</v>
      </c>
      <c r="AE26" s="175" t="str">
        <f>'Cenários'!CA169</f>
        <v>#DIV/0!</v>
      </c>
      <c r="AF26" s="175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54" t="str">
        <f>'Cenários'!AV84</f>
        <v>PCE-PC2224</v>
      </c>
      <c r="B27" s="175">
        <f>'Cenários'!AW84</f>
        <v>2731</v>
      </c>
      <c r="C27" s="175" t="str">
        <f>'Cenários'!AX84</f>
        <v>REPARA</v>
      </c>
      <c r="D27" s="175" t="str">
        <f>'Cenários'!AY84</f>
        <v>PAMASP</v>
      </c>
      <c r="E27" s="355">
        <f>'Cenários'!AZ84</f>
        <v>20.08680556</v>
      </c>
      <c r="F27" s="356">
        <f>'Cenários'!BA84</f>
        <v>1017.916667</v>
      </c>
      <c r="G27" s="357" t="str">
        <f>'Cenários'!BB84</f>
        <v>#DIV/0!</v>
      </c>
      <c r="H27" s="358" t="str">
        <f>'Cenários'!BC84</f>
        <v>#DIV/0!</v>
      </c>
      <c r="I27" s="175" t="str">
        <f>'Cenários'!BE179</f>
        <v>#DIV/0!</v>
      </c>
      <c r="J27" s="175" t="str">
        <f>'Cenários'!BF179</f>
        <v>#DIV/0!</v>
      </c>
      <c r="K27" s="175" t="str">
        <f>'Cenários'!BG179</f>
        <v>#DIV/0!</v>
      </c>
      <c r="L27" s="175" t="str">
        <f>'Cenários'!BH179</f>
        <v>#DIV/0!</v>
      </c>
      <c r="M27" s="175" t="str">
        <f>'Cenários'!BI179</f>
        <v>#DIV/0!</v>
      </c>
      <c r="N27" s="175" t="str">
        <f>'Cenários'!BJ179</f>
        <v>#DIV/0!</v>
      </c>
      <c r="O27" s="175" t="str">
        <f>'Cenários'!BK179</f>
        <v>#DIV/0!</v>
      </c>
      <c r="P27" s="175" t="str">
        <f>'Cenários'!BL179</f>
        <v>#DIV/0!</v>
      </c>
      <c r="Q27" s="175" t="str">
        <f>'Cenários'!BM179</f>
        <v>#DIV/0!</v>
      </c>
      <c r="R27" s="175" t="str">
        <f>'Cenários'!BN179</f>
        <v>#DIV/0!</v>
      </c>
      <c r="S27" s="175" t="str">
        <f>'Cenários'!BO179</f>
        <v>#DIV/0!</v>
      </c>
      <c r="T27" s="175" t="str">
        <f>'Cenários'!BP179</f>
        <v>#DIV/0!</v>
      </c>
      <c r="U27" s="175" t="str">
        <f>'Cenários'!BQ179</f>
        <v>#DIV/0!</v>
      </c>
      <c r="V27" s="175" t="str">
        <f>'Cenários'!BR179</f>
        <v>#DIV/0!</v>
      </c>
      <c r="W27" s="175" t="str">
        <f>'Cenários'!BS179</f>
        <v>#DIV/0!</v>
      </c>
      <c r="X27" s="175" t="str">
        <f>'Cenários'!BT179</f>
        <v>#DIV/0!</v>
      </c>
      <c r="Y27" s="175" t="str">
        <f>'Cenários'!BU179</f>
        <v>#DIV/0!</v>
      </c>
      <c r="Z27" s="175" t="str">
        <f>'Cenários'!BV179</f>
        <v>#DIV/0!</v>
      </c>
      <c r="AA27" s="175" t="str">
        <f>'Cenários'!BW179</f>
        <v>#DIV/0!</v>
      </c>
      <c r="AB27" s="175" t="str">
        <f>'Cenários'!BX179</f>
        <v>#DIV/0!</v>
      </c>
      <c r="AC27" s="175" t="str">
        <f>'Cenários'!BY179</f>
        <v>#DIV/0!</v>
      </c>
      <c r="AD27" s="175" t="str">
        <f>'Cenários'!BZ179</f>
        <v>#DIV/0!</v>
      </c>
      <c r="AE27" s="175" t="str">
        <f>'Cenários'!CA179</f>
        <v>#DIV/0!</v>
      </c>
      <c r="AF27" s="175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54" t="str">
        <f>'Cenários'!AV55</f>
        <v>PC-EPC0431</v>
      </c>
      <c r="B28" s="175">
        <f>'Cenários'!AW55</f>
        <v>2719</v>
      </c>
      <c r="C28" s="175" t="str">
        <f>'Cenários'!AX55</f>
        <v>APL</v>
      </c>
      <c r="D28" s="175" t="str">
        <f>'Cenários'!AY55</f>
        <v>2ETA</v>
      </c>
      <c r="E28" s="355">
        <f>'Cenários'!AZ55</f>
        <v>180.9548611</v>
      </c>
      <c r="F28" s="356">
        <f>'Cenários'!BA55</f>
        <v>157.0833333</v>
      </c>
      <c r="G28" s="357">
        <f>'Cenários'!BB55</f>
        <v>10.97142857</v>
      </c>
      <c r="H28" s="358">
        <f>'Cenários'!BC55</f>
        <v>14.31749132</v>
      </c>
      <c r="I28" s="175" t="str">
        <f>'Cenários'!BE150</f>
        <v/>
      </c>
      <c r="J28" s="175" t="str">
        <f>'Cenários'!BF150</f>
        <v/>
      </c>
      <c r="K28" s="175" t="str">
        <f>'Cenários'!BG150</f>
        <v/>
      </c>
      <c r="L28" s="175" t="str">
        <f>'Cenários'!BH150</f>
        <v/>
      </c>
      <c r="M28" s="175" t="str">
        <f>'Cenários'!BI150</f>
        <v/>
      </c>
      <c r="N28" s="175" t="str">
        <f>'Cenários'!BJ150</f>
        <v/>
      </c>
      <c r="O28" s="175" t="str">
        <f>'Cenários'!BK150</f>
        <v/>
      </c>
      <c r="P28" s="175" t="str">
        <f>'Cenários'!BL150</f>
        <v/>
      </c>
      <c r="Q28" s="175" t="str">
        <f>'Cenários'!BM150</f>
        <v/>
      </c>
      <c r="R28" s="175" t="str">
        <f>'Cenários'!BN150</f>
        <v/>
      </c>
      <c r="S28" s="175" t="str">
        <f>'Cenários'!BO150</f>
        <v/>
      </c>
      <c r="T28" s="175" t="str">
        <f>'Cenários'!BP150</f>
        <v/>
      </c>
      <c r="U28" s="175" t="str">
        <f>'Cenários'!BQ150</f>
        <v/>
      </c>
      <c r="V28" s="175" t="str">
        <f>'Cenários'!BR150</f>
        <v/>
      </c>
      <c r="W28" s="175" t="str">
        <f>'Cenários'!BS150</f>
        <v>HSI</v>
      </c>
      <c r="X28" s="175" t="str">
        <f>'Cenários'!BT150</f>
        <v/>
      </c>
      <c r="Y28" s="175" t="str">
        <f>'Cenários'!BU150</f>
        <v/>
      </c>
      <c r="Z28" s="175" t="str">
        <f>'Cenários'!BV150</f>
        <v/>
      </c>
      <c r="AA28" s="175" t="str">
        <f>'Cenários'!BW150</f>
        <v/>
      </c>
      <c r="AB28" s="175" t="str">
        <f>'Cenários'!BX150</f>
        <v/>
      </c>
      <c r="AC28" s="175" t="str">
        <f>'Cenários'!BY150</f>
        <v/>
      </c>
      <c r="AD28" s="175" t="str">
        <f>'Cenários'!BZ150</f>
        <v/>
      </c>
      <c r="AE28" s="175" t="str">
        <f>'Cenários'!CA150</f>
        <v/>
      </c>
      <c r="AF28" s="175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54" t="str">
        <f>'Cenários'!AV80</f>
        <v>PCE-PC2055</v>
      </c>
      <c r="B29" s="175">
        <f>'Cenários'!AW80</f>
        <v>2722</v>
      </c>
      <c r="C29" s="175" t="str">
        <f>'Cenários'!AX80</f>
        <v>APL</v>
      </c>
      <c r="D29" s="175" t="str">
        <f>'Cenários'!AY80</f>
        <v>2ETA</v>
      </c>
      <c r="E29" s="355">
        <f>'Cenários'!AZ80</f>
        <v>173.2673611</v>
      </c>
      <c r="F29" s="356">
        <f>'Cenários'!BA80</f>
        <v>341.5833333</v>
      </c>
      <c r="G29" s="357">
        <f>'Cenários'!BB80</f>
        <v>10.97142857</v>
      </c>
      <c r="H29" s="358">
        <f>'Cenários'!BC80</f>
        <v>31.13389757</v>
      </c>
      <c r="I29" s="175" t="str">
        <f>'Cenários'!BE175</f>
        <v/>
      </c>
      <c r="J29" s="175" t="str">
        <f>'Cenários'!BF175</f>
        <v/>
      </c>
      <c r="K29" s="175" t="str">
        <f>'Cenários'!BG175</f>
        <v/>
      </c>
      <c r="L29" s="175" t="str">
        <f>'Cenários'!BH175</f>
        <v/>
      </c>
      <c r="M29" s="175" t="str">
        <f>'Cenários'!BI175</f>
        <v/>
      </c>
      <c r="N29" s="175" t="str">
        <f>'Cenários'!BJ175</f>
        <v/>
      </c>
      <c r="O29" s="175" t="str">
        <f>'Cenários'!BK175</f>
        <v/>
      </c>
      <c r="P29" s="175" t="str">
        <f>'Cenários'!BL175</f>
        <v/>
      </c>
      <c r="Q29" s="175" t="str">
        <f>'Cenários'!BM175</f>
        <v/>
      </c>
      <c r="R29" s="175" t="str">
        <f>'Cenários'!BN175</f>
        <v/>
      </c>
      <c r="S29" s="175" t="str">
        <f>'Cenários'!BO175</f>
        <v/>
      </c>
      <c r="T29" s="175" t="str">
        <f>'Cenários'!BP175</f>
        <v/>
      </c>
      <c r="U29" s="175" t="str">
        <f>'Cenários'!BQ175</f>
        <v/>
      </c>
      <c r="V29" s="175" t="str">
        <f>'Cenários'!BR175</f>
        <v/>
      </c>
      <c r="W29" s="175" t="str">
        <f>'Cenários'!BS175</f>
        <v/>
      </c>
      <c r="X29" s="175" t="str">
        <f>'Cenários'!BT175</f>
        <v/>
      </c>
      <c r="Y29" s="175" t="str">
        <f>'Cenários'!BU175</f>
        <v/>
      </c>
      <c r="Z29" s="175" t="str">
        <f>'Cenários'!BV175</f>
        <v/>
      </c>
      <c r="AA29" s="175" t="str">
        <f>'Cenários'!BW175</f>
        <v/>
      </c>
      <c r="AB29" s="175" t="str">
        <f>'Cenários'!BX175</f>
        <v/>
      </c>
      <c r="AC29" s="175" t="str">
        <f>'Cenários'!BY175</f>
        <v/>
      </c>
      <c r="AD29" s="175" t="str">
        <f>'Cenários'!BZ175</f>
        <v/>
      </c>
      <c r="AE29" s="175" t="str">
        <f>'Cenários'!CA175</f>
        <v/>
      </c>
      <c r="AF29" s="175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54" t="str">
        <f>'Cenários'!AV72</f>
        <v>PCE-PC1832</v>
      </c>
      <c r="B30" s="175">
        <f>'Cenários'!AW72</f>
        <v>2738</v>
      </c>
      <c r="C30" s="175" t="str">
        <f>'Cenários'!AX72</f>
        <v>RECOLH</v>
      </c>
      <c r="D30" s="175" t="str">
        <f>'Cenários'!AY72</f>
        <v>BAMN</v>
      </c>
      <c r="E30" s="355">
        <f>'Cenários'!AZ72</f>
        <v>185.4131944</v>
      </c>
      <c r="F30" s="356">
        <f>'Cenários'!BA72</f>
        <v>50.08333333</v>
      </c>
      <c r="G30" s="357">
        <f>'Cenários'!BB72</f>
        <v>1.428571429</v>
      </c>
      <c r="H30" s="358">
        <f>'Cenários'!BC72</f>
        <v>35.05833333</v>
      </c>
      <c r="I30" s="175" t="str">
        <f>'Cenários'!BE167</f>
        <v/>
      </c>
      <c r="J30" s="175" t="str">
        <f>'Cenários'!BF167</f>
        <v/>
      </c>
      <c r="K30" s="175" t="str">
        <f>'Cenários'!BG167</f>
        <v/>
      </c>
      <c r="L30" s="175" t="str">
        <f>'Cenários'!BH167</f>
        <v/>
      </c>
      <c r="M30" s="175" t="str">
        <f>'Cenários'!BI167</f>
        <v/>
      </c>
      <c r="N30" s="175" t="str">
        <f>'Cenários'!BJ167</f>
        <v/>
      </c>
      <c r="O30" s="175" t="str">
        <f>'Cenários'!BK167</f>
        <v/>
      </c>
      <c r="P30" s="175" t="str">
        <f>'Cenários'!BL167</f>
        <v/>
      </c>
      <c r="Q30" s="175" t="str">
        <f>'Cenários'!BM167</f>
        <v/>
      </c>
      <c r="R30" s="175" t="str">
        <f>'Cenários'!BN167</f>
        <v/>
      </c>
      <c r="S30" s="175" t="str">
        <f>'Cenários'!BO167</f>
        <v/>
      </c>
      <c r="T30" s="175" t="str">
        <f>'Cenários'!BP167</f>
        <v/>
      </c>
      <c r="U30" s="175" t="str">
        <f>'Cenários'!BQ167</f>
        <v/>
      </c>
      <c r="V30" s="175" t="str">
        <f>'Cenários'!BR167</f>
        <v/>
      </c>
      <c r="W30" s="175" t="str">
        <f>'Cenários'!BS167</f>
        <v/>
      </c>
      <c r="X30" s="175" t="str">
        <f>'Cenários'!BT167</f>
        <v/>
      </c>
      <c r="Y30" s="175" t="str">
        <f>'Cenários'!BU167</f>
        <v/>
      </c>
      <c r="Z30" s="175" t="str">
        <f>'Cenários'!BV167</f>
        <v/>
      </c>
      <c r="AA30" s="175" t="str">
        <f>'Cenários'!BW167</f>
        <v/>
      </c>
      <c r="AB30" s="175" t="str">
        <f>'Cenários'!BX167</f>
        <v/>
      </c>
      <c r="AC30" s="175" t="str">
        <f>'Cenários'!BY167</f>
        <v/>
      </c>
      <c r="AD30" s="175" t="str">
        <f>'Cenários'!BZ167</f>
        <v/>
      </c>
      <c r="AE30" s="175" t="str">
        <f>'Cenários'!CA167</f>
        <v/>
      </c>
      <c r="AF30" s="175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54" t="str">
        <f>'Cenários'!AV70</f>
        <v>PCE-PC1783</v>
      </c>
      <c r="B31" s="175">
        <f>'Cenários'!AW70</f>
        <v>2727</v>
      </c>
      <c r="C31" s="175" t="str">
        <f>'Cenários'!AX70</f>
        <v>RECOLH</v>
      </c>
      <c r="D31" s="175" t="str">
        <f>'Cenários'!AY70</f>
        <v>BACG</v>
      </c>
      <c r="E31" s="355">
        <f>'Cenários'!AZ70</f>
        <v>216.6666667</v>
      </c>
      <c r="F31" s="356">
        <f>'Cenários'!BA70</f>
        <v>-200</v>
      </c>
      <c r="G31" s="357" t="b">
        <f>'Cenários'!BB70</f>
        <v>0</v>
      </c>
      <c r="H31" s="358" t="str">
        <f>'Cenários'!BC70</f>
        <v>#DIV/0!</v>
      </c>
      <c r="I31" s="175" t="str">
        <f>'Cenários'!BE165</f>
        <v>#DIV/0!</v>
      </c>
      <c r="J31" s="175" t="str">
        <f>'Cenários'!BF165</f>
        <v>#DIV/0!</v>
      </c>
      <c r="K31" s="175" t="str">
        <f>'Cenários'!BG165</f>
        <v>#DIV/0!</v>
      </c>
      <c r="L31" s="175" t="str">
        <f>'Cenários'!BH165</f>
        <v>#DIV/0!</v>
      </c>
      <c r="M31" s="175" t="str">
        <f>'Cenários'!BI165</f>
        <v>#DIV/0!</v>
      </c>
      <c r="N31" s="175" t="str">
        <f>'Cenários'!BJ165</f>
        <v>#DIV/0!</v>
      </c>
      <c r="O31" s="175" t="str">
        <f>'Cenários'!BK165</f>
        <v>#DIV/0!</v>
      </c>
      <c r="P31" s="175" t="str">
        <f>'Cenários'!BL165</f>
        <v>#DIV/0!</v>
      </c>
      <c r="Q31" s="175" t="str">
        <f>'Cenários'!BM165</f>
        <v>#DIV/0!</v>
      </c>
      <c r="R31" s="175" t="str">
        <f>'Cenários'!BN165</f>
        <v>#DIV/0!</v>
      </c>
      <c r="S31" s="175" t="str">
        <f>'Cenários'!BO165</f>
        <v>#DIV/0!</v>
      </c>
      <c r="T31" s="175" t="str">
        <f>'Cenários'!BP165</f>
        <v>#DIV/0!</v>
      </c>
      <c r="U31" s="175" t="str">
        <f>'Cenários'!BQ165</f>
        <v>#DIV/0!</v>
      </c>
      <c r="V31" s="175" t="str">
        <f>'Cenários'!BR165</f>
        <v>#DIV/0!</v>
      </c>
      <c r="W31" s="175" t="str">
        <f>'Cenários'!BS165</f>
        <v>#DIV/0!</v>
      </c>
      <c r="X31" s="175" t="str">
        <f>'Cenários'!BT165</f>
        <v>#DIV/0!</v>
      </c>
      <c r="Y31" s="175" t="str">
        <f>'Cenários'!BU165</f>
        <v>#DIV/0!</v>
      </c>
      <c r="Z31" s="175" t="str">
        <f>'Cenários'!BV165</f>
        <v>#DIV/0!</v>
      </c>
      <c r="AA31" s="175" t="str">
        <f>'Cenários'!BW165</f>
        <v>#DIV/0!</v>
      </c>
      <c r="AB31" s="175" t="str">
        <f>'Cenários'!BX165</f>
        <v>#DIV/0!</v>
      </c>
      <c r="AC31" s="175" t="str">
        <f>'Cenários'!BY165</f>
        <v>#DIV/0!</v>
      </c>
      <c r="AD31" s="175" t="str">
        <f>'Cenários'!BZ165</f>
        <v>#DIV/0!</v>
      </c>
      <c r="AE31" s="175" t="str">
        <f>'Cenários'!CA165</f>
        <v>#DIV/0!</v>
      </c>
      <c r="AF31" s="175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54" t="str">
        <f>'Cenários'!AV83</f>
        <v>PCE-PC2223</v>
      </c>
      <c r="B32" s="175">
        <f>'Cenários'!AW83</f>
        <v>2723</v>
      </c>
      <c r="C32" s="175" t="str">
        <f>'Cenários'!AX83</f>
        <v>APL</v>
      </c>
      <c r="D32" s="175" t="str">
        <f>'Cenários'!AY83</f>
        <v>CLA</v>
      </c>
      <c r="E32" s="355">
        <f>'Cenários'!AZ83</f>
        <v>117.9444444</v>
      </c>
      <c r="F32" s="356">
        <f>'Cenários'!BA83</f>
        <v>169.3333333</v>
      </c>
      <c r="G32" s="357">
        <f>'Cenários'!BB83</f>
        <v>25.47619048</v>
      </c>
      <c r="H32" s="358">
        <f>'Cenários'!BC83</f>
        <v>6.646728972</v>
      </c>
      <c r="I32" s="175" t="str">
        <f>'Cenários'!BE178</f>
        <v/>
      </c>
      <c r="J32" s="175" t="str">
        <f>'Cenários'!BF178</f>
        <v/>
      </c>
      <c r="K32" s="175" t="str">
        <f>'Cenários'!BG178</f>
        <v/>
      </c>
      <c r="L32" s="175" t="str">
        <f>'Cenários'!BH178</f>
        <v/>
      </c>
      <c r="M32" s="175" t="str">
        <f>'Cenários'!BI178</f>
        <v/>
      </c>
      <c r="N32" s="175" t="str">
        <f>'Cenários'!BJ178</f>
        <v/>
      </c>
      <c r="O32" s="175" t="str">
        <f>'Cenários'!BK178</f>
        <v>HSI</v>
      </c>
      <c r="P32" s="175" t="str">
        <f>'Cenários'!BL178</f>
        <v/>
      </c>
      <c r="Q32" s="175" t="str">
        <f>'Cenários'!BM178</f>
        <v/>
      </c>
      <c r="R32" s="175" t="str">
        <f>'Cenários'!BN178</f>
        <v/>
      </c>
      <c r="S32" s="175" t="str">
        <f>'Cenários'!BO178</f>
        <v/>
      </c>
      <c r="T32" s="175" t="str">
        <f>'Cenários'!BP178</f>
        <v/>
      </c>
      <c r="U32" s="175" t="str">
        <f>'Cenários'!BQ178</f>
        <v/>
      </c>
      <c r="V32" s="175" t="str">
        <f>'Cenários'!BR178</f>
        <v/>
      </c>
      <c r="W32" s="175" t="str">
        <f>'Cenários'!BS178</f>
        <v/>
      </c>
      <c r="X32" s="175" t="str">
        <f>'Cenários'!BT178</f>
        <v/>
      </c>
      <c r="Y32" s="175" t="str">
        <f>'Cenários'!BU178</f>
        <v/>
      </c>
      <c r="Z32" s="175" t="str">
        <f>'Cenários'!BV178</f>
        <v/>
      </c>
      <c r="AA32" s="175" t="str">
        <f>'Cenários'!BW178</f>
        <v/>
      </c>
      <c r="AB32" s="175" t="str">
        <f>'Cenários'!BX178</f>
        <v/>
      </c>
      <c r="AC32" s="175" t="str">
        <f>'Cenários'!BY178</f>
        <v/>
      </c>
      <c r="AD32" s="175" t="str">
        <f>'Cenários'!BZ178</f>
        <v/>
      </c>
      <c r="AE32" s="175" t="str">
        <f>'Cenários'!CA178</f>
        <v/>
      </c>
      <c r="AF32" s="175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54" t="str">
        <f>'Cenários'!AV68</f>
        <v>PCE-PC1666</v>
      </c>
      <c r="B33" s="175">
        <f>'Cenários'!AW68</f>
        <v>2731</v>
      </c>
      <c r="C33" s="175" t="str">
        <f>'Cenários'!AX68</f>
        <v>APL</v>
      </c>
      <c r="D33" s="175" t="str">
        <f>'Cenários'!AY68</f>
        <v>1ETA</v>
      </c>
      <c r="E33" s="355">
        <f>'Cenários'!AZ68</f>
        <v>16.51041667</v>
      </c>
      <c r="F33" s="356">
        <f>'Cenários'!BA68</f>
        <v>1103.75</v>
      </c>
      <c r="G33" s="357">
        <f>'Cenários'!BB68</f>
        <v>19.3515873</v>
      </c>
      <c r="H33" s="358">
        <f>'Cenários'!BC68</f>
        <v>57.03666489</v>
      </c>
      <c r="I33" s="175" t="str">
        <f>'Cenários'!BE163</f>
        <v/>
      </c>
      <c r="J33" s="175" t="str">
        <f>'Cenários'!BF163</f>
        <v/>
      </c>
      <c r="K33" s="175" t="str">
        <f>'Cenários'!BG163</f>
        <v/>
      </c>
      <c r="L33" s="175" t="str">
        <f>'Cenários'!BH163</f>
        <v/>
      </c>
      <c r="M33" s="175" t="str">
        <f>'Cenários'!BI163</f>
        <v/>
      </c>
      <c r="N33" s="175" t="str">
        <f>'Cenários'!BJ163</f>
        <v/>
      </c>
      <c r="O33" s="175" t="str">
        <f>'Cenários'!BK163</f>
        <v/>
      </c>
      <c r="P33" s="175" t="str">
        <f>'Cenários'!BL163</f>
        <v/>
      </c>
      <c r="Q33" s="175" t="str">
        <f>'Cenários'!BM163</f>
        <v/>
      </c>
      <c r="R33" s="175" t="str">
        <f>'Cenários'!BN163</f>
        <v/>
      </c>
      <c r="S33" s="175" t="str">
        <f>'Cenários'!BO163</f>
        <v/>
      </c>
      <c r="T33" s="175" t="str">
        <f>'Cenários'!BP163</f>
        <v/>
      </c>
      <c r="U33" s="175" t="str">
        <f>'Cenários'!BQ163</f>
        <v/>
      </c>
      <c r="V33" s="175" t="str">
        <f>'Cenários'!BR163</f>
        <v/>
      </c>
      <c r="W33" s="175" t="str">
        <f>'Cenários'!BS163</f>
        <v/>
      </c>
      <c r="X33" s="175" t="str">
        <f>'Cenários'!BT163</f>
        <v/>
      </c>
      <c r="Y33" s="175" t="str">
        <f>'Cenários'!BU163</f>
        <v/>
      </c>
      <c r="Z33" s="175" t="str">
        <f>'Cenários'!BV163</f>
        <v/>
      </c>
      <c r="AA33" s="175" t="str">
        <f>'Cenários'!BW163</f>
        <v/>
      </c>
      <c r="AB33" s="175" t="str">
        <f>'Cenários'!BX163</f>
        <v/>
      </c>
      <c r="AC33" s="175" t="str">
        <f>'Cenários'!BY163</f>
        <v/>
      </c>
      <c r="AD33" s="175" t="str">
        <f>'Cenários'!BZ163</f>
        <v/>
      </c>
      <c r="AE33" s="175" t="str">
        <f>'Cenários'!CA163</f>
        <v/>
      </c>
      <c r="AF33" s="175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54" t="str">
        <f>'Cenários'!AV79</f>
        <v>PCE-PC2050</v>
      </c>
      <c r="B34" s="175">
        <f>'Cenários'!AW79</f>
        <v>2702</v>
      </c>
      <c r="C34" s="175" t="str">
        <f>'Cenários'!AX79</f>
        <v>APL</v>
      </c>
      <c r="D34" s="175" t="str">
        <f>'Cenários'!AY79</f>
        <v>1/5GAV</v>
      </c>
      <c r="E34" s="355">
        <f>'Cenários'!AZ79</f>
        <v>23.03472222</v>
      </c>
      <c r="F34" s="356">
        <f>'Cenários'!BA79</f>
        <v>947.1666667</v>
      </c>
      <c r="G34" s="357">
        <f>'Cenários'!BB79</f>
        <v>55.625</v>
      </c>
      <c r="H34" s="358">
        <f>'Cenários'!BC79</f>
        <v>17.02771536</v>
      </c>
      <c r="I34" s="175" t="str">
        <f>'Cenários'!BE174</f>
        <v/>
      </c>
      <c r="J34" s="175" t="str">
        <f>'Cenários'!BF174</f>
        <v/>
      </c>
      <c r="K34" s="175" t="str">
        <f>'Cenários'!BG174</f>
        <v/>
      </c>
      <c r="L34" s="175" t="str">
        <f>'Cenários'!BH174</f>
        <v/>
      </c>
      <c r="M34" s="175" t="str">
        <f>'Cenários'!BI174</f>
        <v/>
      </c>
      <c r="N34" s="175" t="str">
        <f>'Cenários'!BJ174</f>
        <v/>
      </c>
      <c r="O34" s="175" t="str">
        <f>'Cenários'!BK174</f>
        <v/>
      </c>
      <c r="P34" s="175" t="str">
        <f>'Cenários'!BL174</f>
        <v/>
      </c>
      <c r="Q34" s="175" t="str">
        <f>'Cenários'!BM174</f>
        <v/>
      </c>
      <c r="R34" s="175" t="str">
        <f>'Cenários'!BN174</f>
        <v/>
      </c>
      <c r="S34" s="175" t="str">
        <f>'Cenários'!BO174</f>
        <v/>
      </c>
      <c r="T34" s="175" t="str">
        <f>'Cenários'!BP174</f>
        <v/>
      </c>
      <c r="U34" s="175" t="str">
        <f>'Cenários'!BQ174</f>
        <v/>
      </c>
      <c r="V34" s="175" t="str">
        <f>'Cenários'!BR174</f>
        <v/>
      </c>
      <c r="W34" s="175" t="str">
        <f>'Cenários'!BS174</f>
        <v/>
      </c>
      <c r="X34" s="175" t="str">
        <f>'Cenários'!BT174</f>
        <v/>
      </c>
      <c r="Y34" s="175" t="str">
        <f>'Cenários'!BU174</f>
        <v/>
      </c>
      <c r="Z34" s="175" t="str">
        <f>'Cenários'!BV174</f>
        <v>HSI</v>
      </c>
      <c r="AA34" s="175" t="str">
        <f>'Cenários'!BW174</f>
        <v/>
      </c>
      <c r="AB34" s="175" t="str">
        <f>'Cenários'!BX174</f>
        <v/>
      </c>
      <c r="AC34" s="175" t="str">
        <f>'Cenários'!BY174</f>
        <v/>
      </c>
      <c r="AD34" s="175" t="str">
        <f>'Cenários'!BZ174</f>
        <v/>
      </c>
      <c r="AE34" s="175" t="str">
        <f>'Cenários'!CA174</f>
        <v/>
      </c>
      <c r="AF34" s="175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54" t="str">
        <f>'Cenários'!AV66</f>
        <v>PCE-PC1570</v>
      </c>
      <c r="B35" s="175">
        <f>'Cenários'!AW66</f>
        <v>2737</v>
      </c>
      <c r="C35" s="175" t="str">
        <f>'Cenários'!AX66</f>
        <v>APL</v>
      </c>
      <c r="D35" s="175" t="str">
        <f>'Cenários'!AY66</f>
        <v>7ETA</v>
      </c>
      <c r="E35" s="355">
        <f>'Cenários'!AZ66</f>
        <v>15.71875</v>
      </c>
      <c r="F35" s="356">
        <f>'Cenários'!BA66</f>
        <v>1122.75</v>
      </c>
      <c r="G35" s="357">
        <f>'Cenários'!BB66</f>
        <v>4.411111111</v>
      </c>
      <c r="H35" s="358">
        <f>'Cenários'!BC66</f>
        <v>254.5277078</v>
      </c>
      <c r="I35" s="175" t="str">
        <f>'Cenários'!BE161</f>
        <v/>
      </c>
      <c r="J35" s="175" t="str">
        <f>'Cenários'!BF161</f>
        <v/>
      </c>
      <c r="K35" s="175" t="str">
        <f>'Cenários'!BG161</f>
        <v/>
      </c>
      <c r="L35" s="175" t="str">
        <f>'Cenários'!BH161</f>
        <v/>
      </c>
      <c r="M35" s="175" t="str">
        <f>'Cenários'!BI161</f>
        <v/>
      </c>
      <c r="N35" s="175" t="str">
        <f>'Cenários'!BJ161</f>
        <v/>
      </c>
      <c r="O35" s="175" t="str">
        <f>'Cenários'!BK161</f>
        <v/>
      </c>
      <c r="P35" s="175" t="str">
        <f>'Cenários'!BL161</f>
        <v/>
      </c>
      <c r="Q35" s="175" t="str">
        <f>'Cenários'!BM161</f>
        <v/>
      </c>
      <c r="R35" s="175" t="str">
        <f>'Cenários'!BN161</f>
        <v/>
      </c>
      <c r="S35" s="175" t="str">
        <f>'Cenários'!BO161</f>
        <v/>
      </c>
      <c r="T35" s="175" t="str">
        <f>'Cenários'!BP161</f>
        <v/>
      </c>
      <c r="U35" s="175" t="str">
        <f>'Cenários'!BQ161</f>
        <v/>
      </c>
      <c r="V35" s="175" t="str">
        <f>'Cenários'!BR161</f>
        <v/>
      </c>
      <c r="W35" s="175" t="str">
        <f>'Cenários'!BS161</f>
        <v/>
      </c>
      <c r="X35" s="175" t="str">
        <f>'Cenários'!BT161</f>
        <v/>
      </c>
      <c r="Y35" s="175" t="str">
        <f>'Cenários'!BU161</f>
        <v/>
      </c>
      <c r="Z35" s="175" t="str">
        <f>'Cenários'!BV161</f>
        <v/>
      </c>
      <c r="AA35" s="175" t="str">
        <f>'Cenários'!BW161</f>
        <v/>
      </c>
      <c r="AB35" s="175" t="str">
        <f>'Cenários'!BX161</f>
        <v/>
      </c>
      <c r="AC35" s="175" t="str">
        <f>'Cenários'!BY161</f>
        <v/>
      </c>
      <c r="AD35" s="175" t="str">
        <f>'Cenários'!BZ161</f>
        <v/>
      </c>
      <c r="AE35" s="175" t="str">
        <f>'Cenários'!CA161</f>
        <v/>
      </c>
      <c r="AF35" s="175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54" t="str">
        <f>'Cenários'!AV87</f>
        <v>PCE-PC2261</v>
      </c>
      <c r="B36" s="175">
        <f>'Cenários'!AW87</f>
        <v>2720</v>
      </c>
      <c r="C36" s="175" t="str">
        <f>'Cenários'!AX87</f>
        <v>APL</v>
      </c>
      <c r="D36" s="175" t="str">
        <f>'Cenários'!AY87</f>
        <v>6ETA</v>
      </c>
      <c r="E36" s="355">
        <f>'Cenários'!AZ87</f>
        <v>133.7222222</v>
      </c>
      <c r="F36" s="356">
        <f>'Cenários'!BA87</f>
        <v>1290.666667</v>
      </c>
      <c r="G36" s="357">
        <f>'Cenários'!BB87</f>
        <v>0.05952380952</v>
      </c>
      <c r="H36" s="358">
        <f>'Cenários'!BC87</f>
        <v>21683.2</v>
      </c>
      <c r="I36" s="175" t="str">
        <f>'Cenários'!BE182</f>
        <v/>
      </c>
      <c r="J36" s="175" t="str">
        <f>'Cenários'!BF182</f>
        <v/>
      </c>
      <c r="K36" s="175" t="str">
        <f>'Cenários'!BG182</f>
        <v/>
      </c>
      <c r="L36" s="175" t="str">
        <f>'Cenários'!BH182</f>
        <v/>
      </c>
      <c r="M36" s="175" t="str">
        <f>'Cenários'!BI182</f>
        <v/>
      </c>
      <c r="N36" s="175" t="str">
        <f>'Cenários'!BJ182</f>
        <v/>
      </c>
      <c r="O36" s="175" t="str">
        <f>'Cenários'!BK182</f>
        <v/>
      </c>
      <c r="P36" s="175" t="str">
        <f>'Cenários'!BL182</f>
        <v/>
      </c>
      <c r="Q36" s="175" t="str">
        <f>'Cenários'!BM182</f>
        <v/>
      </c>
      <c r="R36" s="175" t="str">
        <f>'Cenários'!BN182</f>
        <v/>
      </c>
      <c r="S36" s="175" t="str">
        <f>'Cenários'!BO182</f>
        <v/>
      </c>
      <c r="T36" s="175" t="str">
        <f>'Cenários'!BP182</f>
        <v/>
      </c>
      <c r="U36" s="175" t="str">
        <f>'Cenários'!BQ182</f>
        <v/>
      </c>
      <c r="V36" s="175" t="str">
        <f>'Cenários'!BR182</f>
        <v/>
      </c>
      <c r="W36" s="175" t="str">
        <f>'Cenários'!BS182</f>
        <v/>
      </c>
      <c r="X36" s="175" t="str">
        <f>'Cenários'!BT182</f>
        <v/>
      </c>
      <c r="Y36" s="175" t="str">
        <f>'Cenários'!BU182</f>
        <v/>
      </c>
      <c r="Z36" s="175" t="str">
        <f>'Cenários'!BV182</f>
        <v/>
      </c>
      <c r="AA36" s="175" t="str">
        <f>'Cenários'!BW182</f>
        <v/>
      </c>
      <c r="AB36" s="175" t="str">
        <f>'Cenários'!BX182</f>
        <v/>
      </c>
      <c r="AC36" s="175" t="str">
        <f>'Cenários'!BY182</f>
        <v/>
      </c>
      <c r="AD36" s="175" t="str">
        <f>'Cenários'!BZ182</f>
        <v/>
      </c>
      <c r="AE36" s="175" t="str">
        <f>'Cenários'!CA182</f>
        <v/>
      </c>
      <c r="AF36" s="175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54" t="str">
        <f>'Cenários'!AV76</f>
        <v>PCE-PC1868</v>
      </c>
      <c r="B37" s="175">
        <f>'Cenários'!AW76</f>
        <v>2704</v>
      </c>
      <c r="C37" s="175" t="str">
        <f>'Cenários'!AX76</f>
        <v>APL</v>
      </c>
      <c r="D37" s="175" t="str">
        <f>'Cenários'!AY76</f>
        <v>PAMALS</v>
      </c>
      <c r="E37" s="355">
        <f>'Cenários'!AZ76</f>
        <v>203.0694444</v>
      </c>
      <c r="F37" s="356">
        <f>'Cenários'!BA76</f>
        <v>126.3333333</v>
      </c>
      <c r="G37" s="357" t="str">
        <f>'Cenários'!BB76</f>
        <v>#DIV/0!</v>
      </c>
      <c r="H37" s="358" t="str">
        <f>'Cenários'!BC76</f>
        <v>#DIV/0!</v>
      </c>
      <c r="I37" s="175" t="str">
        <f>'Cenários'!BE171</f>
        <v>#DIV/0!</v>
      </c>
      <c r="J37" s="175" t="str">
        <f>'Cenários'!BF171</f>
        <v>#DIV/0!</v>
      </c>
      <c r="K37" s="175" t="str">
        <f>'Cenários'!BG171</f>
        <v>#DIV/0!</v>
      </c>
      <c r="L37" s="175" t="str">
        <f>'Cenários'!BH171</f>
        <v>#DIV/0!</v>
      </c>
      <c r="M37" s="175" t="str">
        <f>'Cenários'!BI171</f>
        <v>#DIV/0!</v>
      </c>
      <c r="N37" s="175" t="str">
        <f>'Cenários'!BJ171</f>
        <v>#DIV/0!</v>
      </c>
      <c r="O37" s="175" t="str">
        <f>'Cenários'!BK171</f>
        <v>#DIV/0!</v>
      </c>
      <c r="P37" s="175" t="str">
        <f>'Cenários'!BL171</f>
        <v>#DIV/0!</v>
      </c>
      <c r="Q37" s="175" t="str">
        <f>'Cenários'!BM171</f>
        <v>#DIV/0!</v>
      </c>
      <c r="R37" s="175" t="str">
        <f>'Cenários'!BN171</f>
        <v>#DIV/0!</v>
      </c>
      <c r="S37" s="175" t="str">
        <f>'Cenários'!BO171</f>
        <v>#DIV/0!</v>
      </c>
      <c r="T37" s="175" t="str">
        <f>'Cenários'!BP171</f>
        <v>#DIV/0!</v>
      </c>
      <c r="U37" s="175" t="str">
        <f>'Cenários'!BQ171</f>
        <v>#DIV/0!</v>
      </c>
      <c r="V37" s="175" t="str">
        <f>'Cenários'!BR171</f>
        <v>#DIV/0!</v>
      </c>
      <c r="W37" s="175" t="str">
        <f>'Cenários'!BS171</f>
        <v>#DIV/0!</v>
      </c>
      <c r="X37" s="175" t="str">
        <f>'Cenários'!BT171</f>
        <v>#DIV/0!</v>
      </c>
      <c r="Y37" s="175" t="str">
        <f>'Cenários'!BU171</f>
        <v>#DIV/0!</v>
      </c>
      <c r="Z37" s="175" t="str">
        <f>'Cenários'!BV171</f>
        <v>#DIV/0!</v>
      </c>
      <c r="AA37" s="175" t="str">
        <f>'Cenários'!BW171</f>
        <v>#DIV/0!</v>
      </c>
      <c r="AB37" s="175" t="str">
        <f>'Cenários'!BX171</f>
        <v>#DIV/0!</v>
      </c>
      <c r="AC37" s="175" t="str">
        <f>'Cenários'!BY171</f>
        <v>#DIV/0!</v>
      </c>
      <c r="AD37" s="175" t="str">
        <f>'Cenários'!BZ171</f>
        <v>#DIV/0!</v>
      </c>
      <c r="AE37" s="175" t="str">
        <f>'Cenários'!CA171</f>
        <v>#DIV/0!</v>
      </c>
      <c r="AF37" s="175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54" t="str">
        <f>'Cenários'!AV75</f>
        <v>PCE-PC1860</v>
      </c>
      <c r="B38" s="175">
        <f>'Cenários'!AW75</f>
        <v>2741</v>
      </c>
      <c r="C38" s="175" t="str">
        <f>'Cenários'!AX75</f>
        <v>REMOV</v>
      </c>
      <c r="D38" s="175" t="str">
        <f>'Cenários'!AY75</f>
        <v>7ETA</v>
      </c>
      <c r="E38" s="355">
        <f>'Cenários'!AZ75</f>
        <v>128.9722222</v>
      </c>
      <c r="F38" s="356">
        <f>'Cenários'!BA75</f>
        <v>1404.666667</v>
      </c>
      <c r="G38" s="357">
        <f>'Cenários'!BB75</f>
        <v>4.411111111</v>
      </c>
      <c r="H38" s="358">
        <f>'Cenários'!BC75</f>
        <v>318.4382872</v>
      </c>
      <c r="I38" s="175" t="str">
        <f>'Cenários'!BE170</f>
        <v/>
      </c>
      <c r="J38" s="175" t="str">
        <f>'Cenários'!BF170</f>
        <v/>
      </c>
      <c r="K38" s="175" t="str">
        <f>'Cenários'!BG170</f>
        <v/>
      </c>
      <c r="L38" s="175" t="str">
        <f>'Cenários'!BH170</f>
        <v/>
      </c>
      <c r="M38" s="175" t="str">
        <f>'Cenários'!BI170</f>
        <v/>
      </c>
      <c r="N38" s="175" t="str">
        <f>'Cenários'!BJ170</f>
        <v/>
      </c>
      <c r="O38" s="175" t="str">
        <f>'Cenários'!BK170</f>
        <v/>
      </c>
      <c r="P38" s="175" t="str">
        <f>'Cenários'!BL170</f>
        <v/>
      </c>
      <c r="Q38" s="175" t="str">
        <f>'Cenários'!BM170</f>
        <v/>
      </c>
      <c r="R38" s="175" t="str">
        <f>'Cenários'!BN170</f>
        <v/>
      </c>
      <c r="S38" s="175" t="str">
        <f>'Cenários'!BO170</f>
        <v/>
      </c>
      <c r="T38" s="175" t="str">
        <f>'Cenários'!BP170</f>
        <v/>
      </c>
      <c r="U38" s="175" t="str">
        <f>'Cenários'!BQ170</f>
        <v/>
      </c>
      <c r="V38" s="175" t="str">
        <f>'Cenários'!BR170</f>
        <v/>
      </c>
      <c r="W38" s="175" t="str">
        <f>'Cenários'!BS170</f>
        <v/>
      </c>
      <c r="X38" s="175" t="str">
        <f>'Cenários'!BT170</f>
        <v/>
      </c>
      <c r="Y38" s="175" t="str">
        <f>'Cenários'!BU170</f>
        <v/>
      </c>
      <c r="Z38" s="175" t="str">
        <f>'Cenários'!BV170</f>
        <v/>
      </c>
      <c r="AA38" s="175" t="str">
        <f>'Cenários'!BW170</f>
        <v/>
      </c>
      <c r="AB38" s="175" t="str">
        <f>'Cenários'!BX170</f>
        <v/>
      </c>
      <c r="AC38" s="175" t="str">
        <f>'Cenários'!BY170</f>
        <v/>
      </c>
      <c r="AD38" s="175" t="str">
        <f>'Cenários'!BZ170</f>
        <v/>
      </c>
      <c r="AE38" s="175" t="str">
        <f>'Cenários'!CA170</f>
        <v/>
      </c>
      <c r="AF38" s="175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54" t="str">
        <f>'Cenários'!AV62</f>
        <v>PCE-PC0863</v>
      </c>
      <c r="B39" s="175">
        <f>'Cenários'!AW62</f>
        <v>2702</v>
      </c>
      <c r="C39" s="175" t="str">
        <f>'Cenários'!AX62</f>
        <v>REQUIS</v>
      </c>
      <c r="D39" s="175" t="str">
        <f>'Cenários'!AY62</f>
        <v>PAMASP</v>
      </c>
      <c r="E39" s="355">
        <f>'Cenários'!AZ62</f>
        <v>0</v>
      </c>
      <c r="F39" s="356">
        <f>'Cenários'!BA62</f>
        <v>1500</v>
      </c>
      <c r="G39" s="357" t="str">
        <f>'Cenários'!BB62</f>
        <v>#DIV/0!</v>
      </c>
      <c r="H39" s="358" t="str">
        <f>'Cenários'!BC62</f>
        <v>#DIV/0!</v>
      </c>
      <c r="I39" s="175" t="str">
        <f>'Cenários'!BE157</f>
        <v>#DIV/0!</v>
      </c>
      <c r="J39" s="175" t="str">
        <f>'Cenários'!BF157</f>
        <v>#DIV/0!</v>
      </c>
      <c r="K39" s="175" t="str">
        <f>'Cenários'!BG157</f>
        <v>#DIV/0!</v>
      </c>
      <c r="L39" s="175" t="str">
        <f>'Cenários'!BH157</f>
        <v>#DIV/0!</v>
      </c>
      <c r="M39" s="175" t="str">
        <f>'Cenários'!BI157</f>
        <v>#DIV/0!</v>
      </c>
      <c r="N39" s="175" t="str">
        <f>'Cenários'!BJ157</f>
        <v>#DIV/0!</v>
      </c>
      <c r="O39" s="175" t="str">
        <f>'Cenários'!BK157</f>
        <v>#DIV/0!</v>
      </c>
      <c r="P39" s="175" t="str">
        <f>'Cenários'!BL157</f>
        <v>#DIV/0!</v>
      </c>
      <c r="Q39" s="175" t="str">
        <f>'Cenários'!BM157</f>
        <v>#DIV/0!</v>
      </c>
      <c r="R39" s="175" t="str">
        <f>'Cenários'!BN157</f>
        <v>#DIV/0!</v>
      </c>
      <c r="S39" s="175" t="str">
        <f>'Cenários'!BO157</f>
        <v>#DIV/0!</v>
      </c>
      <c r="T39" s="175" t="str">
        <f>'Cenários'!BP157</f>
        <v>#DIV/0!</v>
      </c>
      <c r="U39" s="175" t="str">
        <f>'Cenários'!BQ157</f>
        <v>#DIV/0!</v>
      </c>
      <c r="V39" s="175" t="str">
        <f>'Cenários'!BR157</f>
        <v>#DIV/0!</v>
      </c>
      <c r="W39" s="175" t="str">
        <f>'Cenários'!BS157</f>
        <v>#DIV/0!</v>
      </c>
      <c r="X39" s="175" t="str">
        <f>'Cenários'!BT157</f>
        <v>#DIV/0!</v>
      </c>
      <c r="Y39" s="175" t="str">
        <f>'Cenários'!BU157</f>
        <v>#DIV/0!</v>
      </c>
      <c r="Z39" s="175" t="str">
        <f>'Cenários'!BV157</f>
        <v>#DIV/0!</v>
      </c>
      <c r="AA39" s="175" t="str">
        <f>'Cenários'!BW157</f>
        <v>#DIV/0!</v>
      </c>
      <c r="AB39" s="175" t="str">
        <f>'Cenários'!BX157</f>
        <v>#DIV/0!</v>
      </c>
      <c r="AC39" s="175" t="str">
        <f>'Cenários'!BY157</f>
        <v>#DIV/0!</v>
      </c>
      <c r="AD39" s="175" t="str">
        <f>'Cenários'!BZ157</f>
        <v>#DIV/0!</v>
      </c>
      <c r="AE39" s="175" t="str">
        <f>'Cenários'!CA157</f>
        <v>#DIV/0!</v>
      </c>
      <c r="AF39" s="175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67" t="str">
        <f>'Cenários'!AV92</f>
        <v/>
      </c>
      <c r="B40" s="369" t="str">
        <f>'Cenários'!AW92</f>
        <v/>
      </c>
      <c r="C40" s="369" t="str">
        <f>'Cenários'!AX92</f>
        <v/>
      </c>
      <c r="D40" s="369" t="str">
        <f>'Cenários'!AY92</f>
        <v/>
      </c>
      <c r="E40" s="371" t="str">
        <f>'Cenários'!AZ92</f>
        <v/>
      </c>
      <c r="F40" s="372"/>
      <c r="G40" s="373"/>
      <c r="H40" s="374" t="str">
        <f>'Cenários'!BC92</f>
        <v>#DIV/0!</v>
      </c>
      <c r="I40" s="375"/>
      <c r="J40" s="375"/>
      <c r="K40" s="375"/>
      <c r="L40" s="375"/>
      <c r="M40" s="376"/>
    </row>
    <row r="41">
      <c r="A41" s="216"/>
      <c r="B41" s="216"/>
      <c r="C41" s="216"/>
      <c r="D41" s="216"/>
      <c r="E41" s="216"/>
      <c r="F41" s="216"/>
      <c r="G41" s="216"/>
      <c r="H41" s="216"/>
      <c r="I41" s="378"/>
      <c r="J41" s="378"/>
      <c r="K41" s="378"/>
      <c r="L41" s="378"/>
      <c r="M41" s="378"/>
    </row>
    <row r="42">
      <c r="A42" s="216"/>
      <c r="B42" s="216"/>
      <c r="C42" s="216"/>
      <c r="D42" s="216"/>
      <c r="E42" s="216"/>
      <c r="F42" s="216"/>
      <c r="G42" s="216"/>
      <c r="H42" s="216"/>
      <c r="I42" s="380"/>
      <c r="J42" s="380"/>
      <c r="K42" s="380"/>
      <c r="L42" s="380"/>
      <c r="M42" s="380"/>
    </row>
    <row r="43">
      <c r="A43" s="381"/>
      <c r="B43" s="382" t="s">
        <v>331</v>
      </c>
      <c r="C43" s="384">
        <f>COUNTIF(C2:C39,"APL")</f>
        <v>19</v>
      </c>
      <c r="D43" s="369"/>
      <c r="E43" s="385"/>
      <c r="F43" s="386"/>
      <c r="G43" s="387"/>
      <c r="H43" s="369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336</v>
      </c>
      <c r="B44" s="173"/>
      <c r="C44" s="381"/>
      <c r="D44" s="369"/>
      <c r="E44" s="385"/>
      <c r="F44" s="386"/>
      <c r="G44" s="387"/>
      <c r="H44" s="369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148</v>
      </c>
      <c r="AJ50" s="392" t="s">
        <v>1</v>
      </c>
      <c r="AK50" s="391" t="s">
        <v>149</v>
      </c>
      <c r="AL50" s="391" t="s">
        <v>150</v>
      </c>
      <c r="AM50" s="391" t="s">
        <v>151</v>
      </c>
      <c r="AN50" s="391" t="s">
        <v>153</v>
      </c>
      <c r="AO50" s="393" t="s">
        <v>154</v>
      </c>
      <c r="AP50" s="394" t="s">
        <v>2</v>
      </c>
      <c r="AQ50" s="394" t="s">
        <v>31</v>
      </c>
      <c r="AR50" s="394" t="s">
        <v>340</v>
      </c>
      <c r="AS50" s="394" t="s">
        <v>3</v>
      </c>
      <c r="AT50" s="394" t="s">
        <v>341</v>
      </c>
      <c r="AV50" s="395" t="s">
        <v>342</v>
      </c>
      <c r="AW50" s="396"/>
      <c r="AX50" s="396"/>
      <c r="AY50" s="396"/>
      <c r="AZ50" s="396"/>
      <c r="BA50" s="396"/>
      <c r="BB50" s="397"/>
      <c r="BC50" s="396"/>
      <c r="BD50" s="396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8"/>
      <c r="AI51" s="56">
        <v>8.8</v>
      </c>
      <c r="AJ51" s="175" t="s">
        <v>245</v>
      </c>
      <c r="AK51" s="175" t="s">
        <v>245</v>
      </c>
      <c r="AL51" s="56">
        <v>38.83</v>
      </c>
      <c r="AM51" s="255">
        <f t="shared" ref="AM51:AM68" si="1">COUNTIF(AT:AT,AK51)</f>
        <v>1</v>
      </c>
      <c r="AN51" s="401">
        <f t="shared" ref="AN51:AN52" si="2">AM51</f>
        <v>1</v>
      </c>
      <c r="AO51" s="136">
        <f t="shared" ref="AO51:AO68" si="3">(AL51/AN51)/(13-$AI$51)</f>
        <v>9.245238095</v>
      </c>
      <c r="AP51" s="403">
        <v>2702.0</v>
      </c>
      <c r="AQ51" s="404" t="s">
        <v>62</v>
      </c>
      <c r="AR51" s="404" t="s">
        <v>166</v>
      </c>
      <c r="AS51" s="404" t="s">
        <v>65</v>
      </c>
      <c r="AT51" s="404" t="s">
        <v>245</v>
      </c>
      <c r="AV51" s="22"/>
      <c r="AW51" s="369"/>
      <c r="AX51" s="369"/>
      <c r="AY51" s="369"/>
      <c r="AZ51" s="369"/>
      <c r="BA51" s="369"/>
      <c r="BB51" s="373"/>
      <c r="BC51" s="369"/>
      <c r="BD51" s="369"/>
      <c r="CC51" s="399"/>
    </row>
    <row r="52">
      <c r="M52" s="388"/>
      <c r="AI52" s="378"/>
      <c r="AJ52" s="175" t="s">
        <v>243</v>
      </c>
      <c r="AK52" s="175" t="s">
        <v>243</v>
      </c>
      <c r="AL52" s="56">
        <v>22.67</v>
      </c>
      <c r="AM52" s="255">
        <f t="shared" si="1"/>
        <v>1</v>
      </c>
      <c r="AN52" s="401">
        <f t="shared" si="2"/>
        <v>1</v>
      </c>
      <c r="AO52" s="136">
        <f t="shared" si="3"/>
        <v>5.397619048</v>
      </c>
      <c r="AP52" s="405">
        <v>2703.0</v>
      </c>
      <c r="AQ52" s="406" t="s">
        <v>62</v>
      </c>
      <c r="AR52" s="406" t="s">
        <v>166</v>
      </c>
      <c r="AS52" s="406" t="s">
        <v>74</v>
      </c>
      <c r="AT52" s="406" t="s">
        <v>243</v>
      </c>
      <c r="AV52" s="339" t="s">
        <v>16</v>
      </c>
      <c r="AW52" s="339" t="s">
        <v>263</v>
      </c>
      <c r="AX52" s="339" t="s">
        <v>54</v>
      </c>
      <c r="AY52" s="339" t="s">
        <v>149</v>
      </c>
      <c r="AZ52" s="407" t="s">
        <v>17</v>
      </c>
      <c r="BA52" s="408" t="s">
        <v>18</v>
      </c>
      <c r="BB52" s="409" t="s">
        <v>19</v>
      </c>
      <c r="BC52" s="407" t="s">
        <v>22</v>
      </c>
      <c r="BD52" s="407" t="s">
        <v>347</v>
      </c>
      <c r="BE52" s="369" t="str">
        <f>LEFT(UPPER(TEXT(DATE(2025,'Cenários'!AI51,1),"mmmm")),3)</f>
        <v>AGO</v>
      </c>
      <c r="BF52" s="369" t="str">
        <f>LEFT(UPPER(TEXT(DATE(2025,'Cenários'!AI51+1,1),"mmmm")),3)</f>
        <v>SET</v>
      </c>
      <c r="BG52" s="369" t="str">
        <f>LEFT(UPPER(TEXT(DATE(2025,'Cenários'!AI51+2,1),"mmmm")),3)</f>
        <v>OUT</v>
      </c>
      <c r="BH52" s="369" t="str">
        <f>LEFT(UPPER(TEXT(DATE(2025,'Cenários'!AI51+3,1),"mmmm")),3)</f>
        <v>NOV</v>
      </c>
      <c r="BI52" s="369" t="str">
        <f>LEFT(UPPER(TEXT(DATE(2025,'Cenários'!AI51+4,1),"mmmm")),3)</f>
        <v>DEZ</v>
      </c>
      <c r="BJ52" s="369" t="str">
        <f>LEFT(UPPER(TEXT(DATE(2025,'Cenários'!AI51+5,1),"mmmm")),3)</f>
        <v>JAN</v>
      </c>
      <c r="BK52" s="369" t="str">
        <f>LEFT(UPPER(TEXT(DATE(2025,'Cenários'!AI51+6,1),"mmmm")),3)</f>
        <v>FEV</v>
      </c>
      <c r="BL52" s="369" t="str">
        <f>LEFT(UPPER(TEXT(DATE(2025,'Cenários'!AI51+7,1),"mmmm")),3)</f>
        <v>MAR</v>
      </c>
      <c r="BM52" s="369" t="str">
        <f>LEFT(UPPER(TEXT(DATE(2025,'Cenários'!AI51+8,1),"mmmm")),3)</f>
        <v>ABR</v>
      </c>
      <c r="BN52" s="369" t="str">
        <f>LEFT(UPPER(TEXT(DATE(2025,'Cenários'!AI51+9,1),"mmmm")),3)</f>
        <v>MAI</v>
      </c>
      <c r="BO52" s="369" t="str">
        <f>LEFT(UPPER(TEXT(DATE(2025,'Cenários'!AI51+10,1),"mmmm")),3)</f>
        <v>JUN</v>
      </c>
      <c r="BP52" s="369" t="str">
        <f>LEFT(UPPER(TEXT(DATE(2025,'Cenários'!AI51+11,1),"mmmm")),3)</f>
        <v>JUL</v>
      </c>
      <c r="BQ52" s="369" t="str">
        <f>LEFT(UPPER(TEXT(DATE(2025,'Cenários'!AI51+12,1),"mmmm")),3)</f>
        <v>AGO</v>
      </c>
      <c r="BR52" s="369" t="str">
        <f>LEFT(UPPER(TEXT(DATE(2025,'Cenários'!AI51+13,1),"mmmm")),3)</f>
        <v>SET</v>
      </c>
      <c r="BS52" s="369" t="str">
        <f>LEFT(UPPER(TEXT(DATE(2025,'Cenários'!AI51+14,1),"mmmm")),3)</f>
        <v>OUT</v>
      </c>
      <c r="BT52" s="369" t="str">
        <f>LEFT(UPPER(TEXT(DATE(2025,'Cenários'!AI51+15,1),"mmmm")),3)</f>
        <v>NOV</v>
      </c>
      <c r="BU52" s="369" t="str">
        <f>LEFT(UPPER(TEXT(DATE(2025,'Cenários'!AI51+16,1),"mmmm")),3)</f>
        <v>DEZ</v>
      </c>
      <c r="BV52" s="369" t="str">
        <f>LEFT(UPPER(TEXT(DATE(2025,'Cenários'!AI51+17,1),"mmmm")),3)</f>
        <v>JAN</v>
      </c>
      <c r="BW52" s="369" t="str">
        <f>LEFT(UPPER(TEXT(DATE(2025,'Cenários'!AI51+18,1),"mmmm")),3)</f>
        <v>FEV</v>
      </c>
      <c r="BX52" s="369" t="str">
        <f>LEFT(UPPER(TEXT(DATE(2025,'Cenários'!AI51+19,1),"mmmm")),3)</f>
        <v>MAR</v>
      </c>
      <c r="BY52" s="369" t="str">
        <f>LEFT(UPPER(TEXT(DATE(2025,'Cenários'!AI51+20,1),"mmmm")),3)</f>
        <v>ABR</v>
      </c>
      <c r="BZ52" s="369" t="str">
        <f>LEFT(UPPER(TEXT(DATE(2025,'Cenários'!AI51+21,1),"mmmm")),3)</f>
        <v>MAI</v>
      </c>
      <c r="CA52" s="369" t="str">
        <f>LEFT(UPPER(TEXT(DATE(2025,'Cenários'!AI51+22,1),"mmmm")),3)</f>
        <v>JUN</v>
      </c>
      <c r="CB52" s="369" t="str">
        <f>LEFT(UPPER(TEXT(DATE(2025,'Cenários'!AI51+23,1),"mmmm")),3)</f>
        <v>JUL</v>
      </c>
      <c r="CC52" s="369"/>
    </row>
    <row r="53">
      <c r="M53" s="388"/>
      <c r="AI53" s="378"/>
      <c r="AJ53" s="148" t="s">
        <v>72</v>
      </c>
      <c r="AK53" s="148" t="s">
        <v>114</v>
      </c>
      <c r="AL53" s="56">
        <v>934.5</v>
      </c>
      <c r="AM53" s="255">
        <f t="shared" si="1"/>
        <v>4</v>
      </c>
      <c r="AN53" s="56">
        <v>4.0</v>
      </c>
      <c r="AO53" s="136">
        <f t="shared" si="3"/>
        <v>55.625</v>
      </c>
      <c r="AP53" s="405">
        <v>2704.0</v>
      </c>
      <c r="AQ53" s="406">
        <v>3044000.0</v>
      </c>
      <c r="AR53" s="406" t="s">
        <v>161</v>
      </c>
      <c r="AS53" s="406" t="s">
        <v>95</v>
      </c>
      <c r="AT53" s="406" t="s">
        <v>114</v>
      </c>
      <c r="AV53" s="411" t="str">
        <f>SILOMS!O4</f>
        <v>PC-E17371</v>
      </c>
      <c r="AW53" s="339">
        <f>SILOMS!T4</f>
        <v>2702</v>
      </c>
      <c r="AX53" s="339" t="str">
        <f>SILOMS!Y4</f>
        <v>OS</v>
      </c>
      <c r="AY53" s="339" t="str">
        <f>SILOMS!G4</f>
        <v>PAMASP</v>
      </c>
      <c r="AZ53" s="412">
        <f>SILOMS!Q4</f>
        <v>214.1354167</v>
      </c>
      <c r="BA53" s="413">
        <f t="shared" ref="BA53:BA94" si="4">IF(AZ53*24&lt;1500,1500-(AZ53*24),IF(AZ53*24&lt;3000,3000-(AZ53*24),IF(AZ53*24&lt;4500,4500-(AZ53*24),5000-(AZ53*24))
))</f>
        <v>-139.25</v>
      </c>
      <c r="BB53" s="414" t="str">
        <f t="shared" ref="BB53:BB94" si="5">XLOOKUP(AY53,AJ:AJ,AO:AO,FALSE)</f>
        <v>#DIV/0!</v>
      </c>
      <c r="BC53" s="415" t="str">
        <f t="shared" ref="BC53:BC94" si="6">BA53/BB53</f>
        <v>#DIV/0!</v>
      </c>
      <c r="BD53" s="413" t="str">
        <f t="shared" ref="BD53:BD94" si="7">IF(AZ53*24&lt;1500,"HSI",IF(AZ53*24&lt;3000,"HSI",IF(AZ53*24&lt;4500,"HSI",IF(AZ53*24&lt;5000,"TBO","TBO"))))</f>
        <v>TBO</v>
      </c>
      <c r="BE53" s="255" t="str">
        <f t="shared" ref="BE53:BE96" si="8">IF(AND($BC53&gt;=-1000,$BC53&lt;1),$BD53,)</f>
        <v>#DIV/0!</v>
      </c>
      <c r="BF53" s="255" t="str">
        <f t="shared" ref="BF53:BF96" si="9">IF(AND($BC53&gt;=1,$BC53&lt;2),$BD53,)</f>
        <v>#DIV/0!</v>
      </c>
      <c r="BG53" s="255" t="str">
        <f t="shared" ref="BG53:BG96" si="10">IF(AND($BC53&gt;=2,$BC53&lt;3),$BD53,)</f>
        <v>#DIV/0!</v>
      </c>
      <c r="BH53" s="255" t="str">
        <f t="shared" ref="BH53:BH96" si="11">IF(AND($BC53&gt;=3,$BC53&lt;4),$BD53,)</f>
        <v>#DIV/0!</v>
      </c>
      <c r="BI53" s="255" t="str">
        <f t="shared" ref="BI53:BI96" si="12">IF(AND($BC53&gt;=4,$BC53&lt;5),$BD53,)</f>
        <v>#DIV/0!</v>
      </c>
      <c r="BJ53" s="255" t="str">
        <f t="shared" ref="BJ53:BJ96" si="13">IF(AND($BC53&gt;=5,$BC53&lt;6),$BD53,)</f>
        <v>#DIV/0!</v>
      </c>
      <c r="BK53" s="255" t="str">
        <f t="shared" ref="BK53:BK96" si="14">IF(AND($BC53&gt;=6,$BC53&lt;7),$BD53,)</f>
        <v>#DIV/0!</v>
      </c>
      <c r="BL53" s="255" t="str">
        <f t="shared" ref="BL53:BL96" si="15">IF(AND($BC53&gt;=7,$BC53&lt;8),$BD53,)</f>
        <v>#DIV/0!</v>
      </c>
      <c r="BM53" s="255" t="str">
        <f t="shared" ref="BM53:BM96" si="16">IF(AND($BC53&gt;=8,$BC53&lt;9),$BD53,)</f>
        <v>#DIV/0!</v>
      </c>
      <c r="BN53" s="255" t="str">
        <f t="shared" ref="BN53:BN96" si="17">IF(AND($BC53&gt;=9,$BC53&lt;10),$BD53,)</f>
        <v>#DIV/0!</v>
      </c>
      <c r="BO53" s="255" t="str">
        <f t="shared" ref="BO53:BO96" si="18">IF(AND($BC53&gt;=10,$BC53&lt;11),$BD53,)</f>
        <v>#DIV/0!</v>
      </c>
      <c r="BP53" s="255" t="str">
        <f t="shared" ref="BP53:BP96" si="19">IF(AND($BC53&gt;=11,$BC53&lt;12),$BD53,)</f>
        <v>#DIV/0!</v>
      </c>
      <c r="BQ53" s="255" t="str">
        <f t="shared" ref="BQ53:BQ96" si="20">IF(AND($BC53&gt;=12,$BC53&lt;13),$BD53,)</f>
        <v>#DIV/0!</v>
      </c>
      <c r="BR53" s="255" t="str">
        <f t="shared" ref="BR53:BR96" si="21">IF(AND($BC53&gt;=13,$BC53&lt;14),$BD53,)</f>
        <v>#DIV/0!</v>
      </c>
      <c r="BS53" s="255" t="str">
        <f t="shared" ref="BS53:BS96" si="22">IF(AND($BC53&gt;=14,$BC53&lt;15),$BD53,)</f>
        <v>#DIV/0!</v>
      </c>
      <c r="BT53" s="255" t="str">
        <f t="shared" ref="BT53:BT96" si="23">IF(AND($BC53&gt;=15,$BC53&lt;16),$BD53,)</f>
        <v>#DIV/0!</v>
      </c>
      <c r="BU53" s="255" t="str">
        <f t="shared" ref="BU53:BU96" si="24">IF(AND($BC53&gt;=16,$BC53&lt;17),$BD53,)</f>
        <v>#DIV/0!</v>
      </c>
      <c r="BV53" s="255" t="str">
        <f t="shared" ref="BV53:BV96" si="25">IF(AND($BC53&gt;=17,$BC53&lt;18),$BD53,)</f>
        <v>#DIV/0!</v>
      </c>
      <c r="BW53" s="255" t="str">
        <f t="shared" ref="BW53:BW96" si="26">IF(AND($BC53&gt;=18,$BC53&lt;19),$BD53,)</f>
        <v>#DIV/0!</v>
      </c>
      <c r="BX53" s="255" t="str">
        <f t="shared" ref="BX53:BX96" si="27">IF(AND($BC53&gt;=19,$BC53&lt;20),$BD53,)</f>
        <v>#DIV/0!</v>
      </c>
      <c r="BY53" s="255" t="str">
        <f t="shared" ref="BY53:BY96" si="28">IF(AND($BC53&gt;=20,$BC53&lt;21),$BD53,)</f>
        <v>#DIV/0!</v>
      </c>
      <c r="BZ53" s="255" t="str">
        <f t="shared" ref="BZ53:BZ96" si="29">IF(AND($BC53&gt;=21,$BC53&lt;22),$BD53,)</f>
        <v>#DIV/0!</v>
      </c>
      <c r="CA53" s="255" t="str">
        <f t="shared" ref="CA53:CA96" si="30">IF(AND($BC53&gt;=22,$BC53&lt;23),$BD53,)</f>
        <v>#DIV/0!</v>
      </c>
      <c r="CB53" s="255" t="str">
        <f t="shared" ref="CB53:CB96" si="31">IF(AND($BC53&gt;=23,$BC53&lt;24),$BD53,)</f>
        <v>#DIV/0!</v>
      </c>
      <c r="CC53" s="369"/>
    </row>
    <row r="54">
      <c r="M54" s="388"/>
      <c r="AI54" s="146"/>
      <c r="AJ54" s="175" t="s">
        <v>359</v>
      </c>
      <c r="AK54" s="175" t="s">
        <v>359</v>
      </c>
      <c r="AL54" s="56">
        <v>66.5</v>
      </c>
      <c r="AM54" s="255">
        <f t="shared" si="1"/>
        <v>0</v>
      </c>
      <c r="AN54" s="401">
        <f>AM54</f>
        <v>0</v>
      </c>
      <c r="AO54" s="136" t="str">
        <f t="shared" si="3"/>
        <v>#DIV/0!</v>
      </c>
      <c r="AP54" s="405">
        <v>2708.0</v>
      </c>
      <c r="AQ54" s="406">
        <v>3044000.0</v>
      </c>
      <c r="AR54" s="406" t="s">
        <v>161</v>
      </c>
      <c r="AS54" s="406" t="s">
        <v>67</v>
      </c>
      <c r="AT54" s="406" t="s">
        <v>114</v>
      </c>
      <c r="AV54" s="411" t="str">
        <f>SILOMS!O5</f>
        <v>PC-E17377</v>
      </c>
      <c r="AW54" s="339">
        <f>SILOMS!T5</f>
        <v>2703</v>
      </c>
      <c r="AX54" s="339" t="str">
        <f>SILOMS!Y5</f>
        <v>APL</v>
      </c>
      <c r="AY54" s="339" t="str">
        <f>SILOMS!G5</f>
        <v>1/5GAV</v>
      </c>
      <c r="AZ54" s="412">
        <f>SILOMS!Q5</f>
        <v>174.4305556</v>
      </c>
      <c r="BA54" s="413">
        <f t="shared" si="4"/>
        <v>313.6666667</v>
      </c>
      <c r="BB54" s="414">
        <f t="shared" si="5"/>
        <v>55.625</v>
      </c>
      <c r="BC54" s="415">
        <f t="shared" si="6"/>
        <v>5.638951311</v>
      </c>
      <c r="BD54" s="413" t="str">
        <f t="shared" si="7"/>
        <v>HSI</v>
      </c>
      <c r="BE54" s="255" t="str">
        <f t="shared" si="8"/>
        <v/>
      </c>
      <c r="BF54" s="255" t="str">
        <f t="shared" si="9"/>
        <v/>
      </c>
      <c r="BG54" s="255" t="str">
        <f t="shared" si="10"/>
        <v/>
      </c>
      <c r="BH54" s="255" t="str">
        <f t="shared" si="11"/>
        <v/>
      </c>
      <c r="BI54" s="255" t="str">
        <f t="shared" si="12"/>
        <v/>
      </c>
      <c r="BJ54" s="426" t="str">
        <f t="shared" si="13"/>
        <v>HSI</v>
      </c>
      <c r="BK54" s="255" t="str">
        <f t="shared" si="14"/>
        <v/>
      </c>
      <c r="BL54" s="255" t="str">
        <f t="shared" si="15"/>
        <v/>
      </c>
      <c r="BM54" s="426" t="str">
        <f t="shared" si="16"/>
        <v/>
      </c>
      <c r="BN54" s="255" t="str">
        <f t="shared" si="17"/>
        <v/>
      </c>
      <c r="BO54" s="255" t="str">
        <f t="shared" si="18"/>
        <v/>
      </c>
      <c r="BP54" s="255" t="str">
        <f t="shared" si="19"/>
        <v/>
      </c>
      <c r="BQ54" s="255" t="str">
        <f t="shared" si="20"/>
        <v/>
      </c>
      <c r="BR54" s="255" t="str">
        <f t="shared" si="21"/>
        <v/>
      </c>
      <c r="BS54" s="255" t="str">
        <f t="shared" si="22"/>
        <v/>
      </c>
      <c r="BT54" s="255" t="str">
        <f t="shared" si="23"/>
        <v/>
      </c>
      <c r="BU54" s="255" t="str">
        <f t="shared" si="24"/>
        <v/>
      </c>
      <c r="BV54" s="255" t="str">
        <f t="shared" si="25"/>
        <v/>
      </c>
      <c r="BW54" s="255" t="str">
        <f t="shared" si="26"/>
        <v/>
      </c>
      <c r="BX54" s="255" t="str">
        <f t="shared" si="27"/>
        <v/>
      </c>
      <c r="BY54" s="255" t="str">
        <f t="shared" si="28"/>
        <v/>
      </c>
      <c r="BZ54" s="255" t="str">
        <f t="shared" si="29"/>
        <v/>
      </c>
      <c r="CA54" s="255" t="str">
        <f t="shared" si="30"/>
        <v/>
      </c>
      <c r="CB54" s="255" t="str">
        <f t="shared" si="31"/>
        <v/>
      </c>
      <c r="CC54" s="369"/>
    </row>
    <row r="55">
      <c r="M55" s="388"/>
      <c r="AI55" s="399"/>
      <c r="AJ55" s="148" t="s">
        <v>171</v>
      </c>
      <c r="AK55" s="148" t="s">
        <v>131</v>
      </c>
      <c r="AL55" s="56">
        <v>0.5</v>
      </c>
      <c r="AM55" s="255">
        <f t="shared" si="1"/>
        <v>2</v>
      </c>
      <c r="AN55" s="56">
        <v>2.0</v>
      </c>
      <c r="AO55" s="136">
        <f t="shared" si="3"/>
        <v>0.05952380952</v>
      </c>
      <c r="AP55" s="405">
        <v>2709.0</v>
      </c>
      <c r="AQ55" s="406">
        <v>3044000.0</v>
      </c>
      <c r="AR55" s="406" t="s">
        <v>161</v>
      </c>
      <c r="AS55" s="406" t="s">
        <v>132</v>
      </c>
      <c r="AT55" s="406" t="s">
        <v>131</v>
      </c>
      <c r="AV55" s="411" t="str">
        <f>SILOMS!O6</f>
        <v>PC-EPC0431</v>
      </c>
      <c r="AW55" s="339">
        <f>SILOMS!T6</f>
        <v>2719</v>
      </c>
      <c r="AX55" s="339" t="str">
        <f>SILOMS!Y6</f>
        <v>APL</v>
      </c>
      <c r="AY55" s="339" t="str">
        <f>SILOMS!G6</f>
        <v>2ETA</v>
      </c>
      <c r="AZ55" s="412">
        <f>SILOMS!Q6</f>
        <v>180.9548611</v>
      </c>
      <c r="BA55" s="413">
        <f t="shared" si="4"/>
        <v>157.0833333</v>
      </c>
      <c r="BB55" s="414">
        <f t="shared" si="5"/>
        <v>10.97142857</v>
      </c>
      <c r="BC55" s="415">
        <f t="shared" si="6"/>
        <v>14.31749132</v>
      </c>
      <c r="BD55" s="413" t="str">
        <f t="shared" si="7"/>
        <v>HSI</v>
      </c>
      <c r="BE55" s="369" t="str">
        <f t="shared" si="8"/>
        <v/>
      </c>
      <c r="BF55" s="369" t="str">
        <f t="shared" si="9"/>
        <v/>
      </c>
      <c r="BG55" s="369" t="str">
        <f t="shared" si="10"/>
        <v/>
      </c>
      <c r="BH55" s="369" t="str">
        <f t="shared" si="11"/>
        <v/>
      </c>
      <c r="BI55" s="369" t="str">
        <f t="shared" si="12"/>
        <v/>
      </c>
      <c r="BJ55" s="369" t="str">
        <f t="shared" si="13"/>
        <v/>
      </c>
      <c r="BK55" s="426" t="str">
        <f t="shared" si="14"/>
        <v/>
      </c>
      <c r="BL55" s="369" t="str">
        <f t="shared" si="15"/>
        <v/>
      </c>
      <c r="BM55" s="369" t="str">
        <f t="shared" si="16"/>
        <v/>
      </c>
      <c r="BN55" s="369" t="str">
        <f t="shared" si="17"/>
        <v/>
      </c>
      <c r="BO55" s="369" t="str">
        <f t="shared" si="18"/>
        <v/>
      </c>
      <c r="BP55" s="369" t="str">
        <f t="shared" si="19"/>
        <v/>
      </c>
      <c r="BQ55" s="369" t="str">
        <f t="shared" si="20"/>
        <v/>
      </c>
      <c r="BR55" s="369" t="str">
        <f t="shared" si="21"/>
        <v/>
      </c>
      <c r="BS55" s="372" t="str">
        <f t="shared" si="22"/>
        <v>HSI</v>
      </c>
      <c r="BT55" s="369" t="str">
        <f t="shared" si="23"/>
        <v/>
      </c>
      <c r="BU55" s="369" t="str">
        <f t="shared" si="24"/>
        <v/>
      </c>
      <c r="BV55" s="369" t="str">
        <f t="shared" si="25"/>
        <v/>
      </c>
      <c r="BW55" s="369" t="str">
        <f t="shared" si="26"/>
        <v/>
      </c>
      <c r="BX55" s="369" t="str">
        <f t="shared" si="27"/>
        <v/>
      </c>
      <c r="BY55" s="369" t="str">
        <f t="shared" si="28"/>
        <v/>
      </c>
      <c r="BZ55" s="369" t="str">
        <f t="shared" si="29"/>
        <v/>
      </c>
      <c r="CA55" s="369" t="str">
        <f t="shared" si="30"/>
        <v/>
      </c>
      <c r="CB55" s="369" t="str">
        <f t="shared" si="31"/>
        <v/>
      </c>
      <c r="CC55" s="369"/>
    </row>
    <row r="56">
      <c r="M56" s="388"/>
      <c r="AI56" s="399"/>
      <c r="AJ56" s="148" t="s">
        <v>79</v>
      </c>
      <c r="AK56" s="148" t="s">
        <v>122</v>
      </c>
      <c r="AL56" s="56">
        <v>92.16</v>
      </c>
      <c r="AM56" s="255">
        <f t="shared" si="1"/>
        <v>2</v>
      </c>
      <c r="AN56" s="401">
        <f>AM56</f>
        <v>2</v>
      </c>
      <c r="AO56" s="136">
        <f t="shared" si="3"/>
        <v>10.97142857</v>
      </c>
      <c r="AP56" s="405">
        <v>2719.0</v>
      </c>
      <c r="AQ56" s="406">
        <v>3044000.0</v>
      </c>
      <c r="AR56" s="406" t="s">
        <v>161</v>
      </c>
      <c r="AS56" s="406" t="s">
        <v>81</v>
      </c>
      <c r="AT56" s="406" t="s">
        <v>122</v>
      </c>
      <c r="AV56" s="427" t="str">
        <f>SILOMS!O7</f>
        <v>PCE-PC0499</v>
      </c>
      <c r="AW56" s="428">
        <f>SILOMS!T7</f>
        <v>2728</v>
      </c>
      <c r="AX56" s="428" t="str">
        <f>SILOMS!Y7</f>
        <v>OS</v>
      </c>
      <c r="AY56" s="428" t="str">
        <f>SILOMS!G7</f>
        <v>PAMASP</v>
      </c>
      <c r="AZ56" s="429">
        <f>SILOMS!Q7</f>
        <v>2.465277778</v>
      </c>
      <c r="BA56" s="430">
        <f t="shared" si="4"/>
        <v>1440.833333</v>
      </c>
      <c r="BB56" s="431" t="str">
        <f t="shared" si="5"/>
        <v>#DIV/0!</v>
      </c>
      <c r="BC56" s="432" t="str">
        <f t="shared" si="6"/>
        <v>#DIV/0!</v>
      </c>
      <c r="BD56" s="430" t="str">
        <f t="shared" si="7"/>
        <v>HSI</v>
      </c>
      <c r="BE56" s="369" t="str">
        <f t="shared" si="8"/>
        <v>#DIV/0!</v>
      </c>
      <c r="BF56" s="369" t="str">
        <f t="shared" si="9"/>
        <v>#DIV/0!</v>
      </c>
      <c r="BG56" s="369" t="str">
        <f t="shared" si="10"/>
        <v>#DIV/0!</v>
      </c>
      <c r="BH56" s="369" t="str">
        <f t="shared" si="11"/>
        <v>#DIV/0!</v>
      </c>
      <c r="BI56" s="369" t="str">
        <f t="shared" si="12"/>
        <v>#DIV/0!</v>
      </c>
      <c r="BJ56" s="369" t="str">
        <f t="shared" si="13"/>
        <v>#DIV/0!</v>
      </c>
      <c r="BK56" s="369" t="str">
        <f t="shared" si="14"/>
        <v>#DIV/0!</v>
      </c>
      <c r="BL56" s="369" t="str">
        <f t="shared" si="15"/>
        <v>#DIV/0!</v>
      </c>
      <c r="BM56" s="369" t="str">
        <f t="shared" si="16"/>
        <v>#DIV/0!</v>
      </c>
      <c r="BN56" s="369" t="str">
        <f t="shared" si="17"/>
        <v>#DIV/0!</v>
      </c>
      <c r="BO56" s="369" t="str">
        <f t="shared" si="18"/>
        <v>#DIV/0!</v>
      </c>
      <c r="BP56" s="369" t="str">
        <f t="shared" si="19"/>
        <v>#DIV/0!</v>
      </c>
      <c r="BQ56" s="369" t="str">
        <f t="shared" si="20"/>
        <v>#DIV/0!</v>
      </c>
      <c r="BR56" s="369" t="str">
        <f t="shared" si="21"/>
        <v>#DIV/0!</v>
      </c>
      <c r="BS56" s="369" t="str">
        <f t="shared" si="22"/>
        <v>#DIV/0!</v>
      </c>
      <c r="BT56" s="369" t="str">
        <f t="shared" si="23"/>
        <v>#DIV/0!</v>
      </c>
      <c r="BU56" s="369" t="str">
        <f t="shared" si="24"/>
        <v>#DIV/0!</v>
      </c>
      <c r="BV56" s="369" t="str">
        <f t="shared" si="25"/>
        <v>#DIV/0!</v>
      </c>
      <c r="BW56" s="369" t="str">
        <f t="shared" si="26"/>
        <v>#DIV/0!</v>
      </c>
      <c r="BX56" s="369" t="str">
        <f t="shared" si="27"/>
        <v>#DIV/0!</v>
      </c>
      <c r="BY56" s="369" t="str">
        <f t="shared" si="28"/>
        <v>#DIV/0!</v>
      </c>
      <c r="BZ56" s="369" t="str">
        <f t="shared" si="29"/>
        <v>#DIV/0!</v>
      </c>
      <c r="CA56" s="369" t="str">
        <f t="shared" si="30"/>
        <v>#DIV/0!</v>
      </c>
      <c r="CB56" s="369" t="str">
        <f t="shared" si="31"/>
        <v>#DIV/0!</v>
      </c>
      <c r="CC56" s="369"/>
    </row>
    <row r="57">
      <c r="M57" s="388"/>
      <c r="AI57" s="3"/>
      <c r="AJ57" s="175" t="s">
        <v>73</v>
      </c>
      <c r="AK57" s="175" t="s">
        <v>73</v>
      </c>
      <c r="AL57" s="56">
        <v>107.0</v>
      </c>
      <c r="AM57" s="255">
        <f t="shared" si="1"/>
        <v>1</v>
      </c>
      <c r="AN57" s="401">
        <v>1.0</v>
      </c>
      <c r="AO57" s="136">
        <f t="shared" si="3"/>
        <v>25.47619048</v>
      </c>
      <c r="AP57" s="405">
        <v>2720.0</v>
      </c>
      <c r="AQ57" s="406">
        <v>3044000.0</v>
      </c>
      <c r="AR57" s="406" t="s">
        <v>161</v>
      </c>
      <c r="AS57" s="406" t="s">
        <v>133</v>
      </c>
      <c r="AT57" s="406" t="s">
        <v>131</v>
      </c>
      <c r="AV57" s="411" t="str">
        <f>SILOMS!O8</f>
        <v>PCE-PC0743</v>
      </c>
      <c r="AW57" s="339">
        <f>SILOMS!T8</f>
        <v>2742</v>
      </c>
      <c r="AX57" s="339" t="str">
        <f>SILOMS!Y8</f>
        <v>APL</v>
      </c>
      <c r="AY57" s="339" t="str">
        <f>SILOMS!G8</f>
        <v>DACTAII</v>
      </c>
      <c r="AZ57" s="412">
        <f>SILOMS!Q8</f>
        <v>32.93402778</v>
      </c>
      <c r="BA57" s="413">
        <f t="shared" si="4"/>
        <v>709.5833333</v>
      </c>
      <c r="BB57" s="414">
        <f t="shared" si="5"/>
        <v>9.542857143</v>
      </c>
      <c r="BC57" s="415">
        <f t="shared" si="6"/>
        <v>74.35753493</v>
      </c>
      <c r="BD57" s="413" t="str">
        <f t="shared" si="7"/>
        <v>HSI</v>
      </c>
      <c r="BE57" s="369" t="str">
        <f t="shared" si="8"/>
        <v/>
      </c>
      <c r="BF57" s="369" t="str">
        <f t="shared" si="9"/>
        <v/>
      </c>
      <c r="BG57" s="369" t="str">
        <f t="shared" si="10"/>
        <v/>
      </c>
      <c r="BH57" s="369" t="str">
        <f t="shared" si="11"/>
        <v/>
      </c>
      <c r="BI57" s="369" t="str">
        <f t="shared" si="12"/>
        <v/>
      </c>
      <c r="BJ57" s="369" t="str">
        <f t="shared" si="13"/>
        <v/>
      </c>
      <c r="BK57" s="372" t="str">
        <f t="shared" si="14"/>
        <v/>
      </c>
      <c r="BL57" s="369" t="str">
        <f t="shared" si="15"/>
        <v/>
      </c>
      <c r="BM57" s="369" t="str">
        <f t="shared" si="16"/>
        <v/>
      </c>
      <c r="BN57" s="369" t="str">
        <f t="shared" si="17"/>
        <v/>
      </c>
      <c r="BO57" s="369" t="str">
        <f t="shared" si="18"/>
        <v/>
      </c>
      <c r="BP57" s="369" t="str">
        <f t="shared" si="19"/>
        <v/>
      </c>
      <c r="BQ57" s="369" t="str">
        <f t="shared" si="20"/>
        <v/>
      </c>
      <c r="BR57" s="369" t="str">
        <f t="shared" si="21"/>
        <v/>
      </c>
      <c r="BS57" s="369" t="str">
        <f t="shared" si="22"/>
        <v/>
      </c>
      <c r="BT57" s="369" t="str">
        <f t="shared" si="23"/>
        <v/>
      </c>
      <c r="BU57" s="369" t="str">
        <f t="shared" si="24"/>
        <v/>
      </c>
      <c r="BV57" s="369" t="str">
        <f t="shared" si="25"/>
        <v/>
      </c>
      <c r="BW57" s="369" t="str">
        <f t="shared" si="26"/>
        <v/>
      </c>
      <c r="BX57" s="369" t="str">
        <f t="shared" si="27"/>
        <v/>
      </c>
      <c r="BY57" s="369" t="str">
        <f t="shared" si="28"/>
        <v/>
      </c>
      <c r="BZ57" s="369" t="str">
        <f t="shared" si="29"/>
        <v/>
      </c>
      <c r="CA57" s="369" t="str">
        <f t="shared" si="30"/>
        <v/>
      </c>
      <c r="CB57" s="369" t="str">
        <f t="shared" si="31"/>
        <v/>
      </c>
      <c r="CC57" s="369"/>
    </row>
    <row r="58">
      <c r="M58" s="388"/>
      <c r="AI58" s="146"/>
      <c r="AJ58" s="148" t="s">
        <v>120</v>
      </c>
      <c r="AK58" s="148" t="s">
        <v>107</v>
      </c>
      <c r="AL58" s="56">
        <v>51.33</v>
      </c>
      <c r="AM58" s="255">
        <f t="shared" si="1"/>
        <v>1</v>
      </c>
      <c r="AN58" s="401">
        <v>1.0</v>
      </c>
      <c r="AO58" s="136">
        <f t="shared" si="3"/>
        <v>12.22142857</v>
      </c>
      <c r="AP58" s="405">
        <v>2722.0</v>
      </c>
      <c r="AQ58" s="406">
        <v>3044000.0</v>
      </c>
      <c r="AR58" s="406" t="s">
        <v>161</v>
      </c>
      <c r="AS58" s="406" t="s">
        <v>125</v>
      </c>
      <c r="AT58" s="406" t="s">
        <v>122</v>
      </c>
      <c r="AV58" s="411" t="str">
        <f>SILOMS!O9</f>
        <v>PCE-PC0764</v>
      </c>
      <c r="AW58" s="339">
        <f>SILOMS!T9</f>
        <v>2734</v>
      </c>
      <c r="AX58" s="339" t="str">
        <f>SILOMS!Y9</f>
        <v>REPARA</v>
      </c>
      <c r="AY58" s="339" t="str">
        <f>SILOMS!G9</f>
        <v>PAMASP</v>
      </c>
      <c r="AZ58" s="412">
        <f>SILOMS!Q9</f>
        <v>208.2083333</v>
      </c>
      <c r="BA58" s="413">
        <f t="shared" si="4"/>
        <v>3</v>
      </c>
      <c r="BB58" s="414" t="str">
        <f t="shared" si="5"/>
        <v>#DIV/0!</v>
      </c>
      <c r="BC58" s="415" t="str">
        <f t="shared" si="6"/>
        <v>#DIV/0!</v>
      </c>
      <c r="BD58" s="413" t="str">
        <f t="shared" si="7"/>
        <v>TBO</v>
      </c>
      <c r="BE58" s="369" t="str">
        <f t="shared" si="8"/>
        <v>#DIV/0!</v>
      </c>
      <c r="BF58" s="369" t="str">
        <f t="shared" si="9"/>
        <v>#DIV/0!</v>
      </c>
      <c r="BG58" s="369" t="str">
        <f t="shared" si="10"/>
        <v>#DIV/0!</v>
      </c>
      <c r="BH58" s="369" t="str">
        <f t="shared" si="11"/>
        <v>#DIV/0!</v>
      </c>
      <c r="BI58" s="369" t="str">
        <f t="shared" si="12"/>
        <v>#DIV/0!</v>
      </c>
      <c r="BJ58" s="369" t="str">
        <f t="shared" si="13"/>
        <v>#DIV/0!</v>
      </c>
      <c r="BK58" s="369" t="str">
        <f t="shared" si="14"/>
        <v>#DIV/0!</v>
      </c>
      <c r="BL58" s="369" t="str">
        <f t="shared" si="15"/>
        <v>#DIV/0!</v>
      </c>
      <c r="BM58" s="369" t="str">
        <f t="shared" si="16"/>
        <v>#DIV/0!</v>
      </c>
      <c r="BN58" s="369" t="str">
        <f t="shared" si="17"/>
        <v>#DIV/0!</v>
      </c>
      <c r="BO58" s="369" t="str">
        <f t="shared" si="18"/>
        <v>#DIV/0!</v>
      </c>
      <c r="BP58" s="369" t="str">
        <f t="shared" si="19"/>
        <v>#DIV/0!</v>
      </c>
      <c r="BQ58" s="369" t="str">
        <f t="shared" si="20"/>
        <v>#DIV/0!</v>
      </c>
      <c r="BR58" s="369" t="str">
        <f t="shared" si="21"/>
        <v>#DIV/0!</v>
      </c>
      <c r="BS58" s="369" t="str">
        <f t="shared" si="22"/>
        <v>#DIV/0!</v>
      </c>
      <c r="BT58" s="369" t="str">
        <f t="shared" si="23"/>
        <v>#DIV/0!</v>
      </c>
      <c r="BU58" s="369" t="str">
        <f t="shared" si="24"/>
        <v>#DIV/0!</v>
      </c>
      <c r="BV58" s="369" t="str">
        <f t="shared" si="25"/>
        <v>#DIV/0!</v>
      </c>
      <c r="BW58" s="369" t="str">
        <f t="shared" si="26"/>
        <v>#DIV/0!</v>
      </c>
      <c r="BX58" s="369" t="str">
        <f t="shared" si="27"/>
        <v>#DIV/0!</v>
      </c>
      <c r="BY58" s="369" t="str">
        <f t="shared" si="28"/>
        <v>#DIV/0!</v>
      </c>
      <c r="BZ58" s="369" t="str">
        <f t="shared" si="29"/>
        <v>#DIV/0!</v>
      </c>
      <c r="CA58" s="369" t="str">
        <f t="shared" si="30"/>
        <v>#DIV/0!</v>
      </c>
      <c r="CB58" s="369" t="str">
        <f t="shared" si="31"/>
        <v>#DIV/0!</v>
      </c>
      <c r="CC58" s="369"/>
    </row>
    <row r="59">
      <c r="M59" s="388"/>
      <c r="AI59" s="399"/>
      <c r="AJ59" s="148" t="s">
        <v>110</v>
      </c>
      <c r="AK59" s="148" t="s">
        <v>97</v>
      </c>
      <c r="AL59" s="56">
        <v>243.83</v>
      </c>
      <c r="AM59" s="255">
        <f t="shared" si="1"/>
        <v>3</v>
      </c>
      <c r="AN59" s="401">
        <f>AM59</f>
        <v>3</v>
      </c>
      <c r="AO59" s="136">
        <f t="shared" si="3"/>
        <v>19.3515873</v>
      </c>
      <c r="AP59" s="405">
        <v>2723.0</v>
      </c>
      <c r="AQ59" s="406">
        <v>3044000.0</v>
      </c>
      <c r="AR59" s="406" t="s">
        <v>161</v>
      </c>
      <c r="AS59" s="406" t="s">
        <v>76</v>
      </c>
      <c r="AT59" s="406" t="s">
        <v>73</v>
      </c>
      <c r="AV59" s="411" t="str">
        <f>SILOMS!O10</f>
        <v>PCE-PC0776</v>
      </c>
      <c r="AW59" s="339">
        <f>SILOMS!T10</f>
        <v>2740</v>
      </c>
      <c r="AX59" s="339" t="str">
        <f>SILOMS!Y10</f>
        <v>APL</v>
      </c>
      <c r="AY59" s="339" t="str">
        <f>SILOMS!G10</f>
        <v>7ETA</v>
      </c>
      <c r="AZ59" s="412">
        <f>SILOMS!Q10</f>
        <v>137.5729167</v>
      </c>
      <c r="BA59" s="413">
        <f t="shared" si="4"/>
        <v>1198.25</v>
      </c>
      <c r="BB59" s="414">
        <f t="shared" si="5"/>
        <v>4.411111111</v>
      </c>
      <c r="BC59" s="415">
        <f t="shared" si="6"/>
        <v>271.6435768</v>
      </c>
      <c r="BD59" s="413" t="str">
        <f t="shared" si="7"/>
        <v>HSI</v>
      </c>
      <c r="BE59" s="255" t="str">
        <f t="shared" si="8"/>
        <v/>
      </c>
      <c r="BF59" s="255" t="str">
        <f t="shared" si="9"/>
        <v/>
      </c>
      <c r="BG59" s="255" t="str">
        <f t="shared" si="10"/>
        <v/>
      </c>
      <c r="BH59" s="255" t="str">
        <f t="shared" si="11"/>
        <v/>
      </c>
      <c r="BI59" s="255" t="str">
        <f t="shared" si="12"/>
        <v/>
      </c>
      <c r="BJ59" s="255" t="str">
        <f t="shared" si="13"/>
        <v/>
      </c>
      <c r="BK59" s="255" t="str">
        <f t="shared" si="14"/>
        <v/>
      </c>
      <c r="BL59" s="255" t="str">
        <f t="shared" si="15"/>
        <v/>
      </c>
      <c r="BM59" s="255" t="str">
        <f t="shared" si="16"/>
        <v/>
      </c>
      <c r="BN59" s="255" t="str">
        <f t="shared" si="17"/>
        <v/>
      </c>
      <c r="BO59" s="255" t="str">
        <f t="shared" si="18"/>
        <v/>
      </c>
      <c r="BP59" s="255" t="str">
        <f t="shared" si="19"/>
        <v/>
      </c>
      <c r="BQ59" s="255" t="str">
        <f t="shared" si="20"/>
        <v/>
      </c>
      <c r="BR59" s="255" t="str">
        <f t="shared" si="21"/>
        <v/>
      </c>
      <c r="BS59" s="255" t="str">
        <f t="shared" si="22"/>
        <v/>
      </c>
      <c r="BT59" s="255" t="str">
        <f t="shared" si="23"/>
        <v/>
      </c>
      <c r="BU59" s="255" t="str">
        <f t="shared" si="24"/>
        <v/>
      </c>
      <c r="BV59" s="255" t="str">
        <f t="shared" si="25"/>
        <v/>
      </c>
      <c r="BW59" s="255" t="str">
        <f t="shared" si="26"/>
        <v/>
      </c>
      <c r="BX59" s="255" t="str">
        <f t="shared" si="27"/>
        <v/>
      </c>
      <c r="BY59" s="255" t="str">
        <f t="shared" si="28"/>
        <v/>
      </c>
      <c r="BZ59" s="255" t="str">
        <f t="shared" si="29"/>
        <v/>
      </c>
      <c r="CA59" s="255" t="str">
        <f t="shared" si="30"/>
        <v/>
      </c>
      <c r="CB59" s="255" t="str">
        <f t="shared" si="31"/>
        <v/>
      </c>
      <c r="CC59" s="369"/>
    </row>
    <row r="60">
      <c r="M60" s="388"/>
      <c r="AI60" s="399"/>
      <c r="AJ60" s="148" t="s">
        <v>96</v>
      </c>
      <c r="AK60" s="148" t="s">
        <v>12</v>
      </c>
      <c r="AL60" s="56">
        <v>55.58</v>
      </c>
      <c r="AM60" s="255">
        <f t="shared" si="1"/>
        <v>3</v>
      </c>
      <c r="AN60" s="401">
        <v>3.0</v>
      </c>
      <c r="AO60" s="136">
        <f t="shared" si="3"/>
        <v>4.411111111</v>
      </c>
      <c r="AP60" s="405">
        <v>2727.0</v>
      </c>
      <c r="AQ60" s="406">
        <v>3044000.0</v>
      </c>
      <c r="AR60" s="406" t="s">
        <v>161</v>
      </c>
      <c r="AS60" s="406" t="s">
        <v>140</v>
      </c>
      <c r="AT60" s="406" t="s">
        <v>107</v>
      </c>
      <c r="AV60" s="411" t="str">
        <f>SILOMS!O11</f>
        <v>PCE-PC0790</v>
      </c>
      <c r="AW60" s="339">
        <f>SILOMS!T11</f>
        <v>2732</v>
      </c>
      <c r="AX60" s="339" t="str">
        <f>SILOMS!Y11</f>
        <v>REPARA</v>
      </c>
      <c r="AY60" s="339" t="str">
        <f>SILOMS!G11</f>
        <v>PAMASP</v>
      </c>
      <c r="AZ60" s="412">
        <f>SILOMS!Q11</f>
        <v>120.3923611</v>
      </c>
      <c r="BA60" s="413">
        <f t="shared" si="4"/>
        <v>110.5833333</v>
      </c>
      <c r="BB60" s="414" t="str">
        <f t="shared" si="5"/>
        <v>#DIV/0!</v>
      </c>
      <c r="BC60" s="415" t="str">
        <f t="shared" si="6"/>
        <v>#DIV/0!</v>
      </c>
      <c r="BD60" s="413" t="str">
        <f t="shared" si="7"/>
        <v>HSI</v>
      </c>
      <c r="BE60" s="369" t="str">
        <f t="shared" si="8"/>
        <v>#DIV/0!</v>
      </c>
      <c r="BF60" s="369" t="str">
        <f t="shared" si="9"/>
        <v>#DIV/0!</v>
      </c>
      <c r="BG60" s="369" t="str">
        <f t="shared" si="10"/>
        <v>#DIV/0!</v>
      </c>
      <c r="BH60" s="369" t="str">
        <f t="shared" si="11"/>
        <v>#DIV/0!</v>
      </c>
      <c r="BI60" s="369" t="str">
        <f t="shared" si="12"/>
        <v>#DIV/0!</v>
      </c>
      <c r="BJ60" s="369" t="str">
        <f t="shared" si="13"/>
        <v>#DIV/0!</v>
      </c>
      <c r="BK60" s="369" t="str">
        <f t="shared" si="14"/>
        <v>#DIV/0!</v>
      </c>
      <c r="BL60" s="369" t="str">
        <f t="shared" si="15"/>
        <v>#DIV/0!</v>
      </c>
      <c r="BM60" s="369" t="str">
        <f t="shared" si="16"/>
        <v>#DIV/0!</v>
      </c>
      <c r="BN60" s="369" t="str">
        <f t="shared" si="17"/>
        <v>#DIV/0!</v>
      </c>
      <c r="BO60" s="369" t="str">
        <f t="shared" si="18"/>
        <v>#DIV/0!</v>
      </c>
      <c r="BP60" s="369" t="str">
        <f t="shared" si="19"/>
        <v>#DIV/0!</v>
      </c>
      <c r="BQ60" s="369" t="str">
        <f t="shared" si="20"/>
        <v>#DIV/0!</v>
      </c>
      <c r="BR60" s="369" t="str">
        <f t="shared" si="21"/>
        <v>#DIV/0!</v>
      </c>
      <c r="BS60" s="369" t="str">
        <f t="shared" si="22"/>
        <v>#DIV/0!</v>
      </c>
      <c r="BT60" s="369" t="str">
        <f t="shared" si="23"/>
        <v>#DIV/0!</v>
      </c>
      <c r="BU60" s="369" t="str">
        <f t="shared" si="24"/>
        <v>#DIV/0!</v>
      </c>
      <c r="BV60" s="369" t="str">
        <f t="shared" si="25"/>
        <v>#DIV/0!</v>
      </c>
      <c r="BW60" s="369" t="str">
        <f t="shared" si="26"/>
        <v>#DIV/0!</v>
      </c>
      <c r="BX60" s="369" t="str">
        <f t="shared" si="27"/>
        <v>#DIV/0!</v>
      </c>
      <c r="BY60" s="369" t="str">
        <f t="shared" si="28"/>
        <v>#DIV/0!</v>
      </c>
      <c r="BZ60" s="369" t="str">
        <f t="shared" si="29"/>
        <v>#DIV/0!</v>
      </c>
      <c r="CA60" s="369" t="str">
        <f t="shared" si="30"/>
        <v>#DIV/0!</v>
      </c>
      <c r="CB60" s="369" t="str">
        <f t="shared" si="31"/>
        <v>#DIV/0!</v>
      </c>
      <c r="CC60" s="369"/>
    </row>
    <row r="61">
      <c r="M61" s="388"/>
      <c r="AI61" s="433"/>
      <c r="AJ61" s="175" t="s">
        <v>360</v>
      </c>
      <c r="AK61" s="175" t="s">
        <v>360</v>
      </c>
      <c r="AL61" s="56">
        <v>0.5</v>
      </c>
      <c r="AM61" s="255">
        <f t="shared" si="1"/>
        <v>1</v>
      </c>
      <c r="AN61" s="401">
        <f t="shared" ref="AN61:AN64" si="32">AM61</f>
        <v>1</v>
      </c>
      <c r="AO61" s="136">
        <f t="shared" si="3"/>
        <v>0.119047619</v>
      </c>
      <c r="AP61" s="405">
        <v>2728.0</v>
      </c>
      <c r="AQ61" s="406">
        <v>3044000.0</v>
      </c>
      <c r="AR61" s="406" t="s">
        <v>161</v>
      </c>
      <c r="AS61" s="406" t="s">
        <v>126</v>
      </c>
      <c r="AT61" s="406" t="s">
        <v>114</v>
      </c>
      <c r="AV61" s="411" t="str">
        <f>SILOMS!O12</f>
        <v>PCE-PC0797</v>
      </c>
      <c r="AW61" s="339">
        <f>SILOMS!T12</f>
        <v>2733</v>
      </c>
      <c r="AX61" s="339" t="str">
        <f>SILOMS!Y12</f>
        <v>APL</v>
      </c>
      <c r="AY61" s="339" t="str">
        <f>SILOMS!G12</f>
        <v>1ETA</v>
      </c>
      <c r="AZ61" s="412">
        <f>SILOMS!Q12</f>
        <v>172.3298611</v>
      </c>
      <c r="BA61" s="413">
        <f t="shared" si="4"/>
        <v>364.0833333</v>
      </c>
      <c r="BB61" s="414">
        <f t="shared" si="5"/>
        <v>19.3515873</v>
      </c>
      <c r="BC61" s="415">
        <f t="shared" si="6"/>
        <v>18.8141328</v>
      </c>
      <c r="BD61" s="413" t="str">
        <f t="shared" si="7"/>
        <v>HSI</v>
      </c>
      <c r="BE61" s="369" t="str">
        <f t="shared" si="8"/>
        <v/>
      </c>
      <c r="BF61" s="369" t="str">
        <f t="shared" si="9"/>
        <v/>
      </c>
      <c r="BG61" s="369" t="str">
        <f t="shared" si="10"/>
        <v/>
      </c>
      <c r="BH61" s="369" t="str">
        <f t="shared" si="11"/>
        <v/>
      </c>
      <c r="BI61" s="369" t="str">
        <f t="shared" si="12"/>
        <v/>
      </c>
      <c r="BJ61" s="369" t="str">
        <f t="shared" si="13"/>
        <v/>
      </c>
      <c r="BK61" s="369" t="str">
        <f t="shared" si="14"/>
        <v/>
      </c>
      <c r="BL61" s="369" t="str">
        <f t="shared" si="15"/>
        <v/>
      </c>
      <c r="BM61" s="369" t="str">
        <f t="shared" si="16"/>
        <v/>
      </c>
      <c r="BN61" s="369" t="str">
        <f t="shared" si="17"/>
        <v/>
      </c>
      <c r="BO61" s="369" t="str">
        <f t="shared" si="18"/>
        <v/>
      </c>
      <c r="BP61" s="369" t="str">
        <f t="shared" si="19"/>
        <v/>
      </c>
      <c r="BQ61" s="369" t="str">
        <f t="shared" si="20"/>
        <v/>
      </c>
      <c r="BR61" s="369" t="str">
        <f t="shared" si="21"/>
        <v/>
      </c>
      <c r="BS61" s="369" t="str">
        <f t="shared" si="22"/>
        <v/>
      </c>
      <c r="BT61" s="369" t="str">
        <f t="shared" si="23"/>
        <v/>
      </c>
      <c r="BU61" s="369" t="str">
        <f t="shared" si="24"/>
        <v/>
      </c>
      <c r="BV61" s="369" t="str">
        <f t="shared" si="25"/>
        <v/>
      </c>
      <c r="BW61" s="372" t="str">
        <f t="shared" si="26"/>
        <v>HSI</v>
      </c>
      <c r="BX61" s="369" t="str">
        <f t="shared" si="27"/>
        <v/>
      </c>
      <c r="BY61" s="369" t="str">
        <f t="shared" si="28"/>
        <v/>
      </c>
      <c r="BZ61" s="369" t="str">
        <f t="shared" si="29"/>
        <v/>
      </c>
      <c r="CA61" s="369" t="str">
        <f t="shared" si="30"/>
        <v/>
      </c>
      <c r="CB61" s="369" t="str">
        <f t="shared" si="31"/>
        <v/>
      </c>
      <c r="CC61" s="369"/>
    </row>
    <row r="62">
      <c r="M62" s="388"/>
      <c r="AI62" s="433"/>
      <c r="AJ62" s="175" t="s">
        <v>146</v>
      </c>
      <c r="AK62" s="175" t="s">
        <v>146</v>
      </c>
      <c r="AL62" s="56">
        <v>6.0</v>
      </c>
      <c r="AM62" s="255">
        <f t="shared" si="1"/>
        <v>1</v>
      </c>
      <c r="AN62" s="401">
        <f t="shared" si="32"/>
        <v>1</v>
      </c>
      <c r="AO62" s="136">
        <f t="shared" si="3"/>
        <v>1.428571429</v>
      </c>
      <c r="AP62" s="405">
        <v>2729.0</v>
      </c>
      <c r="AQ62" s="406">
        <v>3044000.0</v>
      </c>
      <c r="AR62" s="406" t="s">
        <v>161</v>
      </c>
      <c r="AS62" s="406" t="s">
        <v>144</v>
      </c>
      <c r="AT62" s="406" t="s">
        <v>114</v>
      </c>
      <c r="AV62" s="411" t="str">
        <f>SILOMS!O13</f>
        <v>PCE-PC0863</v>
      </c>
      <c r="AW62" s="339">
        <f>SILOMS!T13</f>
        <v>2702</v>
      </c>
      <c r="AX62" s="339" t="str">
        <f>SILOMS!Y13</f>
        <v>REQUIS</v>
      </c>
      <c r="AY62" s="339" t="str">
        <f>SILOMS!G13</f>
        <v>PAMASP</v>
      </c>
      <c r="AZ62" s="412">
        <f>SILOMS!Q13</f>
        <v>0</v>
      </c>
      <c r="BA62" s="413">
        <f t="shared" si="4"/>
        <v>1500</v>
      </c>
      <c r="BB62" s="414" t="str">
        <f t="shared" si="5"/>
        <v>#DIV/0!</v>
      </c>
      <c r="BC62" s="415" t="str">
        <f t="shared" si="6"/>
        <v>#DIV/0!</v>
      </c>
      <c r="BD62" s="413" t="str">
        <f t="shared" si="7"/>
        <v>HSI</v>
      </c>
      <c r="BE62" s="255" t="str">
        <f t="shared" si="8"/>
        <v>#DIV/0!</v>
      </c>
      <c r="BF62" s="255" t="str">
        <f t="shared" si="9"/>
        <v>#DIV/0!</v>
      </c>
      <c r="BG62" s="255" t="str">
        <f t="shared" si="10"/>
        <v>#DIV/0!</v>
      </c>
      <c r="BH62" s="255" t="str">
        <f t="shared" si="11"/>
        <v>#DIV/0!</v>
      </c>
      <c r="BI62" s="255" t="str">
        <f t="shared" si="12"/>
        <v>#DIV/0!</v>
      </c>
      <c r="BJ62" s="255" t="str">
        <f t="shared" si="13"/>
        <v>#DIV/0!</v>
      </c>
      <c r="BK62" s="255" t="str">
        <f t="shared" si="14"/>
        <v>#DIV/0!</v>
      </c>
      <c r="BL62" s="255" t="str">
        <f t="shared" si="15"/>
        <v>#DIV/0!</v>
      </c>
      <c r="BM62" s="255" t="str">
        <f t="shared" si="16"/>
        <v>#DIV/0!</v>
      </c>
      <c r="BN62" s="255" t="str">
        <f t="shared" si="17"/>
        <v>#DIV/0!</v>
      </c>
      <c r="BO62" s="255" t="str">
        <f t="shared" si="18"/>
        <v>#DIV/0!</v>
      </c>
      <c r="BP62" s="255" t="str">
        <f t="shared" si="19"/>
        <v>#DIV/0!</v>
      </c>
      <c r="BQ62" s="255" t="str">
        <f t="shared" si="20"/>
        <v>#DIV/0!</v>
      </c>
      <c r="BR62" s="255" t="str">
        <f t="shared" si="21"/>
        <v>#DIV/0!</v>
      </c>
      <c r="BS62" s="255" t="str">
        <f t="shared" si="22"/>
        <v>#DIV/0!</v>
      </c>
      <c r="BT62" s="255" t="str">
        <f t="shared" si="23"/>
        <v>#DIV/0!</v>
      </c>
      <c r="BU62" s="255" t="str">
        <f t="shared" si="24"/>
        <v>#DIV/0!</v>
      </c>
      <c r="BV62" s="255" t="str">
        <f t="shared" si="25"/>
        <v>#DIV/0!</v>
      </c>
      <c r="BW62" s="255" t="str">
        <f t="shared" si="26"/>
        <v>#DIV/0!</v>
      </c>
      <c r="BX62" s="255" t="str">
        <f t="shared" si="27"/>
        <v>#DIV/0!</v>
      </c>
      <c r="BY62" s="255" t="str">
        <f t="shared" si="28"/>
        <v>#DIV/0!</v>
      </c>
      <c r="BZ62" s="255" t="str">
        <f t="shared" si="29"/>
        <v>#DIV/0!</v>
      </c>
      <c r="CA62" s="255" t="str">
        <f t="shared" si="30"/>
        <v>#DIV/0!</v>
      </c>
      <c r="CB62" s="255" t="str">
        <f t="shared" si="31"/>
        <v>#DIV/0!</v>
      </c>
      <c r="CC62" s="369"/>
    </row>
    <row r="63">
      <c r="M63" s="388"/>
      <c r="AI63" s="378"/>
      <c r="AJ63" s="148" t="s">
        <v>87</v>
      </c>
      <c r="AK63" s="148" t="s">
        <v>78</v>
      </c>
      <c r="AL63" s="56">
        <v>40.08</v>
      </c>
      <c r="AM63" s="255">
        <f t="shared" si="1"/>
        <v>1</v>
      </c>
      <c r="AN63" s="401">
        <f t="shared" si="32"/>
        <v>1</v>
      </c>
      <c r="AO63" s="136">
        <f t="shared" si="3"/>
        <v>9.542857143</v>
      </c>
      <c r="AP63" s="405">
        <v>2731.0</v>
      </c>
      <c r="AQ63" s="406">
        <v>3044000.0</v>
      </c>
      <c r="AR63" s="406" t="s">
        <v>161</v>
      </c>
      <c r="AS63" s="406" t="s">
        <v>152</v>
      </c>
      <c r="AT63" s="406" t="s">
        <v>97</v>
      </c>
      <c r="AV63" s="411" t="str">
        <f>SILOMS!O14</f>
        <v>PCE-PC1002</v>
      </c>
      <c r="AW63" s="339">
        <f>SILOMS!T14</f>
        <v>2727</v>
      </c>
      <c r="AX63" s="339" t="str">
        <f>SILOMS!Y14</f>
        <v>APL</v>
      </c>
      <c r="AY63" s="339" t="str">
        <f>SILOMS!G14</f>
        <v>1/15GAV</v>
      </c>
      <c r="AZ63" s="412">
        <f>SILOMS!Q14</f>
        <v>4.232638889</v>
      </c>
      <c r="BA63" s="413">
        <f t="shared" si="4"/>
        <v>1398.416667</v>
      </c>
      <c r="BB63" s="414">
        <f t="shared" si="5"/>
        <v>12.22142857</v>
      </c>
      <c r="BC63" s="415">
        <f t="shared" si="6"/>
        <v>114.4233392</v>
      </c>
      <c r="BD63" s="413" t="str">
        <f t="shared" si="7"/>
        <v>HSI</v>
      </c>
      <c r="BE63" s="369" t="str">
        <f t="shared" si="8"/>
        <v/>
      </c>
      <c r="BF63" s="369" t="str">
        <f t="shared" si="9"/>
        <v/>
      </c>
      <c r="BG63" s="369" t="str">
        <f t="shared" si="10"/>
        <v/>
      </c>
      <c r="BH63" s="369" t="str">
        <f t="shared" si="11"/>
        <v/>
      </c>
      <c r="BI63" s="369" t="str">
        <f t="shared" si="12"/>
        <v/>
      </c>
      <c r="BJ63" s="369" t="str">
        <f t="shared" si="13"/>
        <v/>
      </c>
      <c r="BK63" s="369" t="str">
        <f t="shared" si="14"/>
        <v/>
      </c>
      <c r="BL63" s="369" t="str">
        <f t="shared" si="15"/>
        <v/>
      </c>
      <c r="BM63" s="369" t="str">
        <f t="shared" si="16"/>
        <v/>
      </c>
      <c r="BN63" s="369" t="str">
        <f t="shared" si="17"/>
        <v/>
      </c>
      <c r="BO63" s="369" t="str">
        <f t="shared" si="18"/>
        <v/>
      </c>
      <c r="BP63" s="369" t="str">
        <f t="shared" si="19"/>
        <v/>
      </c>
      <c r="BQ63" s="369" t="str">
        <f t="shared" si="20"/>
        <v/>
      </c>
      <c r="BR63" s="369" t="str">
        <f t="shared" si="21"/>
        <v/>
      </c>
      <c r="BS63" s="369" t="str">
        <f t="shared" si="22"/>
        <v/>
      </c>
      <c r="BT63" s="369" t="str">
        <f t="shared" si="23"/>
        <v/>
      </c>
      <c r="BU63" s="369" t="str">
        <f t="shared" si="24"/>
        <v/>
      </c>
      <c r="BV63" s="369" t="str">
        <f t="shared" si="25"/>
        <v/>
      </c>
      <c r="BW63" s="369" t="str">
        <f t="shared" si="26"/>
        <v/>
      </c>
      <c r="BX63" s="369" t="str">
        <f t="shared" si="27"/>
        <v/>
      </c>
      <c r="BY63" s="369" t="str">
        <f t="shared" si="28"/>
        <v/>
      </c>
      <c r="BZ63" s="369" t="str">
        <f t="shared" si="29"/>
        <v/>
      </c>
      <c r="CA63" s="369" t="str">
        <f t="shared" si="30"/>
        <v/>
      </c>
      <c r="CB63" s="369" t="str">
        <f t="shared" si="31"/>
        <v/>
      </c>
      <c r="CC63" s="369"/>
    </row>
    <row r="64">
      <c r="M64" s="388"/>
      <c r="AI64" s="433"/>
      <c r="AJ64" s="148" t="s">
        <v>169</v>
      </c>
      <c r="AK64" s="148" t="s">
        <v>129</v>
      </c>
      <c r="AL64" s="56">
        <v>0.5</v>
      </c>
      <c r="AM64" s="255">
        <f t="shared" si="1"/>
        <v>1</v>
      </c>
      <c r="AN64" s="401">
        <f t="shared" si="32"/>
        <v>1</v>
      </c>
      <c r="AO64" s="136">
        <f t="shared" si="3"/>
        <v>0.119047619</v>
      </c>
      <c r="AP64" s="405">
        <v>2733.0</v>
      </c>
      <c r="AQ64" s="406">
        <v>3044000.0</v>
      </c>
      <c r="AR64" s="406" t="s">
        <v>161</v>
      </c>
      <c r="AS64" s="406" t="s">
        <v>90</v>
      </c>
      <c r="AT64" s="406" t="s">
        <v>97</v>
      </c>
      <c r="AV64" s="411" t="str">
        <f>SILOMS!O15</f>
        <v>PCE-PC1211</v>
      </c>
      <c r="AW64" s="339">
        <f>SILOMS!T15</f>
        <v>2738</v>
      </c>
      <c r="AX64" s="339" t="str">
        <f>SILOMS!Y15</f>
        <v>APL</v>
      </c>
      <c r="AY64" s="339" t="str">
        <f>SILOMS!G15</f>
        <v>7ETA</v>
      </c>
      <c r="AZ64" s="412">
        <f>SILOMS!Q15</f>
        <v>4.170138889</v>
      </c>
      <c r="BA64" s="413">
        <f t="shared" si="4"/>
        <v>1399.916667</v>
      </c>
      <c r="BB64" s="414">
        <f t="shared" si="5"/>
        <v>4.411111111</v>
      </c>
      <c r="BC64" s="415">
        <f t="shared" si="6"/>
        <v>317.361461</v>
      </c>
      <c r="BD64" s="413" t="str">
        <f t="shared" si="7"/>
        <v>HSI</v>
      </c>
      <c r="BE64" s="369" t="str">
        <f t="shared" si="8"/>
        <v/>
      </c>
      <c r="BF64" s="369" t="str">
        <f t="shared" si="9"/>
        <v/>
      </c>
      <c r="BG64" s="369" t="str">
        <f t="shared" si="10"/>
        <v/>
      </c>
      <c r="BH64" s="369" t="str">
        <f t="shared" si="11"/>
        <v/>
      </c>
      <c r="BI64" s="426" t="str">
        <f t="shared" si="12"/>
        <v/>
      </c>
      <c r="BJ64" s="369" t="str">
        <f t="shared" si="13"/>
        <v/>
      </c>
      <c r="BK64" s="369" t="str">
        <f t="shared" si="14"/>
        <v/>
      </c>
      <c r="BL64" s="369" t="str">
        <f t="shared" si="15"/>
        <v/>
      </c>
      <c r="BM64" s="369" t="str">
        <f t="shared" si="16"/>
        <v/>
      </c>
      <c r="BN64" s="369" t="str">
        <f t="shared" si="17"/>
        <v/>
      </c>
      <c r="BO64" s="369" t="str">
        <f t="shared" si="18"/>
        <v/>
      </c>
      <c r="BP64" s="369" t="str">
        <f t="shared" si="19"/>
        <v/>
      </c>
      <c r="BQ64" s="369" t="str">
        <f t="shared" si="20"/>
        <v/>
      </c>
      <c r="BR64" s="369" t="str">
        <f t="shared" si="21"/>
        <v/>
      </c>
      <c r="BS64" s="369" t="str">
        <f t="shared" si="22"/>
        <v/>
      </c>
      <c r="BT64" s="369" t="str">
        <f t="shared" si="23"/>
        <v/>
      </c>
      <c r="BU64" s="369" t="str">
        <f t="shared" si="24"/>
        <v/>
      </c>
      <c r="BV64" s="369" t="str">
        <f t="shared" si="25"/>
        <v/>
      </c>
      <c r="BW64" s="369" t="str">
        <f t="shared" si="26"/>
        <v/>
      </c>
      <c r="BX64" s="369" t="str">
        <f t="shared" si="27"/>
        <v/>
      </c>
      <c r="BY64" s="369" t="str">
        <f t="shared" si="28"/>
        <v/>
      </c>
      <c r="BZ64" s="369" t="str">
        <f t="shared" si="29"/>
        <v/>
      </c>
      <c r="CA64" s="369" t="str">
        <f t="shared" si="30"/>
        <v/>
      </c>
      <c r="CB64" s="369" t="str">
        <f t="shared" si="31"/>
        <v/>
      </c>
      <c r="CC64" s="369"/>
    </row>
    <row r="65">
      <c r="M65" s="388"/>
      <c r="AI65" s="433"/>
      <c r="AJ65" s="175" t="s">
        <v>91</v>
      </c>
      <c r="AK65" s="175" t="s">
        <v>91</v>
      </c>
      <c r="AL65" s="56">
        <v>22.0</v>
      </c>
      <c r="AM65" s="255">
        <f t="shared" si="1"/>
        <v>0</v>
      </c>
      <c r="AN65" s="150">
        <v>0.0</v>
      </c>
      <c r="AO65" s="136" t="str">
        <f t="shared" si="3"/>
        <v>#DIV/0!</v>
      </c>
      <c r="AP65" s="405">
        <v>2736.0</v>
      </c>
      <c r="AQ65" s="406">
        <v>3044000.0</v>
      </c>
      <c r="AR65" s="406" t="s">
        <v>161</v>
      </c>
      <c r="AS65" s="406" t="s">
        <v>101</v>
      </c>
      <c r="AT65" s="406" t="s">
        <v>12</v>
      </c>
      <c r="AV65" s="411" t="str">
        <f>SILOMS!O16</f>
        <v>PCE-PC1391</v>
      </c>
      <c r="AW65" s="339">
        <f>SILOMS!T16</f>
        <v>2728</v>
      </c>
      <c r="AX65" s="339" t="str">
        <f>SILOMS!Y16</f>
        <v>OS</v>
      </c>
      <c r="AY65" s="339" t="str">
        <f>SILOMS!G16</f>
        <v>PAMASP</v>
      </c>
      <c r="AZ65" s="412">
        <f>SILOMS!Q16</f>
        <v>5.954861111</v>
      </c>
      <c r="BA65" s="413">
        <f t="shared" si="4"/>
        <v>1357.083333</v>
      </c>
      <c r="BB65" s="414" t="str">
        <f t="shared" si="5"/>
        <v>#DIV/0!</v>
      </c>
      <c r="BC65" s="415" t="str">
        <f t="shared" si="6"/>
        <v>#DIV/0!</v>
      </c>
      <c r="BD65" s="413" t="str">
        <f t="shared" si="7"/>
        <v>HSI</v>
      </c>
      <c r="BE65" s="369" t="str">
        <f t="shared" si="8"/>
        <v>#DIV/0!</v>
      </c>
      <c r="BF65" s="369" t="str">
        <f t="shared" si="9"/>
        <v>#DIV/0!</v>
      </c>
      <c r="BG65" s="369" t="str">
        <f t="shared" si="10"/>
        <v>#DIV/0!</v>
      </c>
      <c r="BH65" s="369" t="str">
        <f t="shared" si="11"/>
        <v>#DIV/0!</v>
      </c>
      <c r="BI65" s="369" t="str">
        <f t="shared" si="12"/>
        <v>#DIV/0!</v>
      </c>
      <c r="BJ65" s="369" t="str">
        <f t="shared" si="13"/>
        <v>#DIV/0!</v>
      </c>
      <c r="BK65" s="369" t="str">
        <f t="shared" si="14"/>
        <v>#DIV/0!</v>
      </c>
      <c r="BL65" s="369" t="str">
        <f t="shared" si="15"/>
        <v>#DIV/0!</v>
      </c>
      <c r="BM65" s="369" t="str">
        <f t="shared" si="16"/>
        <v>#DIV/0!</v>
      </c>
      <c r="BN65" s="369" t="str">
        <f t="shared" si="17"/>
        <v>#DIV/0!</v>
      </c>
      <c r="BO65" s="369" t="str">
        <f t="shared" si="18"/>
        <v>#DIV/0!</v>
      </c>
      <c r="BP65" s="369" t="str">
        <f t="shared" si="19"/>
        <v>#DIV/0!</v>
      </c>
      <c r="BQ65" s="426" t="str">
        <f t="shared" si="20"/>
        <v>#DIV/0!</v>
      </c>
      <c r="BR65" s="369" t="str">
        <f t="shared" si="21"/>
        <v>#DIV/0!</v>
      </c>
      <c r="BS65" s="369" t="str">
        <f t="shared" si="22"/>
        <v>#DIV/0!</v>
      </c>
      <c r="BT65" s="369" t="str">
        <f t="shared" si="23"/>
        <v>#DIV/0!</v>
      </c>
      <c r="BU65" s="369" t="str">
        <f t="shared" si="24"/>
        <v>#DIV/0!</v>
      </c>
      <c r="BV65" s="369" t="str">
        <f t="shared" si="25"/>
        <v>#DIV/0!</v>
      </c>
      <c r="BW65" s="369" t="str">
        <f t="shared" si="26"/>
        <v>#DIV/0!</v>
      </c>
      <c r="BX65" s="369" t="str">
        <f t="shared" si="27"/>
        <v>#DIV/0!</v>
      </c>
      <c r="BY65" s="369" t="str">
        <f t="shared" si="28"/>
        <v>#DIV/0!</v>
      </c>
      <c r="BZ65" s="369" t="str">
        <f t="shared" si="29"/>
        <v>#DIV/0!</v>
      </c>
      <c r="CA65" s="369" t="str">
        <f t="shared" si="30"/>
        <v>#DIV/0!</v>
      </c>
      <c r="CB65" s="369" t="str">
        <f t="shared" si="31"/>
        <v>#DIV/0!</v>
      </c>
      <c r="CC65" s="369"/>
    </row>
    <row r="66">
      <c r="M66" s="388"/>
      <c r="AI66" s="45"/>
      <c r="AJ66" s="175" t="s">
        <v>309</v>
      </c>
      <c r="AK66" s="175" t="s">
        <v>309</v>
      </c>
      <c r="AL66" s="56">
        <v>0.5</v>
      </c>
      <c r="AM66" s="255">
        <f t="shared" si="1"/>
        <v>0</v>
      </c>
      <c r="AN66" s="401">
        <f>AM66</f>
        <v>0</v>
      </c>
      <c r="AO66" s="136" t="str">
        <f t="shared" si="3"/>
        <v>#DIV/0!</v>
      </c>
      <c r="AP66" s="405">
        <v>2737.0</v>
      </c>
      <c r="AQ66" s="406">
        <v>3044000.0</v>
      </c>
      <c r="AR66" s="406" t="s">
        <v>161</v>
      </c>
      <c r="AS66" s="406" t="s">
        <v>21</v>
      </c>
      <c r="AT66" s="406" t="s">
        <v>12</v>
      </c>
      <c r="AV66" s="411" t="str">
        <f>SILOMS!O17</f>
        <v>PCE-PC1570</v>
      </c>
      <c r="AW66" s="339">
        <f>SILOMS!T17</f>
        <v>2737</v>
      </c>
      <c r="AX66" s="339" t="str">
        <f>SILOMS!Y17</f>
        <v>APL</v>
      </c>
      <c r="AY66" s="339" t="str">
        <f>SILOMS!G17</f>
        <v>7ETA</v>
      </c>
      <c r="AZ66" s="412">
        <f>SILOMS!Q17</f>
        <v>15.71875</v>
      </c>
      <c r="BA66" s="413">
        <f t="shared" si="4"/>
        <v>1122.75</v>
      </c>
      <c r="BB66" s="414">
        <f t="shared" si="5"/>
        <v>4.411111111</v>
      </c>
      <c r="BC66" s="415">
        <f t="shared" si="6"/>
        <v>254.5277078</v>
      </c>
      <c r="BD66" s="413" t="str">
        <f t="shared" si="7"/>
        <v>HSI</v>
      </c>
      <c r="BE66" s="369" t="str">
        <f t="shared" si="8"/>
        <v/>
      </c>
      <c r="BF66" s="369" t="str">
        <f t="shared" si="9"/>
        <v/>
      </c>
      <c r="BG66" s="369" t="str">
        <f t="shared" si="10"/>
        <v/>
      </c>
      <c r="BH66" s="369" t="str">
        <f t="shared" si="11"/>
        <v/>
      </c>
      <c r="BI66" s="369" t="str">
        <f t="shared" si="12"/>
        <v/>
      </c>
      <c r="BJ66" s="369" t="str">
        <f t="shared" si="13"/>
        <v/>
      </c>
      <c r="BK66" s="369" t="str">
        <f t="shared" si="14"/>
        <v/>
      </c>
      <c r="BL66" s="369" t="str">
        <f t="shared" si="15"/>
        <v/>
      </c>
      <c r="BM66" s="369" t="str">
        <f t="shared" si="16"/>
        <v/>
      </c>
      <c r="BN66" s="369" t="str">
        <f t="shared" si="17"/>
        <v/>
      </c>
      <c r="BO66" s="369" t="str">
        <f t="shared" si="18"/>
        <v/>
      </c>
      <c r="BP66" s="369" t="str">
        <f t="shared" si="19"/>
        <v/>
      </c>
      <c r="BQ66" s="369" t="str">
        <f t="shared" si="20"/>
        <v/>
      </c>
      <c r="BR66" s="369" t="str">
        <f t="shared" si="21"/>
        <v/>
      </c>
      <c r="BS66" s="369" t="str">
        <f t="shared" si="22"/>
        <v/>
      </c>
      <c r="BT66" s="369" t="str">
        <f t="shared" si="23"/>
        <v/>
      </c>
      <c r="BU66" s="369" t="str">
        <f t="shared" si="24"/>
        <v/>
      </c>
      <c r="BV66" s="369" t="str">
        <f t="shared" si="25"/>
        <v/>
      </c>
      <c r="BW66" s="369" t="str">
        <f t="shared" si="26"/>
        <v/>
      </c>
      <c r="BX66" s="369" t="str">
        <f t="shared" si="27"/>
        <v/>
      </c>
      <c r="BY66" s="369" t="str">
        <f t="shared" si="28"/>
        <v/>
      </c>
      <c r="BZ66" s="369" t="str">
        <f t="shared" si="29"/>
        <v/>
      </c>
      <c r="CA66" s="369" t="str">
        <f t="shared" si="30"/>
        <v/>
      </c>
      <c r="CB66" s="369" t="str">
        <f t="shared" si="31"/>
        <v/>
      </c>
      <c r="CC66" s="369"/>
    </row>
    <row r="67">
      <c r="M67" s="388"/>
      <c r="AI67" s="45"/>
      <c r="AJ67" s="148" t="s">
        <v>60</v>
      </c>
      <c r="AK67" s="148" t="s">
        <v>60</v>
      </c>
      <c r="AL67" s="150">
        <v>0.0</v>
      </c>
      <c r="AM67" s="255">
        <f t="shared" si="1"/>
        <v>0</v>
      </c>
      <c r="AN67" s="150">
        <v>0.0</v>
      </c>
      <c r="AO67" s="136" t="str">
        <f t="shared" si="3"/>
        <v>#DIV/0!</v>
      </c>
      <c r="AP67" s="405">
        <v>2738.0</v>
      </c>
      <c r="AQ67" s="406">
        <v>3044000.0</v>
      </c>
      <c r="AR67" s="406" t="s">
        <v>161</v>
      </c>
      <c r="AS67" s="406" t="s">
        <v>59</v>
      </c>
      <c r="AT67" s="406" t="s">
        <v>360</v>
      </c>
      <c r="AV67" s="411" t="str">
        <f>SILOMS!O18</f>
        <v>PCE-PC1659</v>
      </c>
      <c r="AW67" s="339">
        <f>SILOMS!T18</f>
        <v>2736</v>
      </c>
      <c r="AX67" s="339" t="str">
        <f>SILOMS!Y18</f>
        <v>OS</v>
      </c>
      <c r="AY67" s="339" t="str">
        <f>SILOMS!G18</f>
        <v>PAMASP</v>
      </c>
      <c r="AZ67" s="412">
        <f>SILOMS!Q18</f>
        <v>186.6493056</v>
      </c>
      <c r="BA67" s="413">
        <f t="shared" si="4"/>
        <v>20.41666667</v>
      </c>
      <c r="BB67" s="414" t="str">
        <f t="shared" si="5"/>
        <v>#DIV/0!</v>
      </c>
      <c r="BC67" s="415" t="str">
        <f t="shared" si="6"/>
        <v>#DIV/0!</v>
      </c>
      <c r="BD67" s="413" t="str">
        <f t="shared" si="7"/>
        <v>HSI</v>
      </c>
      <c r="BE67" s="255" t="str">
        <f t="shared" si="8"/>
        <v>#DIV/0!</v>
      </c>
      <c r="BF67" s="255" t="str">
        <f t="shared" si="9"/>
        <v>#DIV/0!</v>
      </c>
      <c r="BG67" s="255" t="str">
        <f t="shared" si="10"/>
        <v>#DIV/0!</v>
      </c>
      <c r="BH67" s="255" t="str">
        <f t="shared" si="11"/>
        <v>#DIV/0!</v>
      </c>
      <c r="BI67" s="255" t="str">
        <f t="shared" si="12"/>
        <v>#DIV/0!</v>
      </c>
      <c r="BJ67" s="255" t="str">
        <f t="shared" si="13"/>
        <v>#DIV/0!</v>
      </c>
      <c r="BK67" s="255" t="str">
        <f t="shared" si="14"/>
        <v>#DIV/0!</v>
      </c>
      <c r="BL67" s="255" t="str">
        <f t="shared" si="15"/>
        <v>#DIV/0!</v>
      </c>
      <c r="BM67" s="255" t="str">
        <f t="shared" si="16"/>
        <v>#DIV/0!</v>
      </c>
      <c r="BN67" s="255" t="str">
        <f t="shared" si="17"/>
        <v>#DIV/0!</v>
      </c>
      <c r="BO67" s="255" t="str">
        <f t="shared" si="18"/>
        <v>#DIV/0!</v>
      </c>
      <c r="BP67" s="255" t="str">
        <f t="shared" si="19"/>
        <v>#DIV/0!</v>
      </c>
      <c r="BQ67" s="255" t="str">
        <f t="shared" si="20"/>
        <v>#DIV/0!</v>
      </c>
      <c r="BR67" s="255" t="str">
        <f t="shared" si="21"/>
        <v>#DIV/0!</v>
      </c>
      <c r="BS67" s="255" t="str">
        <f t="shared" si="22"/>
        <v>#DIV/0!</v>
      </c>
      <c r="BT67" s="255" t="str">
        <f t="shared" si="23"/>
        <v>#DIV/0!</v>
      </c>
      <c r="BU67" s="255" t="str">
        <f t="shared" si="24"/>
        <v>#DIV/0!</v>
      </c>
      <c r="BV67" s="255" t="str">
        <f t="shared" si="25"/>
        <v>#DIV/0!</v>
      </c>
      <c r="BW67" s="255" t="str">
        <f t="shared" si="26"/>
        <v>#DIV/0!</v>
      </c>
      <c r="BX67" s="255" t="str">
        <f t="shared" si="27"/>
        <v>#DIV/0!</v>
      </c>
      <c r="BY67" s="255" t="str">
        <f t="shared" si="28"/>
        <v>#DIV/0!</v>
      </c>
      <c r="BZ67" s="255" t="str">
        <f t="shared" si="29"/>
        <v>#DIV/0!</v>
      </c>
      <c r="CA67" s="255" t="str">
        <f t="shared" si="30"/>
        <v>#DIV/0!</v>
      </c>
      <c r="CB67" s="255" t="str">
        <f t="shared" si="31"/>
        <v>#DIV/0!</v>
      </c>
      <c r="CC67" s="369"/>
    </row>
    <row r="68">
      <c r="M68" s="388"/>
      <c r="AI68" s="45"/>
      <c r="AJ68" s="148" t="s">
        <v>361</v>
      </c>
      <c r="AK68" s="148" t="s">
        <v>361</v>
      </c>
      <c r="AL68" s="56">
        <v>0.0</v>
      </c>
      <c r="AM68" s="255">
        <f t="shared" si="1"/>
        <v>0</v>
      </c>
      <c r="AN68" s="401">
        <f>AM68</f>
        <v>0</v>
      </c>
      <c r="AO68" s="136" t="str">
        <f t="shared" si="3"/>
        <v>#DIV/0!</v>
      </c>
      <c r="AP68" s="405">
        <v>2739.0</v>
      </c>
      <c r="AQ68" s="406">
        <v>3044000.0</v>
      </c>
      <c r="AR68" s="406" t="s">
        <v>161</v>
      </c>
      <c r="AS68" s="406" t="s">
        <v>106</v>
      </c>
      <c r="AT68" s="406" t="s">
        <v>97</v>
      </c>
      <c r="AV68" s="411" t="str">
        <f>SILOMS!O19</f>
        <v>PCE-PC1666</v>
      </c>
      <c r="AW68" s="339">
        <f>SILOMS!T19</f>
        <v>2731</v>
      </c>
      <c r="AX68" s="339" t="str">
        <f>SILOMS!Y19</f>
        <v>APL</v>
      </c>
      <c r="AY68" s="339" t="str">
        <f>SILOMS!G19</f>
        <v>1ETA</v>
      </c>
      <c r="AZ68" s="412">
        <f>SILOMS!Q19</f>
        <v>16.51041667</v>
      </c>
      <c r="BA68" s="413">
        <f t="shared" si="4"/>
        <v>1103.75</v>
      </c>
      <c r="BB68" s="414">
        <f t="shared" si="5"/>
        <v>19.3515873</v>
      </c>
      <c r="BC68" s="415">
        <f t="shared" si="6"/>
        <v>57.03666489</v>
      </c>
      <c r="BD68" s="413" t="str">
        <f t="shared" si="7"/>
        <v>HSI</v>
      </c>
      <c r="BE68" s="369" t="str">
        <f t="shared" si="8"/>
        <v/>
      </c>
      <c r="BF68" s="369" t="str">
        <f t="shared" si="9"/>
        <v/>
      </c>
      <c r="BG68" s="426" t="str">
        <f t="shared" si="10"/>
        <v/>
      </c>
      <c r="BH68" s="369" t="str">
        <f t="shared" si="11"/>
        <v/>
      </c>
      <c r="BI68" s="369" t="str">
        <f t="shared" si="12"/>
        <v/>
      </c>
      <c r="BJ68" s="369" t="str">
        <f t="shared" si="13"/>
        <v/>
      </c>
      <c r="BK68" s="369" t="str">
        <f t="shared" si="14"/>
        <v/>
      </c>
      <c r="BL68" s="369" t="str">
        <f t="shared" si="15"/>
        <v/>
      </c>
      <c r="BM68" s="369" t="str">
        <f t="shared" si="16"/>
        <v/>
      </c>
      <c r="BN68" s="369" t="str">
        <f t="shared" si="17"/>
        <v/>
      </c>
      <c r="BO68" s="369" t="str">
        <f t="shared" si="18"/>
        <v/>
      </c>
      <c r="BP68" s="369" t="str">
        <f t="shared" si="19"/>
        <v/>
      </c>
      <c r="BQ68" s="369" t="str">
        <f t="shared" si="20"/>
        <v/>
      </c>
      <c r="BR68" s="369" t="str">
        <f t="shared" si="21"/>
        <v/>
      </c>
      <c r="BS68" s="369" t="str">
        <f t="shared" si="22"/>
        <v/>
      </c>
      <c r="BT68" s="369" t="str">
        <f t="shared" si="23"/>
        <v/>
      </c>
      <c r="BU68" s="369" t="str">
        <f t="shared" si="24"/>
        <v/>
      </c>
      <c r="BV68" s="369" t="str">
        <f t="shared" si="25"/>
        <v/>
      </c>
      <c r="BW68" s="369" t="str">
        <f t="shared" si="26"/>
        <v/>
      </c>
      <c r="BX68" s="369" t="str">
        <f t="shared" si="27"/>
        <v/>
      </c>
      <c r="BY68" s="369" t="str">
        <f t="shared" si="28"/>
        <v/>
      </c>
      <c r="BZ68" s="369" t="str">
        <f t="shared" si="29"/>
        <v/>
      </c>
      <c r="CA68" s="369" t="str">
        <f t="shared" si="30"/>
        <v/>
      </c>
      <c r="CB68" s="369" t="str">
        <f t="shared" si="31"/>
        <v/>
      </c>
      <c r="CC68" s="369"/>
    </row>
    <row r="69">
      <c r="M69" s="388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05">
        <v>2740.0</v>
      </c>
      <c r="AQ69" s="406">
        <v>3044000.0</v>
      </c>
      <c r="AR69" s="406" t="s">
        <v>161</v>
      </c>
      <c r="AS69" s="406" t="s">
        <v>98</v>
      </c>
      <c r="AT69" s="406" t="s">
        <v>12</v>
      </c>
      <c r="AV69" s="411" t="str">
        <f>SILOMS!O20</f>
        <v>PCE-PC1734</v>
      </c>
      <c r="AW69" s="339">
        <f>SILOMS!T20</f>
        <v>2721</v>
      </c>
      <c r="AX69" s="339" t="str">
        <f>SILOMS!Y20</f>
        <v>OS</v>
      </c>
      <c r="AY69" s="339" t="str">
        <f>SILOMS!G20</f>
        <v>PAMASP</v>
      </c>
      <c r="AZ69" s="412">
        <f>SILOMS!Q20</f>
        <v>11.13194444</v>
      </c>
      <c r="BA69" s="413">
        <f t="shared" si="4"/>
        <v>1232.833333</v>
      </c>
      <c r="BB69" s="414" t="str">
        <f t="shared" si="5"/>
        <v>#DIV/0!</v>
      </c>
      <c r="BC69" s="415" t="str">
        <f t="shared" si="6"/>
        <v>#DIV/0!</v>
      </c>
      <c r="BD69" s="413" t="str">
        <f t="shared" si="7"/>
        <v>HSI</v>
      </c>
      <c r="BE69" s="369" t="str">
        <f t="shared" si="8"/>
        <v>#DIV/0!</v>
      </c>
      <c r="BF69" s="369" t="str">
        <f t="shared" si="9"/>
        <v>#DIV/0!</v>
      </c>
      <c r="BG69" s="369" t="str">
        <f t="shared" si="10"/>
        <v>#DIV/0!</v>
      </c>
      <c r="BH69" s="369" t="str">
        <f t="shared" si="11"/>
        <v>#DIV/0!</v>
      </c>
      <c r="BI69" s="369" t="str">
        <f t="shared" si="12"/>
        <v>#DIV/0!</v>
      </c>
      <c r="BJ69" s="369" t="str">
        <f t="shared" si="13"/>
        <v>#DIV/0!</v>
      </c>
      <c r="BK69" s="369" t="str">
        <f t="shared" si="14"/>
        <v>#DIV/0!</v>
      </c>
      <c r="BL69" s="369" t="str">
        <f t="shared" si="15"/>
        <v>#DIV/0!</v>
      </c>
      <c r="BM69" s="369" t="str">
        <f t="shared" si="16"/>
        <v>#DIV/0!</v>
      </c>
      <c r="BN69" s="369" t="str">
        <f t="shared" si="17"/>
        <v>#DIV/0!</v>
      </c>
      <c r="BO69" s="369" t="str">
        <f t="shared" si="18"/>
        <v>#DIV/0!</v>
      </c>
      <c r="BP69" s="369" t="str">
        <f t="shared" si="19"/>
        <v>#DIV/0!</v>
      </c>
      <c r="BQ69" s="369" t="str">
        <f t="shared" si="20"/>
        <v>#DIV/0!</v>
      </c>
      <c r="BR69" s="369" t="str">
        <f t="shared" si="21"/>
        <v>#DIV/0!</v>
      </c>
      <c r="BS69" s="369" t="str">
        <f t="shared" si="22"/>
        <v>#DIV/0!</v>
      </c>
      <c r="BT69" s="369" t="str">
        <f t="shared" si="23"/>
        <v>#DIV/0!</v>
      </c>
      <c r="BU69" s="369" t="str">
        <f t="shared" si="24"/>
        <v>#DIV/0!</v>
      </c>
      <c r="BV69" s="369" t="str">
        <f t="shared" si="25"/>
        <v>#DIV/0!</v>
      </c>
      <c r="BW69" s="369" t="str">
        <f t="shared" si="26"/>
        <v>#DIV/0!</v>
      </c>
      <c r="BX69" s="369" t="str">
        <f t="shared" si="27"/>
        <v>#DIV/0!</v>
      </c>
      <c r="BY69" s="369" t="str">
        <f t="shared" si="28"/>
        <v>#DIV/0!</v>
      </c>
      <c r="BZ69" s="369" t="str">
        <f t="shared" si="29"/>
        <v>#DIV/0!</v>
      </c>
      <c r="CA69" s="369" t="str">
        <f t="shared" si="30"/>
        <v>#DIV/0!</v>
      </c>
      <c r="CB69" s="369" t="str">
        <f t="shared" si="31"/>
        <v>#DIV/0!</v>
      </c>
      <c r="CC69" s="369"/>
    </row>
    <row r="70">
      <c r="M70" s="388"/>
      <c r="AI70" s="45"/>
      <c r="AL70" s="45"/>
      <c r="AM70" s="45"/>
      <c r="AN70" s="45"/>
      <c r="AO70" s="45"/>
      <c r="AP70" s="405">
        <v>2741.0</v>
      </c>
      <c r="AQ70" s="406">
        <v>3044000.0</v>
      </c>
      <c r="AR70" s="406" t="s">
        <v>161</v>
      </c>
      <c r="AS70" s="406" t="s">
        <v>160</v>
      </c>
      <c r="AT70" s="406" t="s">
        <v>146</v>
      </c>
      <c r="AV70" s="411" t="str">
        <f>SILOMS!O21</f>
        <v>PCE-PC1783</v>
      </c>
      <c r="AW70" s="339">
        <f>SILOMS!T21</f>
        <v>2727</v>
      </c>
      <c r="AX70" s="339" t="str">
        <f>SILOMS!Y21</f>
        <v>RECOLH</v>
      </c>
      <c r="AY70" s="339" t="str">
        <f>SILOMS!G21</f>
        <v>BACG</v>
      </c>
      <c r="AZ70" s="412">
        <f>SILOMS!Q21</f>
        <v>216.6666667</v>
      </c>
      <c r="BA70" s="413">
        <f t="shared" si="4"/>
        <v>-200</v>
      </c>
      <c r="BB70" s="414" t="b">
        <f t="shared" si="5"/>
        <v>0</v>
      </c>
      <c r="BC70" s="415" t="str">
        <f t="shared" si="6"/>
        <v>#DIV/0!</v>
      </c>
      <c r="BD70" s="413" t="str">
        <f t="shared" si="7"/>
        <v>TBO</v>
      </c>
      <c r="BE70" s="369" t="str">
        <f t="shared" si="8"/>
        <v>#DIV/0!</v>
      </c>
      <c r="BF70" s="369" t="str">
        <f t="shared" si="9"/>
        <v>#DIV/0!</v>
      </c>
      <c r="BG70" s="369" t="str">
        <f t="shared" si="10"/>
        <v>#DIV/0!</v>
      </c>
      <c r="BH70" s="369" t="str">
        <f t="shared" si="11"/>
        <v>#DIV/0!</v>
      </c>
      <c r="BI70" s="369" t="str">
        <f t="shared" si="12"/>
        <v>#DIV/0!</v>
      </c>
      <c r="BJ70" s="369" t="str">
        <f t="shared" si="13"/>
        <v>#DIV/0!</v>
      </c>
      <c r="BK70" s="369" t="str">
        <f t="shared" si="14"/>
        <v>#DIV/0!</v>
      </c>
      <c r="BL70" s="369" t="str">
        <f t="shared" si="15"/>
        <v>#DIV/0!</v>
      </c>
      <c r="BM70" s="369" t="str">
        <f t="shared" si="16"/>
        <v>#DIV/0!</v>
      </c>
      <c r="BN70" s="369" t="str">
        <f t="shared" si="17"/>
        <v>#DIV/0!</v>
      </c>
      <c r="BO70" s="369" t="str">
        <f t="shared" si="18"/>
        <v>#DIV/0!</v>
      </c>
      <c r="BP70" s="369" t="str">
        <f t="shared" si="19"/>
        <v>#DIV/0!</v>
      </c>
      <c r="BQ70" s="369" t="str">
        <f t="shared" si="20"/>
        <v>#DIV/0!</v>
      </c>
      <c r="BR70" s="369" t="str">
        <f t="shared" si="21"/>
        <v>#DIV/0!</v>
      </c>
      <c r="BS70" s="369" t="str">
        <f t="shared" si="22"/>
        <v>#DIV/0!</v>
      </c>
      <c r="BT70" s="369" t="str">
        <f t="shared" si="23"/>
        <v>#DIV/0!</v>
      </c>
      <c r="BU70" s="369" t="str">
        <f t="shared" si="24"/>
        <v>#DIV/0!</v>
      </c>
      <c r="BV70" s="369" t="str">
        <f t="shared" si="25"/>
        <v>#DIV/0!</v>
      </c>
      <c r="BW70" s="369" t="str">
        <f t="shared" si="26"/>
        <v>#DIV/0!</v>
      </c>
      <c r="BX70" s="369" t="str">
        <f t="shared" si="27"/>
        <v>#DIV/0!</v>
      </c>
      <c r="BY70" s="369" t="str">
        <f t="shared" si="28"/>
        <v>#DIV/0!</v>
      </c>
      <c r="BZ70" s="369" t="str">
        <f t="shared" si="29"/>
        <v>#DIV/0!</v>
      </c>
      <c r="CA70" s="369" t="str">
        <f t="shared" si="30"/>
        <v>#DIV/0!</v>
      </c>
      <c r="CB70" s="369" t="str">
        <f t="shared" si="31"/>
        <v>#DIV/0!</v>
      </c>
      <c r="CC70" s="369"/>
    </row>
    <row r="71">
      <c r="M71" s="388"/>
      <c r="AI71" s="45"/>
      <c r="AJ71" s="45"/>
      <c r="AK71" s="45"/>
      <c r="AL71" s="45"/>
      <c r="AM71" s="45"/>
      <c r="AN71" s="45"/>
      <c r="AO71" s="45"/>
      <c r="AP71" s="405">
        <v>2742.0</v>
      </c>
      <c r="AQ71" s="406">
        <v>3044000.0</v>
      </c>
      <c r="AR71" s="406" t="s">
        <v>161</v>
      </c>
      <c r="AS71" s="406" t="s">
        <v>163</v>
      </c>
      <c r="AT71" s="406" t="s">
        <v>78</v>
      </c>
      <c r="AV71" s="411" t="str">
        <f>SILOMS!O22</f>
        <v>PCE-PC1801</v>
      </c>
      <c r="AW71" s="339">
        <f>SILOMS!T22</f>
        <v>2740</v>
      </c>
      <c r="AX71" s="339" t="str">
        <f>SILOMS!Y22</f>
        <v>OS</v>
      </c>
      <c r="AY71" s="339" t="str">
        <f>SILOMS!G22</f>
        <v>PAMASP</v>
      </c>
      <c r="AZ71" s="412">
        <f>SILOMS!Q22</f>
        <v>201.3506944</v>
      </c>
      <c r="BA71" s="413">
        <f t="shared" si="4"/>
        <v>167.5833333</v>
      </c>
      <c r="BB71" s="414" t="str">
        <f t="shared" si="5"/>
        <v>#DIV/0!</v>
      </c>
      <c r="BC71" s="415" t="str">
        <f t="shared" si="6"/>
        <v>#DIV/0!</v>
      </c>
      <c r="BD71" s="413" t="str">
        <f t="shared" si="7"/>
        <v>TBO</v>
      </c>
      <c r="BE71" s="369" t="str">
        <f t="shared" si="8"/>
        <v>#DIV/0!</v>
      </c>
      <c r="BF71" s="369" t="str">
        <f t="shared" si="9"/>
        <v>#DIV/0!</v>
      </c>
      <c r="BG71" s="369" t="str">
        <f t="shared" si="10"/>
        <v>#DIV/0!</v>
      </c>
      <c r="BH71" s="369" t="str">
        <f t="shared" si="11"/>
        <v>#DIV/0!</v>
      </c>
      <c r="BI71" s="369" t="str">
        <f t="shared" si="12"/>
        <v>#DIV/0!</v>
      </c>
      <c r="BJ71" s="369" t="str">
        <f t="shared" si="13"/>
        <v>#DIV/0!</v>
      </c>
      <c r="BK71" s="369" t="str">
        <f t="shared" si="14"/>
        <v>#DIV/0!</v>
      </c>
      <c r="BL71" s="369" t="str">
        <f t="shared" si="15"/>
        <v>#DIV/0!</v>
      </c>
      <c r="BM71" s="369" t="str">
        <f t="shared" si="16"/>
        <v>#DIV/0!</v>
      </c>
      <c r="BN71" s="426" t="str">
        <f t="shared" si="17"/>
        <v>#DIV/0!</v>
      </c>
      <c r="BO71" s="369" t="str">
        <f t="shared" si="18"/>
        <v>#DIV/0!</v>
      </c>
      <c r="BP71" s="369" t="str">
        <f t="shared" si="19"/>
        <v>#DIV/0!</v>
      </c>
      <c r="BQ71" s="369" t="str">
        <f t="shared" si="20"/>
        <v>#DIV/0!</v>
      </c>
      <c r="BR71" s="369" t="str">
        <f t="shared" si="21"/>
        <v>#DIV/0!</v>
      </c>
      <c r="BS71" s="369" t="str">
        <f t="shared" si="22"/>
        <v>#DIV/0!</v>
      </c>
      <c r="BT71" s="369" t="str">
        <f t="shared" si="23"/>
        <v>#DIV/0!</v>
      </c>
      <c r="BU71" s="369" t="str">
        <f t="shared" si="24"/>
        <v>#DIV/0!</v>
      </c>
      <c r="BV71" s="369" t="str">
        <f t="shared" si="25"/>
        <v>#DIV/0!</v>
      </c>
      <c r="BW71" s="369" t="str">
        <f t="shared" si="26"/>
        <v>#DIV/0!</v>
      </c>
      <c r="BX71" s="369" t="str">
        <f t="shared" si="27"/>
        <v>#DIV/0!</v>
      </c>
      <c r="BY71" s="369" t="str">
        <f t="shared" si="28"/>
        <v>#DIV/0!</v>
      </c>
      <c r="BZ71" s="369" t="str">
        <f t="shared" si="29"/>
        <v>#DIV/0!</v>
      </c>
      <c r="CA71" s="369" t="str">
        <f t="shared" si="30"/>
        <v>#DIV/0!</v>
      </c>
      <c r="CB71" s="369" t="str">
        <f t="shared" si="31"/>
        <v>#DIV/0!</v>
      </c>
      <c r="CC71" s="369"/>
    </row>
    <row r="72">
      <c r="M72" s="388"/>
      <c r="AI72" s="45"/>
      <c r="AJ72" s="45"/>
      <c r="AK72" s="45"/>
      <c r="AL72" s="45"/>
      <c r="AM72" s="45"/>
      <c r="AN72" s="45"/>
      <c r="AO72" s="45"/>
      <c r="AP72" s="434">
        <v>2743.0</v>
      </c>
      <c r="AQ72" s="435">
        <v>3044000.0</v>
      </c>
      <c r="AR72" s="435" t="s">
        <v>161</v>
      </c>
      <c r="AS72" s="435" t="s">
        <v>113</v>
      </c>
      <c r="AT72" s="435" t="s">
        <v>129</v>
      </c>
      <c r="AV72" s="411" t="str">
        <f>SILOMS!O23</f>
        <v>PCE-PC1832</v>
      </c>
      <c r="AW72" s="339">
        <f>SILOMS!T23</f>
        <v>2738</v>
      </c>
      <c r="AX72" s="339" t="str">
        <f>SILOMS!Y23</f>
        <v>RECOLH</v>
      </c>
      <c r="AY72" s="339" t="str">
        <f>SILOMS!G23</f>
        <v>BAMN</v>
      </c>
      <c r="AZ72" s="412">
        <f>SILOMS!Q23</f>
        <v>185.4131944</v>
      </c>
      <c r="BA72" s="413">
        <f t="shared" si="4"/>
        <v>50.08333333</v>
      </c>
      <c r="BB72" s="414">
        <f t="shared" si="5"/>
        <v>1.428571429</v>
      </c>
      <c r="BC72" s="415">
        <f t="shared" si="6"/>
        <v>35.05833333</v>
      </c>
      <c r="BD72" s="413" t="str">
        <f t="shared" si="7"/>
        <v>HSI</v>
      </c>
      <c r="BE72" s="369" t="str">
        <f t="shared" si="8"/>
        <v/>
      </c>
      <c r="BF72" s="369" t="str">
        <f t="shared" si="9"/>
        <v/>
      </c>
      <c r="BG72" s="369" t="str">
        <f t="shared" si="10"/>
        <v/>
      </c>
      <c r="BH72" s="426" t="str">
        <f t="shared" si="11"/>
        <v/>
      </c>
      <c r="BI72" s="369" t="str">
        <f t="shared" si="12"/>
        <v/>
      </c>
      <c r="BJ72" s="369" t="str">
        <f t="shared" si="13"/>
        <v/>
      </c>
      <c r="BK72" s="369" t="str">
        <f t="shared" si="14"/>
        <v/>
      </c>
      <c r="BL72" s="369" t="str">
        <f t="shared" si="15"/>
        <v/>
      </c>
      <c r="BM72" s="369" t="str">
        <f t="shared" si="16"/>
        <v/>
      </c>
      <c r="BN72" s="369" t="str">
        <f t="shared" si="17"/>
        <v/>
      </c>
      <c r="BO72" s="369" t="str">
        <f t="shared" si="18"/>
        <v/>
      </c>
      <c r="BP72" s="369" t="str">
        <f t="shared" si="19"/>
        <v/>
      </c>
      <c r="BQ72" s="369" t="str">
        <f t="shared" si="20"/>
        <v/>
      </c>
      <c r="BR72" s="369" t="str">
        <f t="shared" si="21"/>
        <v/>
      </c>
      <c r="BS72" s="369" t="str">
        <f t="shared" si="22"/>
        <v/>
      </c>
      <c r="BT72" s="369" t="str">
        <f t="shared" si="23"/>
        <v/>
      </c>
      <c r="BU72" s="369" t="str">
        <f t="shared" si="24"/>
        <v/>
      </c>
      <c r="BV72" s="369" t="str">
        <f t="shared" si="25"/>
        <v/>
      </c>
      <c r="BW72" s="369" t="str">
        <f t="shared" si="26"/>
        <v/>
      </c>
      <c r="BX72" s="369" t="str">
        <f t="shared" si="27"/>
        <v/>
      </c>
      <c r="BY72" s="369" t="str">
        <f t="shared" si="28"/>
        <v/>
      </c>
      <c r="BZ72" s="369" t="str">
        <f t="shared" si="29"/>
        <v/>
      </c>
      <c r="CA72" s="369" t="str">
        <f t="shared" si="30"/>
        <v/>
      </c>
      <c r="CB72" s="369" t="str">
        <f t="shared" si="31"/>
        <v/>
      </c>
      <c r="CC72" s="369"/>
    </row>
    <row r="73">
      <c r="M73" s="388"/>
      <c r="AV73" s="411" t="str">
        <f>SILOMS!O24</f>
        <v>PCE-PC1835</v>
      </c>
      <c r="AW73" s="339">
        <f>SILOMS!T24</f>
        <v>2731</v>
      </c>
      <c r="AX73" s="339" t="str">
        <f>SILOMS!Y24</f>
        <v>OS</v>
      </c>
      <c r="AY73" s="339" t="str">
        <f>SILOMS!G24</f>
        <v>PAMASP</v>
      </c>
      <c r="AZ73" s="412">
        <f>SILOMS!Q24</f>
        <v>192.9097222</v>
      </c>
      <c r="BA73" s="413">
        <f t="shared" si="4"/>
        <v>370.1666667</v>
      </c>
      <c r="BB73" s="414" t="str">
        <f t="shared" si="5"/>
        <v>#DIV/0!</v>
      </c>
      <c r="BC73" s="415" t="str">
        <f t="shared" si="6"/>
        <v>#DIV/0!</v>
      </c>
      <c r="BD73" s="413" t="str">
        <f t="shared" si="7"/>
        <v>TBO</v>
      </c>
      <c r="BE73" s="369" t="str">
        <f t="shared" si="8"/>
        <v>#DIV/0!</v>
      </c>
      <c r="BF73" s="369" t="str">
        <f t="shared" si="9"/>
        <v>#DIV/0!</v>
      </c>
      <c r="BG73" s="369" t="str">
        <f t="shared" si="10"/>
        <v>#DIV/0!</v>
      </c>
      <c r="BH73" s="369" t="str">
        <f t="shared" si="11"/>
        <v>#DIV/0!</v>
      </c>
      <c r="BI73" s="426" t="str">
        <f t="shared" si="12"/>
        <v>#DIV/0!</v>
      </c>
      <c r="BJ73" s="369" t="str">
        <f t="shared" si="13"/>
        <v>#DIV/0!</v>
      </c>
      <c r="BK73" s="369" t="str">
        <f t="shared" si="14"/>
        <v>#DIV/0!</v>
      </c>
      <c r="BL73" s="369" t="str">
        <f t="shared" si="15"/>
        <v>#DIV/0!</v>
      </c>
      <c r="BM73" s="369" t="str">
        <f t="shared" si="16"/>
        <v>#DIV/0!</v>
      </c>
      <c r="BN73" s="369" t="str">
        <f t="shared" si="17"/>
        <v>#DIV/0!</v>
      </c>
      <c r="BO73" s="369" t="str">
        <f t="shared" si="18"/>
        <v>#DIV/0!</v>
      </c>
      <c r="BP73" s="369" t="str">
        <f t="shared" si="19"/>
        <v>#DIV/0!</v>
      </c>
      <c r="BQ73" s="369" t="str">
        <f t="shared" si="20"/>
        <v>#DIV/0!</v>
      </c>
      <c r="BR73" s="369" t="str">
        <f t="shared" si="21"/>
        <v>#DIV/0!</v>
      </c>
      <c r="BS73" s="369" t="str">
        <f t="shared" si="22"/>
        <v>#DIV/0!</v>
      </c>
      <c r="BT73" s="369" t="str">
        <f t="shared" si="23"/>
        <v>#DIV/0!</v>
      </c>
      <c r="BU73" s="369" t="str">
        <f t="shared" si="24"/>
        <v>#DIV/0!</v>
      </c>
      <c r="BV73" s="369" t="str">
        <f t="shared" si="25"/>
        <v>#DIV/0!</v>
      </c>
      <c r="BW73" s="369" t="str">
        <f t="shared" si="26"/>
        <v>#DIV/0!</v>
      </c>
      <c r="BX73" s="369" t="str">
        <f t="shared" si="27"/>
        <v>#DIV/0!</v>
      </c>
      <c r="BY73" s="369" t="str">
        <f t="shared" si="28"/>
        <v>#DIV/0!</v>
      </c>
      <c r="BZ73" s="369" t="str">
        <f t="shared" si="29"/>
        <v>#DIV/0!</v>
      </c>
      <c r="CA73" s="369" t="str">
        <f t="shared" si="30"/>
        <v>#DIV/0!</v>
      </c>
      <c r="CB73" s="369" t="str">
        <f t="shared" si="31"/>
        <v>#DIV/0!</v>
      </c>
      <c r="CC73" s="369"/>
    </row>
    <row r="74">
      <c r="M74" s="388"/>
      <c r="AV74" s="411" t="str">
        <f>SILOMS!O25</f>
        <v>PCE-PC1850</v>
      </c>
      <c r="AW74" s="339">
        <f>SILOMS!T25</f>
        <v>2737</v>
      </c>
      <c r="AX74" s="339" t="str">
        <f>SILOMS!Y25</f>
        <v>REMOV</v>
      </c>
      <c r="AY74" s="339" t="str">
        <f>SILOMS!G25</f>
        <v>BACO</v>
      </c>
      <c r="AZ74" s="412">
        <f>SILOMS!Q25</f>
        <v>0</v>
      </c>
      <c r="BA74" s="413">
        <f t="shared" si="4"/>
        <v>1500</v>
      </c>
      <c r="BB74" s="414" t="b">
        <f t="shared" si="5"/>
        <v>0</v>
      </c>
      <c r="BC74" s="415" t="str">
        <f t="shared" si="6"/>
        <v>#DIV/0!</v>
      </c>
      <c r="BD74" s="413" t="str">
        <f t="shared" si="7"/>
        <v>HSI</v>
      </c>
      <c r="BE74" s="426" t="str">
        <f t="shared" si="8"/>
        <v>#DIV/0!</v>
      </c>
      <c r="BF74" s="369" t="str">
        <f t="shared" si="9"/>
        <v>#DIV/0!</v>
      </c>
      <c r="BG74" s="369" t="str">
        <f t="shared" si="10"/>
        <v>#DIV/0!</v>
      </c>
      <c r="BH74" s="369" t="str">
        <f t="shared" si="11"/>
        <v>#DIV/0!</v>
      </c>
      <c r="BI74" s="369" t="str">
        <f t="shared" si="12"/>
        <v>#DIV/0!</v>
      </c>
      <c r="BJ74" s="369" t="str">
        <f t="shared" si="13"/>
        <v>#DIV/0!</v>
      </c>
      <c r="BK74" s="369" t="str">
        <f t="shared" si="14"/>
        <v>#DIV/0!</v>
      </c>
      <c r="BL74" s="369" t="str">
        <f t="shared" si="15"/>
        <v>#DIV/0!</v>
      </c>
      <c r="BM74" s="369" t="str">
        <f t="shared" si="16"/>
        <v>#DIV/0!</v>
      </c>
      <c r="BN74" s="369" t="str">
        <f t="shared" si="17"/>
        <v>#DIV/0!</v>
      </c>
      <c r="BO74" s="369" t="str">
        <f t="shared" si="18"/>
        <v>#DIV/0!</v>
      </c>
      <c r="BP74" s="369" t="str">
        <f t="shared" si="19"/>
        <v>#DIV/0!</v>
      </c>
      <c r="BQ74" s="369" t="str">
        <f t="shared" si="20"/>
        <v>#DIV/0!</v>
      </c>
      <c r="BR74" s="369" t="str">
        <f t="shared" si="21"/>
        <v>#DIV/0!</v>
      </c>
      <c r="BS74" s="369" t="str">
        <f t="shared" si="22"/>
        <v>#DIV/0!</v>
      </c>
      <c r="BT74" s="369" t="str">
        <f t="shared" si="23"/>
        <v>#DIV/0!</v>
      </c>
      <c r="BU74" s="369" t="str">
        <f t="shared" si="24"/>
        <v>#DIV/0!</v>
      </c>
      <c r="BV74" s="369" t="str">
        <f t="shared" si="25"/>
        <v>#DIV/0!</v>
      </c>
      <c r="BW74" s="369" t="str">
        <f t="shared" si="26"/>
        <v>#DIV/0!</v>
      </c>
      <c r="BX74" s="369" t="str">
        <f t="shared" si="27"/>
        <v>#DIV/0!</v>
      </c>
      <c r="BY74" s="369" t="str">
        <f t="shared" si="28"/>
        <v>#DIV/0!</v>
      </c>
      <c r="BZ74" s="369" t="str">
        <f t="shared" si="29"/>
        <v>#DIV/0!</v>
      </c>
      <c r="CA74" s="369" t="str">
        <f t="shared" si="30"/>
        <v>#DIV/0!</v>
      </c>
      <c r="CB74" s="369" t="str">
        <f t="shared" si="31"/>
        <v>#DIV/0!</v>
      </c>
      <c r="CC74" s="369"/>
    </row>
    <row r="75">
      <c r="M75" s="388"/>
      <c r="AV75" s="411" t="str">
        <f>SILOMS!O26</f>
        <v>PCE-PC1860</v>
      </c>
      <c r="AW75" s="339">
        <f>SILOMS!T26</f>
        <v>2741</v>
      </c>
      <c r="AX75" s="339" t="str">
        <f>SILOMS!Y26</f>
        <v>REMOV</v>
      </c>
      <c r="AY75" s="339" t="str">
        <f>SILOMS!G26</f>
        <v>7ETA</v>
      </c>
      <c r="AZ75" s="412">
        <f>SILOMS!Q26</f>
        <v>128.9722222</v>
      </c>
      <c r="BA75" s="413">
        <f t="shared" si="4"/>
        <v>1404.666667</v>
      </c>
      <c r="BB75" s="414">
        <f t="shared" si="5"/>
        <v>4.411111111</v>
      </c>
      <c r="BC75" s="415">
        <f t="shared" si="6"/>
        <v>318.4382872</v>
      </c>
      <c r="BD75" s="413" t="str">
        <f t="shared" si="7"/>
        <v>HSI</v>
      </c>
      <c r="BE75" s="426" t="str">
        <f t="shared" si="8"/>
        <v/>
      </c>
      <c r="BF75" s="369" t="str">
        <f t="shared" si="9"/>
        <v/>
      </c>
      <c r="BG75" s="369" t="str">
        <f t="shared" si="10"/>
        <v/>
      </c>
      <c r="BH75" s="369" t="str">
        <f t="shared" si="11"/>
        <v/>
      </c>
      <c r="BI75" s="369" t="str">
        <f t="shared" si="12"/>
        <v/>
      </c>
      <c r="BJ75" s="369" t="str">
        <f t="shared" si="13"/>
        <v/>
      </c>
      <c r="BK75" s="369" t="str">
        <f t="shared" si="14"/>
        <v/>
      </c>
      <c r="BL75" s="369" t="str">
        <f t="shared" si="15"/>
        <v/>
      </c>
      <c r="BM75" s="369" t="str">
        <f t="shared" si="16"/>
        <v/>
      </c>
      <c r="BN75" s="369" t="str">
        <f t="shared" si="17"/>
        <v/>
      </c>
      <c r="BO75" s="369" t="str">
        <f t="shared" si="18"/>
        <v/>
      </c>
      <c r="BP75" s="369" t="str">
        <f t="shared" si="19"/>
        <v/>
      </c>
      <c r="BQ75" s="369" t="str">
        <f t="shared" si="20"/>
        <v/>
      </c>
      <c r="BR75" s="369" t="str">
        <f t="shared" si="21"/>
        <v/>
      </c>
      <c r="BS75" s="369" t="str">
        <f t="shared" si="22"/>
        <v/>
      </c>
      <c r="BT75" s="369" t="str">
        <f t="shared" si="23"/>
        <v/>
      </c>
      <c r="BU75" s="369" t="str">
        <f t="shared" si="24"/>
        <v/>
      </c>
      <c r="BV75" s="369" t="str">
        <f t="shared" si="25"/>
        <v/>
      </c>
      <c r="BW75" s="369" t="str">
        <f t="shared" si="26"/>
        <v/>
      </c>
      <c r="BX75" s="369" t="str">
        <f t="shared" si="27"/>
        <v/>
      </c>
      <c r="BY75" s="369" t="str">
        <f t="shared" si="28"/>
        <v/>
      </c>
      <c r="BZ75" s="369" t="str">
        <f t="shared" si="29"/>
        <v/>
      </c>
      <c r="CA75" s="369" t="str">
        <f t="shared" si="30"/>
        <v/>
      </c>
      <c r="CB75" s="369" t="str">
        <f t="shared" si="31"/>
        <v/>
      </c>
      <c r="CC75" s="369"/>
    </row>
    <row r="76">
      <c r="M76" s="388"/>
      <c r="AV76" s="411" t="str">
        <f>SILOMS!O27</f>
        <v>PCE-PC1868</v>
      </c>
      <c r="AW76" s="339">
        <f>SILOMS!T27</f>
        <v>2704</v>
      </c>
      <c r="AX76" s="339" t="str">
        <f>SILOMS!Y27</f>
        <v>APL</v>
      </c>
      <c r="AY76" s="339" t="str">
        <f>SILOMS!G27</f>
        <v>PAMALS</v>
      </c>
      <c r="AZ76" s="412">
        <f>SILOMS!Q27</f>
        <v>203.0694444</v>
      </c>
      <c r="BA76" s="413">
        <f t="shared" si="4"/>
        <v>126.3333333</v>
      </c>
      <c r="BB76" s="414" t="str">
        <f t="shared" si="5"/>
        <v>#DIV/0!</v>
      </c>
      <c r="BC76" s="415" t="str">
        <f t="shared" si="6"/>
        <v>#DIV/0!</v>
      </c>
      <c r="BD76" s="413" t="str">
        <f t="shared" si="7"/>
        <v>TBO</v>
      </c>
      <c r="BE76" s="255" t="str">
        <f t="shared" si="8"/>
        <v>#DIV/0!</v>
      </c>
      <c r="BF76" s="255" t="str">
        <f t="shared" si="9"/>
        <v>#DIV/0!</v>
      </c>
      <c r="BG76" s="255" t="str">
        <f t="shared" si="10"/>
        <v>#DIV/0!</v>
      </c>
      <c r="BH76" s="255" t="str">
        <f t="shared" si="11"/>
        <v>#DIV/0!</v>
      </c>
      <c r="BI76" s="255" t="str">
        <f t="shared" si="12"/>
        <v>#DIV/0!</v>
      </c>
      <c r="BJ76" s="255" t="str">
        <f t="shared" si="13"/>
        <v>#DIV/0!</v>
      </c>
      <c r="BK76" s="255" t="str">
        <f t="shared" si="14"/>
        <v>#DIV/0!</v>
      </c>
      <c r="BL76" s="255" t="str">
        <f t="shared" si="15"/>
        <v>#DIV/0!</v>
      </c>
      <c r="BM76" s="255" t="str">
        <f t="shared" si="16"/>
        <v>#DIV/0!</v>
      </c>
      <c r="BN76" s="255" t="str">
        <f t="shared" si="17"/>
        <v>#DIV/0!</v>
      </c>
      <c r="BO76" s="255" t="str">
        <f t="shared" si="18"/>
        <v>#DIV/0!</v>
      </c>
      <c r="BP76" s="255" t="str">
        <f t="shared" si="19"/>
        <v>#DIV/0!</v>
      </c>
      <c r="BQ76" s="255" t="str">
        <f t="shared" si="20"/>
        <v>#DIV/0!</v>
      </c>
      <c r="BR76" s="255" t="str">
        <f t="shared" si="21"/>
        <v>#DIV/0!</v>
      </c>
      <c r="BS76" s="255" t="str">
        <f t="shared" si="22"/>
        <v>#DIV/0!</v>
      </c>
      <c r="BT76" s="255" t="str">
        <f t="shared" si="23"/>
        <v>#DIV/0!</v>
      </c>
      <c r="BU76" s="255" t="str">
        <f t="shared" si="24"/>
        <v>#DIV/0!</v>
      </c>
      <c r="BV76" s="255" t="str">
        <f t="shared" si="25"/>
        <v>#DIV/0!</v>
      </c>
      <c r="BW76" s="255" t="str">
        <f t="shared" si="26"/>
        <v>#DIV/0!</v>
      </c>
      <c r="BX76" s="255" t="str">
        <f t="shared" si="27"/>
        <v>#DIV/0!</v>
      </c>
      <c r="BY76" s="255" t="str">
        <f t="shared" si="28"/>
        <v>#DIV/0!</v>
      </c>
      <c r="BZ76" s="255" t="str">
        <f t="shared" si="29"/>
        <v>#DIV/0!</v>
      </c>
      <c r="CA76" s="255" t="str">
        <f t="shared" si="30"/>
        <v>#DIV/0!</v>
      </c>
      <c r="CB76" s="255" t="str">
        <f t="shared" si="31"/>
        <v>#DIV/0!</v>
      </c>
      <c r="CC76" s="369"/>
    </row>
    <row r="77">
      <c r="M77" s="388"/>
      <c r="AV77" s="411" t="str">
        <f>SILOMS!O28</f>
        <v>PCE-PC2042</v>
      </c>
      <c r="AW77" s="339">
        <f>SILOMS!T28</f>
        <v>2742</v>
      </c>
      <c r="AX77" s="339" t="str">
        <f>SILOMS!Y28</f>
        <v>OS</v>
      </c>
      <c r="AY77" s="339" t="str">
        <f>SILOMS!G28</f>
        <v>PAMASP</v>
      </c>
      <c r="AZ77" s="412">
        <f>SILOMS!Q28</f>
        <v>222.8576389</v>
      </c>
      <c r="BA77" s="413">
        <f t="shared" si="4"/>
        <v>-348.5833333</v>
      </c>
      <c r="BB77" s="414" t="str">
        <f t="shared" si="5"/>
        <v>#DIV/0!</v>
      </c>
      <c r="BC77" s="415" t="str">
        <f t="shared" si="6"/>
        <v>#DIV/0!</v>
      </c>
      <c r="BD77" s="413" t="str">
        <f t="shared" si="7"/>
        <v>TBO</v>
      </c>
      <c r="BE77" s="426" t="str">
        <f t="shared" si="8"/>
        <v>#DIV/0!</v>
      </c>
      <c r="BF77" s="369" t="str">
        <f t="shared" si="9"/>
        <v>#DIV/0!</v>
      </c>
      <c r="BG77" s="369" t="str">
        <f t="shared" si="10"/>
        <v>#DIV/0!</v>
      </c>
      <c r="BH77" s="369" t="str">
        <f t="shared" si="11"/>
        <v>#DIV/0!</v>
      </c>
      <c r="BI77" s="369" t="str">
        <f t="shared" si="12"/>
        <v>#DIV/0!</v>
      </c>
      <c r="BJ77" s="369" t="str">
        <f t="shared" si="13"/>
        <v>#DIV/0!</v>
      </c>
      <c r="BK77" s="369" t="str">
        <f t="shared" si="14"/>
        <v>#DIV/0!</v>
      </c>
      <c r="BL77" s="369" t="str">
        <f t="shared" si="15"/>
        <v>#DIV/0!</v>
      </c>
      <c r="BM77" s="369" t="str">
        <f t="shared" si="16"/>
        <v>#DIV/0!</v>
      </c>
      <c r="BN77" s="369" t="str">
        <f t="shared" si="17"/>
        <v>#DIV/0!</v>
      </c>
      <c r="BO77" s="369" t="str">
        <f t="shared" si="18"/>
        <v>#DIV/0!</v>
      </c>
      <c r="BP77" s="369" t="str">
        <f t="shared" si="19"/>
        <v>#DIV/0!</v>
      </c>
      <c r="BQ77" s="369" t="str">
        <f t="shared" si="20"/>
        <v>#DIV/0!</v>
      </c>
      <c r="BR77" s="369" t="str">
        <f t="shared" si="21"/>
        <v>#DIV/0!</v>
      </c>
      <c r="BS77" s="369" t="str">
        <f t="shared" si="22"/>
        <v>#DIV/0!</v>
      </c>
      <c r="BT77" s="369" t="str">
        <f t="shared" si="23"/>
        <v>#DIV/0!</v>
      </c>
      <c r="BU77" s="369" t="str">
        <f t="shared" si="24"/>
        <v>#DIV/0!</v>
      </c>
      <c r="BV77" s="369" t="str">
        <f t="shared" si="25"/>
        <v>#DIV/0!</v>
      </c>
      <c r="BW77" s="369" t="str">
        <f t="shared" si="26"/>
        <v>#DIV/0!</v>
      </c>
      <c r="BX77" s="369" t="str">
        <f t="shared" si="27"/>
        <v>#DIV/0!</v>
      </c>
      <c r="BY77" s="369" t="str">
        <f t="shared" si="28"/>
        <v>#DIV/0!</v>
      </c>
      <c r="BZ77" s="369" t="str">
        <f t="shared" si="29"/>
        <v>#DIV/0!</v>
      </c>
      <c r="CA77" s="369" t="str">
        <f t="shared" si="30"/>
        <v>#DIV/0!</v>
      </c>
      <c r="CB77" s="369" t="str">
        <f t="shared" si="31"/>
        <v>#DIV/0!</v>
      </c>
      <c r="CC77" s="369"/>
    </row>
    <row r="78">
      <c r="M78" s="388"/>
      <c r="AV78" s="411" t="str">
        <f>SILOMS!O29</f>
        <v>PCE-PC2047</v>
      </c>
      <c r="AW78" s="339">
        <f>SILOMS!T29</f>
        <v>2739</v>
      </c>
      <c r="AX78" s="339" t="str">
        <f>SILOMS!Y29</f>
        <v>APL</v>
      </c>
      <c r="AY78" s="339" t="str">
        <f>SILOMS!G29</f>
        <v>1ETA</v>
      </c>
      <c r="AZ78" s="412">
        <f>SILOMS!Q29</f>
        <v>52.10763889</v>
      </c>
      <c r="BA78" s="413">
        <f t="shared" si="4"/>
        <v>249.4166667</v>
      </c>
      <c r="BB78" s="414">
        <f t="shared" si="5"/>
        <v>19.3515873</v>
      </c>
      <c r="BC78" s="415">
        <f t="shared" si="6"/>
        <v>12.88869294</v>
      </c>
      <c r="BD78" s="413" t="str">
        <f t="shared" si="7"/>
        <v>HSI</v>
      </c>
      <c r="BE78" s="255" t="str">
        <f t="shared" si="8"/>
        <v/>
      </c>
      <c r="BF78" s="255" t="str">
        <f t="shared" si="9"/>
        <v/>
      </c>
      <c r="BG78" s="255" t="str">
        <f t="shared" si="10"/>
        <v/>
      </c>
      <c r="BH78" s="255" t="str">
        <f t="shared" si="11"/>
        <v/>
      </c>
      <c r="BI78" s="255" t="str">
        <f t="shared" si="12"/>
        <v/>
      </c>
      <c r="BJ78" s="255" t="str">
        <f t="shared" si="13"/>
        <v/>
      </c>
      <c r="BK78" s="255" t="str">
        <f t="shared" si="14"/>
        <v/>
      </c>
      <c r="BL78" s="255" t="str">
        <f t="shared" si="15"/>
        <v/>
      </c>
      <c r="BM78" s="255" t="str">
        <f t="shared" si="16"/>
        <v/>
      </c>
      <c r="BN78" s="255" t="str">
        <f t="shared" si="17"/>
        <v/>
      </c>
      <c r="BO78" s="255" t="str">
        <f t="shared" si="18"/>
        <v/>
      </c>
      <c r="BP78" s="255" t="str">
        <f t="shared" si="19"/>
        <v/>
      </c>
      <c r="BQ78" s="426" t="str">
        <f t="shared" si="20"/>
        <v>HSI</v>
      </c>
      <c r="BR78" s="255" t="str">
        <f t="shared" si="21"/>
        <v/>
      </c>
      <c r="BS78" s="255" t="str">
        <f t="shared" si="22"/>
        <v/>
      </c>
      <c r="BT78" s="255" t="str">
        <f t="shared" si="23"/>
        <v/>
      </c>
      <c r="BU78" s="255" t="str">
        <f t="shared" si="24"/>
        <v/>
      </c>
      <c r="BV78" s="255" t="str">
        <f t="shared" si="25"/>
        <v/>
      </c>
      <c r="BW78" s="255" t="str">
        <f t="shared" si="26"/>
        <v/>
      </c>
      <c r="BX78" s="255" t="str">
        <f t="shared" si="27"/>
        <v/>
      </c>
      <c r="BY78" s="255" t="str">
        <f t="shared" si="28"/>
        <v/>
      </c>
      <c r="BZ78" s="255" t="str">
        <f t="shared" si="29"/>
        <v/>
      </c>
      <c r="CA78" s="255" t="str">
        <f t="shared" si="30"/>
        <v/>
      </c>
      <c r="CB78" s="255" t="str">
        <f t="shared" si="31"/>
        <v/>
      </c>
      <c r="CC78" s="369"/>
    </row>
    <row r="79">
      <c r="M79" s="388"/>
      <c r="AV79" s="411" t="str">
        <f>SILOMS!O30</f>
        <v>PCE-PC2050</v>
      </c>
      <c r="AW79" s="339">
        <f>SILOMS!T30</f>
        <v>2702</v>
      </c>
      <c r="AX79" s="339" t="str">
        <f>SILOMS!Y30</f>
        <v>APL</v>
      </c>
      <c r="AY79" s="339" t="str">
        <f>SILOMS!G30</f>
        <v>1/5GAV</v>
      </c>
      <c r="AZ79" s="412">
        <f>SILOMS!Q30</f>
        <v>23.03472222</v>
      </c>
      <c r="BA79" s="413">
        <f t="shared" si="4"/>
        <v>947.1666667</v>
      </c>
      <c r="BB79" s="414">
        <f t="shared" si="5"/>
        <v>55.625</v>
      </c>
      <c r="BC79" s="415">
        <f t="shared" si="6"/>
        <v>17.02771536</v>
      </c>
      <c r="BD79" s="413" t="str">
        <f t="shared" si="7"/>
        <v>HSI</v>
      </c>
      <c r="BE79" s="255" t="str">
        <f t="shared" si="8"/>
        <v/>
      </c>
      <c r="BF79" s="255" t="str">
        <f t="shared" si="9"/>
        <v/>
      </c>
      <c r="BG79" s="255" t="str">
        <f t="shared" si="10"/>
        <v/>
      </c>
      <c r="BH79" s="255" t="str">
        <f t="shared" si="11"/>
        <v/>
      </c>
      <c r="BI79" s="255" t="str">
        <f t="shared" si="12"/>
        <v/>
      </c>
      <c r="BJ79" s="255" t="str">
        <f t="shared" si="13"/>
        <v/>
      </c>
      <c r="BK79" s="255" t="str">
        <f t="shared" si="14"/>
        <v/>
      </c>
      <c r="BL79" s="255" t="str">
        <f t="shared" si="15"/>
        <v/>
      </c>
      <c r="BM79" s="255" t="str">
        <f t="shared" si="16"/>
        <v/>
      </c>
      <c r="BN79" s="426" t="str">
        <f t="shared" si="17"/>
        <v/>
      </c>
      <c r="BO79" s="255" t="str">
        <f t="shared" si="18"/>
        <v/>
      </c>
      <c r="BP79" s="255" t="str">
        <f t="shared" si="19"/>
        <v/>
      </c>
      <c r="BQ79" s="255" t="str">
        <f t="shared" si="20"/>
        <v/>
      </c>
      <c r="BR79" s="255" t="str">
        <f t="shared" si="21"/>
        <v/>
      </c>
      <c r="BS79" s="255" t="str">
        <f t="shared" si="22"/>
        <v/>
      </c>
      <c r="BT79" s="255" t="str">
        <f t="shared" si="23"/>
        <v/>
      </c>
      <c r="BU79" s="255" t="str">
        <f t="shared" si="24"/>
        <v/>
      </c>
      <c r="BV79" s="426" t="str">
        <f t="shared" si="25"/>
        <v>HSI</v>
      </c>
      <c r="BW79" s="255" t="str">
        <f t="shared" si="26"/>
        <v/>
      </c>
      <c r="BX79" s="255" t="str">
        <f t="shared" si="27"/>
        <v/>
      </c>
      <c r="BY79" s="255" t="str">
        <f t="shared" si="28"/>
        <v/>
      </c>
      <c r="BZ79" s="255" t="str">
        <f t="shared" si="29"/>
        <v/>
      </c>
      <c r="CA79" s="255" t="str">
        <f t="shared" si="30"/>
        <v/>
      </c>
      <c r="CB79" s="255" t="str">
        <f t="shared" si="31"/>
        <v/>
      </c>
      <c r="CC79" s="369"/>
    </row>
    <row r="80">
      <c r="M80" s="388"/>
      <c r="AV80" s="411" t="str">
        <f>SILOMS!O31</f>
        <v>PCE-PC2055</v>
      </c>
      <c r="AW80" s="339">
        <f>SILOMS!T31</f>
        <v>2722</v>
      </c>
      <c r="AX80" s="339" t="str">
        <f>SILOMS!Y31</f>
        <v>APL</v>
      </c>
      <c r="AY80" s="339" t="str">
        <f>SILOMS!G31</f>
        <v>2ETA</v>
      </c>
      <c r="AZ80" s="412">
        <f>SILOMS!Q31</f>
        <v>173.2673611</v>
      </c>
      <c r="BA80" s="413">
        <f t="shared" si="4"/>
        <v>341.5833333</v>
      </c>
      <c r="BB80" s="414">
        <f t="shared" si="5"/>
        <v>10.97142857</v>
      </c>
      <c r="BC80" s="415">
        <f t="shared" si="6"/>
        <v>31.13389757</v>
      </c>
      <c r="BD80" s="413" t="str">
        <f t="shared" si="7"/>
        <v>HSI</v>
      </c>
      <c r="BE80" s="369" t="str">
        <f t="shared" si="8"/>
        <v/>
      </c>
      <c r="BF80" s="369" t="str">
        <f t="shared" si="9"/>
        <v/>
      </c>
      <c r="BG80" s="369" t="str">
        <f t="shared" si="10"/>
        <v/>
      </c>
      <c r="BH80" s="369" t="str">
        <f t="shared" si="11"/>
        <v/>
      </c>
      <c r="BI80" s="369" t="str">
        <f t="shared" si="12"/>
        <v/>
      </c>
      <c r="BJ80" s="369" t="str">
        <f t="shared" si="13"/>
        <v/>
      </c>
      <c r="BK80" s="369" t="str">
        <f t="shared" si="14"/>
        <v/>
      </c>
      <c r="BL80" s="369" t="str">
        <f t="shared" si="15"/>
        <v/>
      </c>
      <c r="BM80" s="369" t="str">
        <f t="shared" si="16"/>
        <v/>
      </c>
      <c r="BN80" s="369" t="str">
        <f t="shared" si="17"/>
        <v/>
      </c>
      <c r="BO80" s="369" t="str">
        <f t="shared" si="18"/>
        <v/>
      </c>
      <c r="BP80" s="372" t="str">
        <f t="shared" si="19"/>
        <v/>
      </c>
      <c r="BQ80" s="369" t="str">
        <f t="shared" si="20"/>
        <v/>
      </c>
      <c r="BR80" s="369" t="str">
        <f t="shared" si="21"/>
        <v/>
      </c>
      <c r="BS80" s="369" t="str">
        <f t="shared" si="22"/>
        <v/>
      </c>
      <c r="BT80" s="369" t="str">
        <f t="shared" si="23"/>
        <v/>
      </c>
      <c r="BU80" s="369" t="str">
        <f t="shared" si="24"/>
        <v/>
      </c>
      <c r="BV80" s="369" t="str">
        <f t="shared" si="25"/>
        <v/>
      </c>
      <c r="BW80" s="369" t="str">
        <f t="shared" si="26"/>
        <v/>
      </c>
      <c r="BX80" s="369" t="str">
        <f t="shared" si="27"/>
        <v/>
      </c>
      <c r="BY80" s="369" t="str">
        <f t="shared" si="28"/>
        <v/>
      </c>
      <c r="BZ80" s="369" t="str">
        <f t="shared" si="29"/>
        <v/>
      </c>
      <c r="CA80" s="369" t="str">
        <f t="shared" si="30"/>
        <v/>
      </c>
      <c r="CB80" s="369" t="str">
        <f t="shared" si="31"/>
        <v/>
      </c>
      <c r="CC80" s="369"/>
    </row>
    <row r="81">
      <c r="M81" s="388"/>
      <c r="AV81" s="411" t="str">
        <f>SILOMS!O32</f>
        <v>PCE-PC2081</v>
      </c>
      <c r="AW81" s="339">
        <f>SILOMS!T32</f>
        <v>2724</v>
      </c>
      <c r="AX81" s="339" t="str">
        <f>SILOMS!Y32</f>
        <v>OS</v>
      </c>
      <c r="AY81" s="339" t="str">
        <f>SILOMS!G32</f>
        <v>PAMASP</v>
      </c>
      <c r="AZ81" s="412">
        <f>SILOMS!Q32</f>
        <v>139.4548611</v>
      </c>
      <c r="BA81" s="413">
        <f t="shared" si="4"/>
        <v>1153.083333</v>
      </c>
      <c r="BB81" s="414" t="str">
        <f t="shared" si="5"/>
        <v>#DIV/0!</v>
      </c>
      <c r="BC81" s="415" t="str">
        <f t="shared" si="6"/>
        <v>#DIV/0!</v>
      </c>
      <c r="BD81" s="413" t="str">
        <f t="shared" si="7"/>
        <v>HSI</v>
      </c>
      <c r="BE81" s="255" t="str">
        <f t="shared" si="8"/>
        <v>#DIV/0!</v>
      </c>
      <c r="BF81" s="255" t="str">
        <f t="shared" si="9"/>
        <v>#DIV/0!</v>
      </c>
      <c r="BG81" s="255" t="str">
        <f t="shared" si="10"/>
        <v>#DIV/0!</v>
      </c>
      <c r="BH81" s="255" t="str">
        <f t="shared" si="11"/>
        <v>#DIV/0!</v>
      </c>
      <c r="BI81" s="255" t="str">
        <f t="shared" si="12"/>
        <v>#DIV/0!</v>
      </c>
      <c r="BJ81" s="255" t="str">
        <f t="shared" si="13"/>
        <v>#DIV/0!</v>
      </c>
      <c r="BK81" s="255" t="str">
        <f t="shared" si="14"/>
        <v>#DIV/0!</v>
      </c>
      <c r="BL81" s="255" t="str">
        <f t="shared" si="15"/>
        <v>#DIV/0!</v>
      </c>
      <c r="BM81" s="255" t="str">
        <f t="shared" si="16"/>
        <v>#DIV/0!</v>
      </c>
      <c r="BN81" s="255" t="str">
        <f t="shared" si="17"/>
        <v>#DIV/0!</v>
      </c>
      <c r="BO81" s="255" t="str">
        <f t="shared" si="18"/>
        <v>#DIV/0!</v>
      </c>
      <c r="BP81" s="255" t="str">
        <f t="shared" si="19"/>
        <v>#DIV/0!</v>
      </c>
      <c r="BQ81" s="255" t="str">
        <f t="shared" si="20"/>
        <v>#DIV/0!</v>
      </c>
      <c r="BR81" s="255" t="str">
        <f t="shared" si="21"/>
        <v>#DIV/0!</v>
      </c>
      <c r="BS81" s="255" t="str">
        <f t="shared" si="22"/>
        <v>#DIV/0!</v>
      </c>
      <c r="BT81" s="255" t="str">
        <f t="shared" si="23"/>
        <v>#DIV/0!</v>
      </c>
      <c r="BU81" s="255" t="str">
        <f t="shared" si="24"/>
        <v>#DIV/0!</v>
      </c>
      <c r="BV81" s="255" t="str">
        <f t="shared" si="25"/>
        <v>#DIV/0!</v>
      </c>
      <c r="BW81" s="255" t="str">
        <f t="shared" si="26"/>
        <v>#DIV/0!</v>
      </c>
      <c r="BX81" s="255" t="str">
        <f t="shared" si="27"/>
        <v>#DIV/0!</v>
      </c>
      <c r="BY81" s="255" t="str">
        <f t="shared" si="28"/>
        <v>#DIV/0!</v>
      </c>
      <c r="BZ81" s="255" t="str">
        <f t="shared" si="29"/>
        <v>#DIV/0!</v>
      </c>
      <c r="CA81" s="255" t="str">
        <f t="shared" si="30"/>
        <v>#DIV/0!</v>
      </c>
      <c r="CB81" s="255" t="str">
        <f t="shared" si="31"/>
        <v>#DIV/0!</v>
      </c>
      <c r="CC81" s="369"/>
    </row>
    <row r="82">
      <c r="M82" s="388"/>
      <c r="AV82" s="411" t="str">
        <f>SILOMS!O33</f>
        <v>PCE-PC2115</v>
      </c>
      <c r="AW82" s="339">
        <f>SILOMS!T33</f>
        <v>2741</v>
      </c>
      <c r="AX82" s="339" t="str">
        <f>SILOMS!Y33</f>
        <v>APL</v>
      </c>
      <c r="AY82" s="339" t="str">
        <f>SILOMS!G33</f>
        <v>7ETA</v>
      </c>
      <c r="AZ82" s="412">
        <f>SILOMS!Q33</f>
        <v>161.9444444</v>
      </c>
      <c r="BA82" s="413">
        <f t="shared" si="4"/>
        <v>613.3333333</v>
      </c>
      <c r="BB82" s="414">
        <f t="shared" si="5"/>
        <v>4.411111111</v>
      </c>
      <c r="BC82" s="415">
        <f t="shared" si="6"/>
        <v>139.0428212</v>
      </c>
      <c r="BD82" s="413" t="str">
        <f t="shared" si="7"/>
        <v>HSI</v>
      </c>
      <c r="BE82" s="255" t="str">
        <f t="shared" si="8"/>
        <v/>
      </c>
      <c r="BF82" s="255" t="str">
        <f t="shared" si="9"/>
        <v/>
      </c>
      <c r="BG82" s="255" t="str">
        <f t="shared" si="10"/>
        <v/>
      </c>
      <c r="BH82" s="255" t="str">
        <f t="shared" si="11"/>
        <v/>
      </c>
      <c r="BI82" s="255" t="str">
        <f t="shared" si="12"/>
        <v/>
      </c>
      <c r="BJ82" s="255" t="str">
        <f t="shared" si="13"/>
        <v/>
      </c>
      <c r="BK82" s="255" t="str">
        <f t="shared" si="14"/>
        <v/>
      </c>
      <c r="BL82" s="255" t="str">
        <f t="shared" si="15"/>
        <v/>
      </c>
      <c r="BM82" s="255" t="str">
        <f t="shared" si="16"/>
        <v/>
      </c>
      <c r="BN82" s="255" t="str">
        <f t="shared" si="17"/>
        <v/>
      </c>
      <c r="BO82" s="255" t="str">
        <f t="shared" si="18"/>
        <v/>
      </c>
      <c r="BP82" s="255" t="str">
        <f t="shared" si="19"/>
        <v/>
      </c>
      <c r="BQ82" s="255" t="str">
        <f t="shared" si="20"/>
        <v/>
      </c>
      <c r="BR82" s="255" t="str">
        <f t="shared" si="21"/>
        <v/>
      </c>
      <c r="BS82" s="255" t="str">
        <f t="shared" si="22"/>
        <v/>
      </c>
      <c r="BT82" s="255" t="str">
        <f t="shared" si="23"/>
        <v/>
      </c>
      <c r="BU82" s="255" t="str">
        <f t="shared" si="24"/>
        <v/>
      </c>
      <c r="BV82" s="255" t="str">
        <f t="shared" si="25"/>
        <v/>
      </c>
      <c r="BW82" s="255" t="str">
        <f t="shared" si="26"/>
        <v/>
      </c>
      <c r="BX82" s="255" t="str">
        <f t="shared" si="27"/>
        <v/>
      </c>
      <c r="BY82" s="255" t="str">
        <f t="shared" si="28"/>
        <v/>
      </c>
      <c r="BZ82" s="255" t="str">
        <f t="shared" si="29"/>
        <v/>
      </c>
      <c r="CA82" s="255" t="str">
        <f t="shared" si="30"/>
        <v/>
      </c>
      <c r="CB82" s="255" t="str">
        <f t="shared" si="31"/>
        <v/>
      </c>
      <c r="CC82" s="369"/>
    </row>
    <row r="83">
      <c r="M83" s="388"/>
      <c r="AV83" s="411" t="str">
        <f>SILOMS!O34</f>
        <v>PCE-PC2223</v>
      </c>
      <c r="AW83" s="339">
        <f>SILOMS!T34</f>
        <v>2723</v>
      </c>
      <c r="AX83" s="339" t="str">
        <f>SILOMS!Y34</f>
        <v>APL</v>
      </c>
      <c r="AY83" s="339" t="str">
        <f>SILOMS!G34</f>
        <v>CLA</v>
      </c>
      <c r="AZ83" s="412">
        <f>SILOMS!Q34</f>
        <v>117.9444444</v>
      </c>
      <c r="BA83" s="413">
        <f t="shared" si="4"/>
        <v>169.3333333</v>
      </c>
      <c r="BB83" s="414">
        <f t="shared" si="5"/>
        <v>25.47619048</v>
      </c>
      <c r="BC83" s="415">
        <f t="shared" si="6"/>
        <v>6.646728972</v>
      </c>
      <c r="BD83" s="413" t="str">
        <f t="shared" si="7"/>
        <v>HSI</v>
      </c>
      <c r="BE83" s="255" t="str">
        <f t="shared" si="8"/>
        <v/>
      </c>
      <c r="BF83" s="255" t="str">
        <f t="shared" si="9"/>
        <v/>
      </c>
      <c r="BG83" s="255" t="str">
        <f t="shared" si="10"/>
        <v/>
      </c>
      <c r="BH83" s="255" t="str">
        <f t="shared" si="11"/>
        <v/>
      </c>
      <c r="BI83" s="255" t="str">
        <f t="shared" si="12"/>
        <v/>
      </c>
      <c r="BJ83" s="255" t="str">
        <f t="shared" si="13"/>
        <v/>
      </c>
      <c r="BK83" s="426" t="str">
        <f t="shared" si="14"/>
        <v>HSI</v>
      </c>
      <c r="BL83" s="255" t="str">
        <f t="shared" si="15"/>
        <v/>
      </c>
      <c r="BM83" s="255" t="str">
        <f t="shared" si="16"/>
        <v/>
      </c>
      <c r="BN83" s="255" t="str">
        <f t="shared" si="17"/>
        <v/>
      </c>
      <c r="BO83" s="255" t="str">
        <f t="shared" si="18"/>
        <v/>
      </c>
      <c r="BP83" s="255" t="str">
        <f t="shared" si="19"/>
        <v/>
      </c>
      <c r="BQ83" s="255" t="str">
        <f t="shared" si="20"/>
        <v/>
      </c>
      <c r="BR83" s="255" t="str">
        <f t="shared" si="21"/>
        <v/>
      </c>
      <c r="BS83" s="255" t="str">
        <f t="shared" si="22"/>
        <v/>
      </c>
      <c r="BT83" s="255" t="str">
        <f t="shared" si="23"/>
        <v/>
      </c>
      <c r="BU83" s="255" t="str">
        <f t="shared" si="24"/>
        <v/>
      </c>
      <c r="BV83" s="255" t="str">
        <f t="shared" si="25"/>
        <v/>
      </c>
      <c r="BW83" s="255" t="str">
        <f t="shared" si="26"/>
        <v/>
      </c>
      <c r="BX83" s="255" t="str">
        <f t="shared" si="27"/>
        <v/>
      </c>
      <c r="BY83" s="255" t="str">
        <f t="shared" si="28"/>
        <v/>
      </c>
      <c r="BZ83" s="255" t="str">
        <f t="shared" si="29"/>
        <v/>
      </c>
      <c r="CA83" s="255" t="str">
        <f t="shared" si="30"/>
        <v/>
      </c>
      <c r="CB83" s="255" t="str">
        <f t="shared" si="31"/>
        <v/>
      </c>
      <c r="CC83" s="369"/>
    </row>
    <row r="84">
      <c r="M84" s="388"/>
      <c r="AV84" s="411" t="str">
        <f>SILOMS!O35</f>
        <v>PCE-PC2224</v>
      </c>
      <c r="AW84" s="339">
        <f>SILOMS!T35</f>
        <v>2731</v>
      </c>
      <c r="AX84" s="339" t="str">
        <f>SILOMS!Y35</f>
        <v>REPARA</v>
      </c>
      <c r="AY84" s="339" t="str">
        <f>SILOMS!G35</f>
        <v>PAMASP</v>
      </c>
      <c r="AZ84" s="412">
        <f>SILOMS!Q35</f>
        <v>20.08680556</v>
      </c>
      <c r="BA84" s="413">
        <f t="shared" si="4"/>
        <v>1017.916667</v>
      </c>
      <c r="BB84" s="414" t="str">
        <f t="shared" si="5"/>
        <v>#DIV/0!</v>
      </c>
      <c r="BC84" s="415" t="str">
        <f t="shared" si="6"/>
        <v>#DIV/0!</v>
      </c>
      <c r="BD84" s="413" t="str">
        <f t="shared" si="7"/>
        <v>HSI</v>
      </c>
      <c r="BE84" s="369" t="str">
        <f t="shared" si="8"/>
        <v>#DIV/0!</v>
      </c>
      <c r="BF84" s="369" t="str">
        <f t="shared" si="9"/>
        <v>#DIV/0!</v>
      </c>
      <c r="BG84" s="369" t="str">
        <f t="shared" si="10"/>
        <v>#DIV/0!</v>
      </c>
      <c r="BH84" s="369" t="str">
        <f t="shared" si="11"/>
        <v>#DIV/0!</v>
      </c>
      <c r="BI84" s="369" t="str">
        <f t="shared" si="12"/>
        <v>#DIV/0!</v>
      </c>
      <c r="BJ84" s="369" t="str">
        <f t="shared" si="13"/>
        <v>#DIV/0!</v>
      </c>
      <c r="BK84" s="369" t="str">
        <f t="shared" si="14"/>
        <v>#DIV/0!</v>
      </c>
      <c r="BL84" s="369" t="str">
        <f t="shared" si="15"/>
        <v>#DIV/0!</v>
      </c>
      <c r="BM84" s="369" t="str">
        <f t="shared" si="16"/>
        <v>#DIV/0!</v>
      </c>
      <c r="BN84" s="369" t="str">
        <f t="shared" si="17"/>
        <v>#DIV/0!</v>
      </c>
      <c r="BO84" s="372" t="str">
        <f t="shared" si="18"/>
        <v>#DIV/0!</v>
      </c>
      <c r="BP84" s="369" t="str">
        <f t="shared" si="19"/>
        <v>#DIV/0!</v>
      </c>
      <c r="BQ84" s="369" t="str">
        <f t="shared" si="20"/>
        <v>#DIV/0!</v>
      </c>
      <c r="BR84" s="369" t="str">
        <f t="shared" si="21"/>
        <v>#DIV/0!</v>
      </c>
      <c r="BS84" s="369" t="str">
        <f t="shared" si="22"/>
        <v>#DIV/0!</v>
      </c>
      <c r="BT84" s="369" t="str">
        <f t="shared" si="23"/>
        <v>#DIV/0!</v>
      </c>
      <c r="BU84" s="369" t="str">
        <f t="shared" si="24"/>
        <v>#DIV/0!</v>
      </c>
      <c r="BV84" s="369" t="str">
        <f t="shared" si="25"/>
        <v>#DIV/0!</v>
      </c>
      <c r="BW84" s="369" t="str">
        <f t="shared" si="26"/>
        <v>#DIV/0!</v>
      </c>
      <c r="BX84" s="369" t="str">
        <f t="shared" si="27"/>
        <v>#DIV/0!</v>
      </c>
      <c r="BY84" s="369" t="str">
        <f t="shared" si="28"/>
        <v>#DIV/0!</v>
      </c>
      <c r="BZ84" s="369" t="str">
        <f t="shared" si="29"/>
        <v>#DIV/0!</v>
      </c>
      <c r="CA84" s="369" t="str">
        <f t="shared" si="30"/>
        <v>#DIV/0!</v>
      </c>
      <c r="CB84" s="369" t="str">
        <f t="shared" si="31"/>
        <v>#DIV/0!</v>
      </c>
      <c r="CC84" s="369"/>
    </row>
    <row r="85">
      <c r="M85" s="388"/>
      <c r="AV85" s="411" t="str">
        <f>SILOMS!O36</f>
        <v>PCE-PC2232</v>
      </c>
      <c r="AW85" s="339">
        <f>SILOMS!T36</f>
        <v>2743</v>
      </c>
      <c r="AX85" s="339" t="str">
        <f>SILOMS!Y36</f>
        <v>APL</v>
      </c>
      <c r="AY85" s="339" t="str">
        <f>SILOMS!G36</f>
        <v>5ETA</v>
      </c>
      <c r="AZ85" s="412">
        <f>SILOMS!Q36</f>
        <v>183.8715278</v>
      </c>
      <c r="BA85" s="413">
        <f t="shared" si="4"/>
        <v>87.08333333</v>
      </c>
      <c r="BB85" s="414">
        <f t="shared" si="5"/>
        <v>0.119047619</v>
      </c>
      <c r="BC85" s="415">
        <f t="shared" si="6"/>
        <v>731.5</v>
      </c>
      <c r="BD85" s="413" t="str">
        <f t="shared" si="7"/>
        <v>HSI</v>
      </c>
      <c r="BE85" s="255" t="str">
        <f t="shared" si="8"/>
        <v/>
      </c>
      <c r="BF85" s="255" t="str">
        <f t="shared" si="9"/>
        <v/>
      </c>
      <c r="BG85" s="255" t="str">
        <f t="shared" si="10"/>
        <v/>
      </c>
      <c r="BH85" s="255" t="str">
        <f t="shared" si="11"/>
        <v/>
      </c>
      <c r="BI85" s="255" t="str">
        <f t="shared" si="12"/>
        <v/>
      </c>
      <c r="BJ85" s="255" t="str">
        <f t="shared" si="13"/>
        <v/>
      </c>
      <c r="BK85" s="255" t="str">
        <f t="shared" si="14"/>
        <v/>
      </c>
      <c r="BL85" s="255" t="str">
        <f t="shared" si="15"/>
        <v/>
      </c>
      <c r="BM85" s="255" t="str">
        <f t="shared" si="16"/>
        <v/>
      </c>
      <c r="BN85" s="255" t="str">
        <f t="shared" si="17"/>
        <v/>
      </c>
      <c r="BO85" s="255" t="str">
        <f t="shared" si="18"/>
        <v/>
      </c>
      <c r="BP85" s="255" t="str">
        <f t="shared" si="19"/>
        <v/>
      </c>
      <c r="BQ85" s="255" t="str">
        <f t="shared" si="20"/>
        <v/>
      </c>
      <c r="BR85" s="255" t="str">
        <f t="shared" si="21"/>
        <v/>
      </c>
      <c r="BS85" s="255" t="str">
        <f t="shared" si="22"/>
        <v/>
      </c>
      <c r="BT85" s="255" t="str">
        <f t="shared" si="23"/>
        <v/>
      </c>
      <c r="BU85" s="255" t="str">
        <f t="shared" si="24"/>
        <v/>
      </c>
      <c r="BV85" s="255" t="str">
        <f t="shared" si="25"/>
        <v/>
      </c>
      <c r="BW85" s="255" t="str">
        <f t="shared" si="26"/>
        <v/>
      </c>
      <c r="BX85" s="255" t="str">
        <f t="shared" si="27"/>
        <v/>
      </c>
      <c r="BY85" s="255" t="str">
        <f t="shared" si="28"/>
        <v/>
      </c>
      <c r="BZ85" s="255" t="str">
        <f t="shared" si="29"/>
        <v/>
      </c>
      <c r="CA85" s="255" t="str">
        <f t="shared" si="30"/>
        <v/>
      </c>
      <c r="CB85" s="255" t="str">
        <f t="shared" si="31"/>
        <v/>
      </c>
      <c r="CC85" s="369"/>
    </row>
    <row r="86">
      <c r="M86" s="388"/>
      <c r="AV86" s="411" t="str">
        <f>SILOMS!O37</f>
        <v>PCE-PC2257</v>
      </c>
      <c r="AW86" s="339">
        <f>SILOMS!T37</f>
        <v>2709</v>
      </c>
      <c r="AX86" s="339" t="str">
        <f>SILOMS!Y37</f>
        <v>APL</v>
      </c>
      <c r="AY86" s="339" t="str">
        <f>SILOMS!G37</f>
        <v>6ETA</v>
      </c>
      <c r="AZ86" s="412">
        <f>SILOMS!Q37</f>
        <v>114.8020833</v>
      </c>
      <c r="BA86" s="413">
        <f t="shared" si="4"/>
        <v>244.75</v>
      </c>
      <c r="BB86" s="414">
        <f t="shared" si="5"/>
        <v>0.05952380952</v>
      </c>
      <c r="BC86" s="415">
        <f t="shared" si="6"/>
        <v>4111.8</v>
      </c>
      <c r="BD86" s="413" t="str">
        <f t="shared" si="7"/>
        <v>HSI</v>
      </c>
      <c r="BE86" s="255" t="str">
        <f t="shared" si="8"/>
        <v/>
      </c>
      <c r="BF86" s="255" t="str">
        <f t="shared" si="9"/>
        <v/>
      </c>
      <c r="BG86" s="255" t="str">
        <f t="shared" si="10"/>
        <v/>
      </c>
      <c r="BH86" s="255" t="str">
        <f t="shared" si="11"/>
        <v/>
      </c>
      <c r="BI86" s="255" t="str">
        <f t="shared" si="12"/>
        <v/>
      </c>
      <c r="BJ86" s="255" t="str">
        <f t="shared" si="13"/>
        <v/>
      </c>
      <c r="BK86" s="255" t="str">
        <f t="shared" si="14"/>
        <v/>
      </c>
      <c r="BL86" s="255" t="str">
        <f t="shared" si="15"/>
        <v/>
      </c>
      <c r="BM86" s="255" t="str">
        <f t="shared" si="16"/>
        <v/>
      </c>
      <c r="BN86" s="255" t="str">
        <f t="shared" si="17"/>
        <v/>
      </c>
      <c r="BO86" s="255" t="str">
        <f t="shared" si="18"/>
        <v/>
      </c>
      <c r="BP86" s="255" t="str">
        <f t="shared" si="19"/>
        <v/>
      </c>
      <c r="BQ86" s="255" t="str">
        <f t="shared" si="20"/>
        <v/>
      </c>
      <c r="BR86" s="255" t="str">
        <f t="shared" si="21"/>
        <v/>
      </c>
      <c r="BS86" s="255" t="str">
        <f t="shared" si="22"/>
        <v/>
      </c>
      <c r="BT86" s="255" t="str">
        <f t="shared" si="23"/>
        <v/>
      </c>
      <c r="BU86" s="255" t="str">
        <f t="shared" si="24"/>
        <v/>
      </c>
      <c r="BV86" s="255" t="str">
        <f t="shared" si="25"/>
        <v/>
      </c>
      <c r="BW86" s="255" t="str">
        <f t="shared" si="26"/>
        <v/>
      </c>
      <c r="BX86" s="255" t="str">
        <f t="shared" si="27"/>
        <v/>
      </c>
      <c r="BY86" s="255" t="str">
        <f t="shared" si="28"/>
        <v/>
      </c>
      <c r="BZ86" s="255" t="str">
        <f t="shared" si="29"/>
        <v/>
      </c>
      <c r="CA86" s="255" t="str">
        <f t="shared" si="30"/>
        <v/>
      </c>
      <c r="CB86" s="255" t="str">
        <f t="shared" si="31"/>
        <v/>
      </c>
      <c r="CC86" s="369"/>
    </row>
    <row r="87">
      <c r="M87" s="388"/>
      <c r="AV87" s="411" t="str">
        <f>SILOMS!O38</f>
        <v>PCE-PC2261</v>
      </c>
      <c r="AW87" s="339">
        <f>SILOMS!T38</f>
        <v>2720</v>
      </c>
      <c r="AX87" s="339" t="str">
        <f>SILOMS!Y38</f>
        <v>APL</v>
      </c>
      <c r="AY87" s="339" t="str">
        <f>SILOMS!G38</f>
        <v>6ETA</v>
      </c>
      <c r="AZ87" s="412">
        <f>SILOMS!Q38</f>
        <v>133.7222222</v>
      </c>
      <c r="BA87" s="413">
        <f t="shared" si="4"/>
        <v>1290.666667</v>
      </c>
      <c r="BB87" s="414">
        <f t="shared" si="5"/>
        <v>0.05952380952</v>
      </c>
      <c r="BC87" s="415">
        <f t="shared" si="6"/>
        <v>21683.2</v>
      </c>
      <c r="BD87" s="413" t="str">
        <f t="shared" si="7"/>
        <v>HSI</v>
      </c>
      <c r="BE87" s="369" t="str">
        <f t="shared" si="8"/>
        <v/>
      </c>
      <c r="BF87" s="369" t="str">
        <f t="shared" si="9"/>
        <v/>
      </c>
      <c r="BG87" s="369" t="str">
        <f t="shared" si="10"/>
        <v/>
      </c>
      <c r="BH87" s="369" t="str">
        <f t="shared" si="11"/>
        <v/>
      </c>
      <c r="BI87" s="369" t="str">
        <f t="shared" si="12"/>
        <v/>
      </c>
      <c r="BJ87" s="426" t="str">
        <f t="shared" si="13"/>
        <v/>
      </c>
      <c r="BK87" s="369" t="str">
        <f t="shared" si="14"/>
        <v/>
      </c>
      <c r="BL87" s="369" t="str">
        <f t="shared" si="15"/>
        <v/>
      </c>
      <c r="BM87" s="369" t="str">
        <f t="shared" si="16"/>
        <v/>
      </c>
      <c r="BN87" s="369" t="str">
        <f t="shared" si="17"/>
        <v/>
      </c>
      <c r="BO87" s="369" t="str">
        <f t="shared" si="18"/>
        <v/>
      </c>
      <c r="BP87" s="369" t="str">
        <f t="shared" si="19"/>
        <v/>
      </c>
      <c r="BQ87" s="369" t="str">
        <f t="shared" si="20"/>
        <v/>
      </c>
      <c r="BR87" s="369" t="str">
        <f t="shared" si="21"/>
        <v/>
      </c>
      <c r="BS87" s="369" t="str">
        <f t="shared" si="22"/>
        <v/>
      </c>
      <c r="BT87" s="369" t="str">
        <f t="shared" si="23"/>
        <v/>
      </c>
      <c r="BU87" s="369" t="str">
        <f t="shared" si="24"/>
        <v/>
      </c>
      <c r="BV87" s="369" t="str">
        <f t="shared" si="25"/>
        <v/>
      </c>
      <c r="BW87" s="369" t="str">
        <f t="shared" si="26"/>
        <v/>
      </c>
      <c r="BX87" s="369" t="str">
        <f t="shared" si="27"/>
        <v/>
      </c>
      <c r="BY87" s="369" t="str">
        <f t="shared" si="28"/>
        <v/>
      </c>
      <c r="BZ87" s="369" t="str">
        <f t="shared" si="29"/>
        <v/>
      </c>
      <c r="CA87" s="369" t="str">
        <f t="shared" si="30"/>
        <v/>
      </c>
      <c r="CB87" s="369" t="str">
        <f t="shared" si="31"/>
        <v/>
      </c>
      <c r="CC87" s="369"/>
    </row>
    <row r="88">
      <c r="M88" s="388"/>
      <c r="AV88" s="411" t="str">
        <f>SILOMS!O39</f>
        <v>PCE-PC2289</v>
      </c>
      <c r="AW88" s="339">
        <f>SILOMS!T39</f>
        <v>2731</v>
      </c>
      <c r="AX88" s="339" t="str">
        <f>SILOMS!Y39</f>
        <v>OS</v>
      </c>
      <c r="AY88" s="339" t="str">
        <f>SILOMS!G39</f>
        <v>PAMASP</v>
      </c>
      <c r="AZ88" s="412">
        <f>SILOMS!Q39</f>
        <v>75.78819444</v>
      </c>
      <c r="BA88" s="413">
        <f t="shared" si="4"/>
        <v>1181.083333</v>
      </c>
      <c r="BB88" s="414" t="str">
        <f t="shared" si="5"/>
        <v>#DIV/0!</v>
      </c>
      <c r="BC88" s="415" t="str">
        <f t="shared" si="6"/>
        <v>#DIV/0!</v>
      </c>
      <c r="BD88" s="413" t="str">
        <f t="shared" si="7"/>
        <v>HSI</v>
      </c>
      <c r="BE88" s="369" t="str">
        <f t="shared" si="8"/>
        <v>#DIV/0!</v>
      </c>
      <c r="BF88" s="426" t="str">
        <f t="shared" si="9"/>
        <v>#DIV/0!</v>
      </c>
      <c r="BG88" s="369" t="str">
        <f t="shared" si="10"/>
        <v>#DIV/0!</v>
      </c>
      <c r="BH88" s="369" t="str">
        <f t="shared" si="11"/>
        <v>#DIV/0!</v>
      </c>
      <c r="BI88" s="369" t="str">
        <f t="shared" si="12"/>
        <v>#DIV/0!</v>
      </c>
      <c r="BJ88" s="369" t="str">
        <f t="shared" si="13"/>
        <v>#DIV/0!</v>
      </c>
      <c r="BK88" s="369" t="str">
        <f t="shared" si="14"/>
        <v>#DIV/0!</v>
      </c>
      <c r="BL88" s="369" t="str">
        <f t="shared" si="15"/>
        <v>#DIV/0!</v>
      </c>
      <c r="BM88" s="369" t="str">
        <f t="shared" si="16"/>
        <v>#DIV/0!</v>
      </c>
      <c r="BN88" s="369" t="str">
        <f t="shared" si="17"/>
        <v>#DIV/0!</v>
      </c>
      <c r="BO88" s="369" t="str">
        <f t="shared" si="18"/>
        <v>#DIV/0!</v>
      </c>
      <c r="BP88" s="369" t="str">
        <f t="shared" si="19"/>
        <v>#DIV/0!</v>
      </c>
      <c r="BQ88" s="369" t="str">
        <f t="shared" si="20"/>
        <v>#DIV/0!</v>
      </c>
      <c r="BR88" s="369" t="str">
        <f t="shared" si="21"/>
        <v>#DIV/0!</v>
      </c>
      <c r="BS88" s="369" t="str">
        <f t="shared" si="22"/>
        <v>#DIV/0!</v>
      </c>
      <c r="BT88" s="369" t="str">
        <f t="shared" si="23"/>
        <v>#DIV/0!</v>
      </c>
      <c r="BU88" s="369" t="str">
        <f t="shared" si="24"/>
        <v>#DIV/0!</v>
      </c>
      <c r="BV88" s="369" t="str">
        <f t="shared" si="25"/>
        <v>#DIV/0!</v>
      </c>
      <c r="BW88" s="369" t="str">
        <f t="shared" si="26"/>
        <v>#DIV/0!</v>
      </c>
      <c r="BX88" s="369" t="str">
        <f t="shared" si="27"/>
        <v>#DIV/0!</v>
      </c>
      <c r="BY88" s="369" t="str">
        <f t="shared" si="28"/>
        <v>#DIV/0!</v>
      </c>
      <c r="BZ88" s="369" t="str">
        <f t="shared" si="29"/>
        <v>#DIV/0!</v>
      </c>
      <c r="CA88" s="369" t="str">
        <f t="shared" si="30"/>
        <v>#DIV/0!</v>
      </c>
      <c r="CB88" s="369" t="str">
        <f t="shared" si="31"/>
        <v>#DIV/0!</v>
      </c>
      <c r="CC88" s="369"/>
    </row>
    <row r="89">
      <c r="M89" s="388"/>
      <c r="AV89" s="411" t="str">
        <f>SILOMS!O40</f>
        <v>PCE-PC2290</v>
      </c>
      <c r="AW89" s="339">
        <f>SILOMS!T40</f>
        <v>2729</v>
      </c>
      <c r="AX89" s="339" t="str">
        <f>SILOMS!Y40</f>
        <v>OS</v>
      </c>
      <c r="AY89" s="339" t="str">
        <f>SILOMS!G40</f>
        <v>1/5GAV</v>
      </c>
      <c r="AZ89" s="412">
        <f>SILOMS!Q40</f>
        <v>118.0347222</v>
      </c>
      <c r="BA89" s="413">
        <f t="shared" si="4"/>
        <v>167.1666667</v>
      </c>
      <c r="BB89" s="414">
        <f t="shared" si="5"/>
        <v>55.625</v>
      </c>
      <c r="BC89" s="415">
        <f t="shared" si="6"/>
        <v>3.005243446</v>
      </c>
      <c r="BD89" s="413" t="str">
        <f t="shared" si="7"/>
        <v>HSI</v>
      </c>
      <c r="BE89" s="255" t="str">
        <f t="shared" si="8"/>
        <v/>
      </c>
      <c r="BF89" s="255" t="str">
        <f t="shared" si="9"/>
        <v/>
      </c>
      <c r="BG89" s="255" t="str">
        <f t="shared" si="10"/>
        <v/>
      </c>
      <c r="BH89" s="426" t="str">
        <f t="shared" si="11"/>
        <v>HSI</v>
      </c>
      <c r="BI89" s="255" t="str">
        <f t="shared" si="12"/>
        <v/>
      </c>
      <c r="BJ89" s="255" t="str">
        <f t="shared" si="13"/>
        <v/>
      </c>
      <c r="BK89" s="255" t="str">
        <f t="shared" si="14"/>
        <v/>
      </c>
      <c r="BL89" s="255" t="str">
        <f t="shared" si="15"/>
        <v/>
      </c>
      <c r="BM89" s="255" t="str">
        <f t="shared" si="16"/>
        <v/>
      </c>
      <c r="BN89" s="255" t="str">
        <f t="shared" si="17"/>
        <v/>
      </c>
      <c r="BO89" s="255" t="str">
        <f t="shared" si="18"/>
        <v/>
      </c>
      <c r="BP89" s="255" t="str">
        <f t="shared" si="19"/>
        <v/>
      </c>
      <c r="BQ89" s="255" t="str">
        <f t="shared" si="20"/>
        <v/>
      </c>
      <c r="BR89" s="255" t="str">
        <f t="shared" si="21"/>
        <v/>
      </c>
      <c r="BS89" s="255" t="str">
        <f t="shared" si="22"/>
        <v/>
      </c>
      <c r="BT89" s="255" t="str">
        <f t="shared" si="23"/>
        <v/>
      </c>
      <c r="BU89" s="255" t="str">
        <f t="shared" si="24"/>
        <v/>
      </c>
      <c r="BV89" s="255" t="str">
        <f t="shared" si="25"/>
        <v/>
      </c>
      <c r="BW89" s="255" t="str">
        <f t="shared" si="26"/>
        <v/>
      </c>
      <c r="BX89" s="255" t="str">
        <f t="shared" si="27"/>
        <v/>
      </c>
      <c r="BY89" s="255" t="str">
        <f t="shared" si="28"/>
        <v/>
      </c>
      <c r="BZ89" s="255" t="str">
        <f t="shared" si="29"/>
        <v/>
      </c>
      <c r="CA89" s="255" t="str">
        <f t="shared" si="30"/>
        <v/>
      </c>
      <c r="CB89" s="255" t="str">
        <f t="shared" si="31"/>
        <v/>
      </c>
      <c r="CC89" s="369"/>
    </row>
    <row r="90">
      <c r="M90" s="388"/>
      <c r="AV90" s="411" t="str">
        <f>SILOMS!O41</f>
        <v>PCE-PC2358</v>
      </c>
      <c r="AW90" s="339">
        <f>SILOMS!T41</f>
        <v>2736</v>
      </c>
      <c r="AX90" s="339" t="str">
        <f>SILOMS!Y41</f>
        <v>APL</v>
      </c>
      <c r="AY90" s="339" t="str">
        <f>SILOMS!G41</f>
        <v>7ETA</v>
      </c>
      <c r="AZ90" s="412">
        <f>SILOMS!Q41</f>
        <v>166.3472222</v>
      </c>
      <c r="BA90" s="413">
        <f t="shared" si="4"/>
        <v>507.6666667</v>
      </c>
      <c r="BB90" s="414">
        <f t="shared" si="5"/>
        <v>4.411111111</v>
      </c>
      <c r="BC90" s="415">
        <f t="shared" si="6"/>
        <v>115.0881612</v>
      </c>
      <c r="BD90" s="413" t="str">
        <f t="shared" si="7"/>
        <v>HSI</v>
      </c>
      <c r="BE90" s="255" t="str">
        <f t="shared" si="8"/>
        <v/>
      </c>
      <c r="BF90" s="255" t="str">
        <f t="shared" si="9"/>
        <v/>
      </c>
      <c r="BG90" s="255" t="str">
        <f t="shared" si="10"/>
        <v/>
      </c>
      <c r="BH90" s="255" t="str">
        <f t="shared" si="11"/>
        <v/>
      </c>
      <c r="BI90" s="255" t="str">
        <f t="shared" si="12"/>
        <v/>
      </c>
      <c r="BJ90" s="255" t="str">
        <f t="shared" si="13"/>
        <v/>
      </c>
      <c r="BK90" s="255" t="str">
        <f t="shared" si="14"/>
        <v/>
      </c>
      <c r="BL90" s="255" t="str">
        <f t="shared" si="15"/>
        <v/>
      </c>
      <c r="BM90" s="255" t="str">
        <f t="shared" si="16"/>
        <v/>
      </c>
      <c r="BN90" s="426" t="str">
        <f t="shared" si="17"/>
        <v/>
      </c>
      <c r="BO90" s="255" t="str">
        <f t="shared" si="18"/>
        <v/>
      </c>
      <c r="BP90" s="255" t="str">
        <f t="shared" si="19"/>
        <v/>
      </c>
      <c r="BQ90" s="255" t="str">
        <f t="shared" si="20"/>
        <v/>
      </c>
      <c r="BR90" s="255" t="str">
        <f t="shared" si="21"/>
        <v/>
      </c>
      <c r="BS90" s="255" t="str">
        <f t="shared" si="22"/>
        <v/>
      </c>
      <c r="BT90" s="255" t="str">
        <f t="shared" si="23"/>
        <v/>
      </c>
      <c r="BU90" s="255" t="str">
        <f t="shared" si="24"/>
        <v/>
      </c>
      <c r="BV90" s="255" t="str">
        <f t="shared" si="25"/>
        <v/>
      </c>
      <c r="BW90" s="255" t="str">
        <f t="shared" si="26"/>
        <v/>
      </c>
      <c r="BX90" s="255" t="str">
        <f t="shared" si="27"/>
        <v/>
      </c>
      <c r="BY90" s="255" t="str">
        <f t="shared" si="28"/>
        <v/>
      </c>
      <c r="BZ90" s="255" t="str">
        <f t="shared" si="29"/>
        <v/>
      </c>
      <c r="CA90" s="255" t="str">
        <f t="shared" si="30"/>
        <v/>
      </c>
      <c r="CB90" s="255" t="str">
        <f t="shared" si="31"/>
        <v/>
      </c>
      <c r="CC90" s="369"/>
    </row>
    <row r="91">
      <c r="M91" s="388"/>
      <c r="AV91" s="411" t="str">
        <f>SILOMS!O42</f>
        <v>PCE-PC2360</v>
      </c>
      <c r="AW91" s="339">
        <f>SILOMS!T42</f>
        <v>2708</v>
      </c>
      <c r="AX91" s="339" t="str">
        <f>SILOMS!Y42</f>
        <v>APL</v>
      </c>
      <c r="AY91" s="339" t="str">
        <f>SILOMS!G42</f>
        <v>1/5GAV</v>
      </c>
      <c r="AZ91" s="412">
        <f>SILOMS!Q42</f>
        <v>95.65625</v>
      </c>
      <c r="BA91" s="413">
        <f t="shared" si="4"/>
        <v>704.25</v>
      </c>
      <c r="BB91" s="414">
        <f t="shared" si="5"/>
        <v>55.625</v>
      </c>
      <c r="BC91" s="415">
        <f t="shared" si="6"/>
        <v>12.66067416</v>
      </c>
      <c r="BD91" s="413" t="str">
        <f t="shared" si="7"/>
        <v>HSI</v>
      </c>
      <c r="BE91" s="255" t="str">
        <f t="shared" si="8"/>
        <v/>
      </c>
      <c r="BF91" s="255" t="str">
        <f t="shared" si="9"/>
        <v/>
      </c>
      <c r="BG91" s="255" t="str">
        <f t="shared" si="10"/>
        <v/>
      </c>
      <c r="BH91" s="255" t="str">
        <f t="shared" si="11"/>
        <v/>
      </c>
      <c r="BI91" s="255" t="str">
        <f t="shared" si="12"/>
        <v/>
      </c>
      <c r="BJ91" s="255" t="str">
        <f t="shared" si="13"/>
        <v/>
      </c>
      <c r="BK91" s="255" t="str">
        <f t="shared" si="14"/>
        <v/>
      </c>
      <c r="BL91" s="255" t="str">
        <f t="shared" si="15"/>
        <v/>
      </c>
      <c r="BM91" s="255" t="str">
        <f t="shared" si="16"/>
        <v/>
      </c>
      <c r="BN91" s="426" t="str">
        <f t="shared" si="17"/>
        <v/>
      </c>
      <c r="BO91" s="255" t="str">
        <f t="shared" si="18"/>
        <v/>
      </c>
      <c r="BP91" s="255" t="str">
        <f t="shared" si="19"/>
        <v/>
      </c>
      <c r="BQ91" s="426" t="str">
        <f t="shared" si="20"/>
        <v>HSI</v>
      </c>
      <c r="BR91" s="255" t="str">
        <f t="shared" si="21"/>
        <v/>
      </c>
      <c r="BS91" s="255" t="str">
        <f t="shared" si="22"/>
        <v/>
      </c>
      <c r="BT91" s="255" t="str">
        <f t="shared" si="23"/>
        <v/>
      </c>
      <c r="BU91" s="255" t="str">
        <f t="shared" si="24"/>
        <v/>
      </c>
      <c r="BV91" s="255" t="str">
        <f t="shared" si="25"/>
        <v/>
      </c>
      <c r="BW91" s="255" t="str">
        <f t="shared" si="26"/>
        <v/>
      </c>
      <c r="BX91" s="255" t="str">
        <f t="shared" si="27"/>
        <v/>
      </c>
      <c r="BY91" s="255" t="str">
        <f t="shared" si="28"/>
        <v/>
      </c>
      <c r="BZ91" s="255" t="str">
        <f t="shared" si="29"/>
        <v/>
      </c>
      <c r="CA91" s="255" t="str">
        <f t="shared" si="30"/>
        <v/>
      </c>
      <c r="CB91" s="255" t="str">
        <f t="shared" si="31"/>
        <v/>
      </c>
      <c r="CC91" s="369"/>
    </row>
    <row r="92">
      <c r="M92" s="388"/>
      <c r="AV92" s="411" t="str">
        <f>SILOMS!O43</f>
        <v/>
      </c>
      <c r="AW92" s="339" t="str">
        <f>SILOMS!T43</f>
        <v/>
      </c>
      <c r="AX92" s="339" t="str">
        <f>SILOMS!Y43</f>
        <v/>
      </c>
      <c r="AY92" s="339" t="str">
        <f>SILOMS!G43</f>
        <v/>
      </c>
      <c r="AZ92" s="412" t="str">
        <f>SILOMS!Q43</f>
        <v/>
      </c>
      <c r="BA92" s="413">
        <f t="shared" si="4"/>
        <v>1500</v>
      </c>
      <c r="BB92" s="414" t="b">
        <f t="shared" si="5"/>
        <v>0</v>
      </c>
      <c r="BC92" s="415" t="str">
        <f t="shared" si="6"/>
        <v>#DIV/0!</v>
      </c>
      <c r="BD92" s="413" t="str">
        <f t="shared" si="7"/>
        <v>HSI</v>
      </c>
      <c r="BE92" s="255" t="str">
        <f t="shared" si="8"/>
        <v>#DIV/0!</v>
      </c>
      <c r="BF92" s="255" t="str">
        <f t="shared" si="9"/>
        <v>#DIV/0!</v>
      </c>
      <c r="BG92" s="255" t="str">
        <f t="shared" si="10"/>
        <v>#DIV/0!</v>
      </c>
      <c r="BH92" s="255" t="str">
        <f t="shared" si="11"/>
        <v>#DIV/0!</v>
      </c>
      <c r="BI92" s="255" t="str">
        <f t="shared" si="12"/>
        <v>#DIV/0!</v>
      </c>
      <c r="BJ92" s="255" t="str">
        <f t="shared" si="13"/>
        <v>#DIV/0!</v>
      </c>
      <c r="BK92" s="255" t="str">
        <f t="shared" si="14"/>
        <v>#DIV/0!</v>
      </c>
      <c r="BL92" s="255" t="str">
        <f t="shared" si="15"/>
        <v>#DIV/0!</v>
      </c>
      <c r="BM92" s="255" t="str">
        <f t="shared" si="16"/>
        <v>#DIV/0!</v>
      </c>
      <c r="BN92" s="426" t="str">
        <f t="shared" si="17"/>
        <v>#DIV/0!</v>
      </c>
      <c r="BO92" s="255" t="str">
        <f t="shared" si="18"/>
        <v>#DIV/0!</v>
      </c>
      <c r="BP92" s="255" t="str">
        <f t="shared" si="19"/>
        <v>#DIV/0!</v>
      </c>
      <c r="BQ92" s="255" t="str">
        <f t="shared" si="20"/>
        <v>#DIV/0!</v>
      </c>
      <c r="BR92" s="255" t="str">
        <f t="shared" si="21"/>
        <v>#DIV/0!</v>
      </c>
      <c r="BS92" s="255" t="str">
        <f t="shared" si="22"/>
        <v>#DIV/0!</v>
      </c>
      <c r="BT92" s="255" t="str">
        <f t="shared" si="23"/>
        <v>#DIV/0!</v>
      </c>
      <c r="BU92" s="255" t="str">
        <f t="shared" si="24"/>
        <v>#DIV/0!</v>
      </c>
      <c r="BV92" s="255" t="str">
        <f t="shared" si="25"/>
        <v>#DIV/0!</v>
      </c>
      <c r="BW92" s="255" t="str">
        <f t="shared" si="26"/>
        <v>#DIV/0!</v>
      </c>
      <c r="BX92" s="255" t="str">
        <f t="shared" si="27"/>
        <v>#DIV/0!</v>
      </c>
      <c r="BY92" s="255" t="str">
        <f t="shared" si="28"/>
        <v>#DIV/0!</v>
      </c>
      <c r="BZ92" s="255" t="str">
        <f t="shared" si="29"/>
        <v>#DIV/0!</v>
      </c>
      <c r="CA92" s="255" t="str">
        <f t="shared" si="30"/>
        <v>#DIV/0!</v>
      </c>
      <c r="CB92" s="255" t="str">
        <f t="shared" si="31"/>
        <v>#DIV/0!</v>
      </c>
      <c r="CC92" s="369"/>
    </row>
    <row r="93">
      <c r="M93" s="388"/>
      <c r="AV93" s="411" t="str">
        <f>SILOMS!O44</f>
        <v/>
      </c>
      <c r="AW93" s="339" t="str">
        <f>SILOMS!T44</f>
        <v/>
      </c>
      <c r="AX93" s="339" t="str">
        <f>SILOMS!Y44</f>
        <v/>
      </c>
      <c r="AY93" s="339" t="str">
        <f>SILOMS!G44</f>
        <v/>
      </c>
      <c r="AZ93" s="412" t="str">
        <f>SILOMS!Q44</f>
        <v/>
      </c>
      <c r="BA93" s="413">
        <f t="shared" si="4"/>
        <v>1500</v>
      </c>
      <c r="BB93" s="414" t="b">
        <f t="shared" si="5"/>
        <v>0</v>
      </c>
      <c r="BC93" s="415" t="str">
        <f t="shared" si="6"/>
        <v>#DIV/0!</v>
      </c>
      <c r="BD93" s="413" t="str">
        <f t="shared" si="7"/>
        <v>HSI</v>
      </c>
      <c r="BE93" s="255" t="str">
        <f t="shared" si="8"/>
        <v>#DIV/0!</v>
      </c>
      <c r="BF93" s="255" t="str">
        <f t="shared" si="9"/>
        <v>#DIV/0!</v>
      </c>
      <c r="BG93" s="255" t="str">
        <f t="shared" si="10"/>
        <v>#DIV/0!</v>
      </c>
      <c r="BH93" s="255" t="str">
        <f t="shared" si="11"/>
        <v>#DIV/0!</v>
      </c>
      <c r="BI93" s="255" t="str">
        <f t="shared" si="12"/>
        <v>#DIV/0!</v>
      </c>
      <c r="BJ93" s="255" t="str">
        <f t="shared" si="13"/>
        <v>#DIV/0!</v>
      </c>
      <c r="BK93" s="255" t="str">
        <f t="shared" si="14"/>
        <v>#DIV/0!</v>
      </c>
      <c r="BL93" s="255" t="str">
        <f t="shared" si="15"/>
        <v>#DIV/0!</v>
      </c>
      <c r="BM93" s="255" t="str">
        <f t="shared" si="16"/>
        <v>#DIV/0!</v>
      </c>
      <c r="BN93" s="426" t="str">
        <f t="shared" si="17"/>
        <v>#DIV/0!</v>
      </c>
      <c r="BO93" s="255" t="str">
        <f t="shared" si="18"/>
        <v>#DIV/0!</v>
      </c>
      <c r="BP93" s="255" t="str">
        <f t="shared" si="19"/>
        <v>#DIV/0!</v>
      </c>
      <c r="BQ93" s="255" t="str">
        <f t="shared" si="20"/>
        <v>#DIV/0!</v>
      </c>
      <c r="BR93" s="255" t="str">
        <f t="shared" si="21"/>
        <v>#DIV/0!</v>
      </c>
      <c r="BS93" s="255" t="str">
        <f t="shared" si="22"/>
        <v>#DIV/0!</v>
      </c>
      <c r="BT93" s="255" t="str">
        <f t="shared" si="23"/>
        <v>#DIV/0!</v>
      </c>
      <c r="BU93" s="255" t="str">
        <f t="shared" si="24"/>
        <v>#DIV/0!</v>
      </c>
      <c r="BV93" s="255" t="str">
        <f t="shared" si="25"/>
        <v>#DIV/0!</v>
      </c>
      <c r="BW93" s="255" t="str">
        <f t="shared" si="26"/>
        <v>#DIV/0!</v>
      </c>
      <c r="BX93" s="255" t="str">
        <f t="shared" si="27"/>
        <v>#DIV/0!</v>
      </c>
      <c r="BY93" s="255" t="str">
        <f t="shared" si="28"/>
        <v>#DIV/0!</v>
      </c>
      <c r="BZ93" s="255" t="str">
        <f t="shared" si="29"/>
        <v>#DIV/0!</v>
      </c>
      <c r="CA93" s="255" t="str">
        <f t="shared" si="30"/>
        <v>#DIV/0!</v>
      </c>
      <c r="CB93" s="255" t="str">
        <f t="shared" si="31"/>
        <v>#DIV/0!</v>
      </c>
      <c r="CC93" s="369"/>
    </row>
    <row r="94">
      <c r="M94" s="388"/>
      <c r="AV94" s="411" t="str">
        <f>SILOMS!O45</f>
        <v/>
      </c>
      <c r="AW94" s="339" t="str">
        <f>SILOMS!T45</f>
        <v/>
      </c>
      <c r="AX94" s="339" t="str">
        <f>SILOMS!Y45</f>
        <v/>
      </c>
      <c r="AY94" s="339" t="str">
        <f>SILOMS!G45</f>
        <v/>
      </c>
      <c r="AZ94" s="412" t="str">
        <f>SILOMS!Q45</f>
        <v/>
      </c>
      <c r="BA94" s="413">
        <f t="shared" si="4"/>
        <v>1500</v>
      </c>
      <c r="BB94" s="414" t="b">
        <f t="shared" si="5"/>
        <v>0</v>
      </c>
      <c r="BC94" s="415" t="str">
        <f t="shared" si="6"/>
        <v>#DIV/0!</v>
      </c>
      <c r="BD94" s="413" t="str">
        <f t="shared" si="7"/>
        <v>HSI</v>
      </c>
      <c r="BE94" s="255" t="str">
        <f t="shared" si="8"/>
        <v>#DIV/0!</v>
      </c>
      <c r="BF94" s="255" t="str">
        <f t="shared" si="9"/>
        <v>#DIV/0!</v>
      </c>
      <c r="BG94" s="255" t="str">
        <f t="shared" si="10"/>
        <v>#DIV/0!</v>
      </c>
      <c r="BH94" s="255" t="str">
        <f t="shared" si="11"/>
        <v>#DIV/0!</v>
      </c>
      <c r="BI94" s="255" t="str">
        <f t="shared" si="12"/>
        <v>#DIV/0!</v>
      </c>
      <c r="BJ94" s="255" t="str">
        <f t="shared" si="13"/>
        <v>#DIV/0!</v>
      </c>
      <c r="BK94" s="255" t="str">
        <f t="shared" si="14"/>
        <v>#DIV/0!</v>
      </c>
      <c r="BL94" s="255" t="str">
        <f t="shared" si="15"/>
        <v>#DIV/0!</v>
      </c>
      <c r="BM94" s="255" t="str">
        <f t="shared" si="16"/>
        <v>#DIV/0!</v>
      </c>
      <c r="BN94" s="426" t="str">
        <f t="shared" si="17"/>
        <v>#DIV/0!</v>
      </c>
      <c r="BO94" s="255" t="str">
        <f t="shared" si="18"/>
        <v>#DIV/0!</v>
      </c>
      <c r="BP94" s="255" t="str">
        <f t="shared" si="19"/>
        <v>#DIV/0!</v>
      </c>
      <c r="BQ94" s="255" t="str">
        <f t="shared" si="20"/>
        <v>#DIV/0!</v>
      </c>
      <c r="BR94" s="255" t="str">
        <f t="shared" si="21"/>
        <v>#DIV/0!</v>
      </c>
      <c r="BS94" s="255" t="str">
        <f t="shared" si="22"/>
        <v>#DIV/0!</v>
      </c>
      <c r="BT94" s="255" t="str">
        <f t="shared" si="23"/>
        <v>#DIV/0!</v>
      </c>
      <c r="BU94" s="255" t="str">
        <f t="shared" si="24"/>
        <v>#DIV/0!</v>
      </c>
      <c r="BV94" s="255" t="str">
        <f t="shared" si="25"/>
        <v>#DIV/0!</v>
      </c>
      <c r="BW94" s="255" t="str">
        <f t="shared" si="26"/>
        <v>#DIV/0!</v>
      </c>
      <c r="BX94" s="255" t="str">
        <f t="shared" si="27"/>
        <v>#DIV/0!</v>
      </c>
      <c r="BY94" s="255" t="str">
        <f t="shared" si="28"/>
        <v>#DIV/0!</v>
      </c>
      <c r="BZ94" s="255" t="str">
        <f t="shared" si="29"/>
        <v>#DIV/0!</v>
      </c>
      <c r="CA94" s="255" t="str">
        <f t="shared" si="30"/>
        <v>#DIV/0!</v>
      </c>
      <c r="CB94" s="255" t="str">
        <f t="shared" si="31"/>
        <v>#DIV/0!</v>
      </c>
      <c r="CC94" s="369"/>
    </row>
    <row r="95">
      <c r="M95" s="388"/>
      <c r="AV95" s="436" t="s">
        <v>242</v>
      </c>
      <c r="AW95" s="436">
        <f>COUNT(AW54:AW92)</f>
        <v>38</v>
      </c>
      <c r="AX95" s="369"/>
      <c r="AY95" s="339"/>
      <c r="AZ95" s="437"/>
      <c r="BA95" s="413"/>
      <c r="BB95" s="414"/>
      <c r="BC95" s="369"/>
      <c r="BD95" s="413"/>
      <c r="BE95" s="372" t="str">
        <f t="shared" si="8"/>
        <v/>
      </c>
      <c r="BF95" s="369" t="str">
        <f t="shared" si="9"/>
        <v/>
      </c>
      <c r="BG95" s="369" t="str">
        <f t="shared" si="10"/>
        <v/>
      </c>
      <c r="BH95" s="369" t="str">
        <f t="shared" si="11"/>
        <v/>
      </c>
      <c r="BI95" s="369" t="str">
        <f t="shared" si="12"/>
        <v/>
      </c>
      <c r="BJ95" s="369" t="str">
        <f t="shared" si="13"/>
        <v/>
      </c>
      <c r="BK95" s="369" t="str">
        <f t="shared" si="14"/>
        <v/>
      </c>
      <c r="BL95" s="369" t="str">
        <f t="shared" si="15"/>
        <v/>
      </c>
      <c r="BM95" s="369" t="str">
        <f t="shared" si="16"/>
        <v/>
      </c>
      <c r="BN95" s="369" t="str">
        <f t="shared" si="17"/>
        <v/>
      </c>
      <c r="BO95" s="369" t="str">
        <f t="shared" si="18"/>
        <v/>
      </c>
      <c r="BP95" s="369" t="str">
        <f t="shared" si="19"/>
        <v/>
      </c>
      <c r="BQ95" s="369" t="str">
        <f t="shared" si="20"/>
        <v/>
      </c>
      <c r="BR95" s="369" t="str">
        <f t="shared" si="21"/>
        <v/>
      </c>
      <c r="BS95" s="369" t="str">
        <f t="shared" si="22"/>
        <v/>
      </c>
      <c r="BT95" s="369" t="str">
        <f t="shared" si="23"/>
        <v/>
      </c>
      <c r="BU95" s="369" t="str">
        <f t="shared" si="24"/>
        <v/>
      </c>
      <c r="BV95" s="369" t="str">
        <f t="shared" si="25"/>
        <v/>
      </c>
      <c r="BW95" s="369" t="str">
        <f t="shared" si="26"/>
        <v/>
      </c>
      <c r="BX95" s="369" t="str">
        <f t="shared" si="27"/>
        <v/>
      </c>
      <c r="BY95" s="369" t="str">
        <f t="shared" si="28"/>
        <v/>
      </c>
      <c r="BZ95" s="369" t="str">
        <f t="shared" si="29"/>
        <v/>
      </c>
      <c r="CA95" s="369" t="str">
        <f t="shared" si="30"/>
        <v/>
      </c>
      <c r="CB95" s="369" t="str">
        <f t="shared" si="31"/>
        <v/>
      </c>
      <c r="CC95" s="369"/>
    </row>
    <row r="96">
      <c r="M96" s="388"/>
      <c r="AV96" s="438" t="s">
        <v>336</v>
      </c>
      <c r="AW96" s="173"/>
      <c r="AX96" s="369"/>
      <c r="AY96" s="369"/>
      <c r="AZ96" s="437"/>
      <c r="BA96" s="413"/>
      <c r="BB96" s="414"/>
      <c r="BC96" s="369"/>
      <c r="BD96" s="413"/>
      <c r="BE96" s="372" t="str">
        <f t="shared" si="8"/>
        <v/>
      </c>
      <c r="BF96" s="369" t="str">
        <f t="shared" si="9"/>
        <v/>
      </c>
      <c r="BG96" s="369" t="str">
        <f t="shared" si="10"/>
        <v/>
      </c>
      <c r="BH96" s="369" t="str">
        <f t="shared" si="11"/>
        <v/>
      </c>
      <c r="BI96" s="369" t="str">
        <f t="shared" si="12"/>
        <v/>
      </c>
      <c r="BJ96" s="369" t="str">
        <f t="shared" si="13"/>
        <v/>
      </c>
      <c r="BK96" s="369" t="str">
        <f t="shared" si="14"/>
        <v/>
      </c>
      <c r="BL96" s="369" t="str">
        <f t="shared" si="15"/>
        <v/>
      </c>
      <c r="BM96" s="369" t="str">
        <f t="shared" si="16"/>
        <v/>
      </c>
      <c r="BN96" s="369" t="str">
        <f t="shared" si="17"/>
        <v/>
      </c>
      <c r="BO96" s="369" t="str">
        <f t="shared" si="18"/>
        <v/>
      </c>
      <c r="BP96" s="369" t="str">
        <f t="shared" si="19"/>
        <v/>
      </c>
      <c r="BQ96" s="369" t="str">
        <f t="shared" si="20"/>
        <v/>
      </c>
      <c r="BR96" s="369" t="str">
        <f t="shared" si="21"/>
        <v/>
      </c>
      <c r="BS96" s="369" t="str">
        <f t="shared" si="22"/>
        <v/>
      </c>
      <c r="BT96" s="369" t="str">
        <f t="shared" si="23"/>
        <v/>
      </c>
      <c r="BU96" s="369" t="str">
        <f t="shared" si="24"/>
        <v/>
      </c>
      <c r="BV96" s="369" t="str">
        <f t="shared" si="25"/>
        <v/>
      </c>
      <c r="BW96" s="369" t="str">
        <f t="shared" si="26"/>
        <v/>
      </c>
      <c r="BX96" s="369" t="str">
        <f t="shared" si="27"/>
        <v/>
      </c>
      <c r="BY96" s="369" t="str">
        <f t="shared" si="28"/>
        <v/>
      </c>
      <c r="BZ96" s="369" t="str">
        <f t="shared" si="29"/>
        <v/>
      </c>
      <c r="CA96" s="369" t="str">
        <f t="shared" si="30"/>
        <v/>
      </c>
      <c r="CB96" s="369" t="str">
        <f t="shared" si="31"/>
        <v/>
      </c>
      <c r="CC96" s="369"/>
    </row>
    <row r="97">
      <c r="M97" s="388"/>
      <c r="AU97" s="399"/>
      <c r="AV97" s="399"/>
      <c r="AW97" s="399"/>
      <c r="AX97" s="399"/>
      <c r="AY97" s="399"/>
      <c r="AZ97" s="399"/>
      <c r="BA97" s="164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8"/>
      <c r="AU98" s="399"/>
      <c r="AV98" s="399"/>
      <c r="AW98" s="399"/>
      <c r="AX98" s="399"/>
      <c r="AY98" s="399"/>
      <c r="AZ98" s="399"/>
      <c r="BA98" s="164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8"/>
      <c r="AV99" s="395" t="s">
        <v>342</v>
      </c>
      <c r="AW99" s="396"/>
      <c r="AX99" s="396"/>
      <c r="AY99" s="396"/>
      <c r="AZ99" s="396"/>
      <c r="BA99" s="396"/>
      <c r="BB99" s="397"/>
      <c r="BC99" s="396"/>
      <c r="BD99" s="396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8"/>
      <c r="AV100" s="22"/>
      <c r="AW100" s="369"/>
      <c r="AX100" s="369"/>
      <c r="AY100" s="369"/>
      <c r="AZ100" s="369"/>
      <c r="BA100" s="369"/>
      <c r="BB100" s="373"/>
      <c r="BC100" s="369"/>
      <c r="BD100" s="369"/>
      <c r="BE100" s="439" t="str">
        <f>LEFT(UPPER(TEXT(DATE(2025,#REF!,1),"mmmm")),3)</f>
        <v>#REF!</v>
      </c>
      <c r="BF100" s="369" t="str">
        <f t="shared" ref="BF100:BG100" si="34">LEFT(UPPER(TEXT(DATE(2025,#REF!+1,1),"mmmm")),3)</f>
        <v>#REF!</v>
      </c>
      <c r="BG100" s="255" t="str">
        <f t="shared" si="34"/>
        <v>#REF!</v>
      </c>
      <c r="BH100" s="369"/>
      <c r="BI100" s="369"/>
      <c r="BJ100" s="369"/>
      <c r="BK100" s="369"/>
      <c r="BL100" s="369"/>
      <c r="BM100" s="369"/>
      <c r="BN100" s="369"/>
      <c r="BO100" s="369"/>
      <c r="BP100" s="369"/>
      <c r="BQ100" s="439">
        <v>2026.0</v>
      </c>
      <c r="BR100" s="369"/>
      <c r="BS100" s="369"/>
      <c r="BT100" s="369"/>
      <c r="BU100" s="369"/>
      <c r="BV100" s="369"/>
      <c r="BW100" s="369"/>
      <c r="BX100" s="369"/>
      <c r="BY100" s="369"/>
      <c r="BZ100" s="369"/>
      <c r="CA100" s="369"/>
      <c r="CB100" s="369"/>
      <c r="CC100" s="369"/>
    </row>
    <row r="101">
      <c r="M101" s="388"/>
      <c r="AV101" s="339" t="s">
        <v>16</v>
      </c>
      <c r="AW101" s="339" t="s">
        <v>263</v>
      </c>
      <c r="AX101" s="339" t="s">
        <v>54</v>
      </c>
      <c r="AY101" s="339" t="s">
        <v>149</v>
      </c>
      <c r="AZ101" s="407" t="s">
        <v>17</v>
      </c>
      <c r="BA101" s="408" t="s">
        <v>18</v>
      </c>
      <c r="BB101" s="409" t="s">
        <v>19</v>
      </c>
      <c r="BC101" s="407" t="s">
        <v>22</v>
      </c>
      <c r="BD101" s="407" t="s">
        <v>362</v>
      </c>
      <c r="BE101" s="255" t="str">
        <f t="shared" ref="BE101:CB101" si="35">#REF!</f>
        <v>#REF!</v>
      </c>
      <c r="BF101" s="255" t="str">
        <f t="shared" si="35"/>
        <v>#REF!</v>
      </c>
      <c r="BG101" s="255" t="str">
        <f t="shared" si="35"/>
        <v>#REF!</v>
      </c>
      <c r="BH101" s="255" t="str">
        <f t="shared" si="35"/>
        <v>#REF!</v>
      </c>
      <c r="BI101" s="255" t="str">
        <f t="shared" si="35"/>
        <v>#REF!</v>
      </c>
      <c r="BJ101" s="255" t="str">
        <f t="shared" si="35"/>
        <v>#REF!</v>
      </c>
      <c r="BK101" s="255" t="str">
        <f t="shared" si="35"/>
        <v>#REF!</v>
      </c>
      <c r="BL101" s="255" t="str">
        <f t="shared" si="35"/>
        <v>#REF!</v>
      </c>
      <c r="BM101" s="255" t="str">
        <f t="shared" si="35"/>
        <v>#REF!</v>
      </c>
      <c r="BN101" s="255" t="str">
        <f t="shared" si="35"/>
        <v>#REF!</v>
      </c>
      <c r="BO101" s="255" t="str">
        <f t="shared" si="35"/>
        <v>#REF!</v>
      </c>
      <c r="BP101" s="255" t="str">
        <f t="shared" si="35"/>
        <v>#REF!</v>
      </c>
      <c r="BQ101" s="255" t="str">
        <f t="shared" si="35"/>
        <v>#REF!</v>
      </c>
      <c r="BR101" s="255" t="str">
        <f t="shared" si="35"/>
        <v>#REF!</v>
      </c>
      <c r="BS101" s="255" t="str">
        <f t="shared" si="35"/>
        <v>#REF!</v>
      </c>
      <c r="BT101" s="255" t="str">
        <f t="shared" si="35"/>
        <v>#REF!</v>
      </c>
      <c r="BU101" s="255" t="str">
        <f t="shared" si="35"/>
        <v>#REF!</v>
      </c>
      <c r="BV101" s="255" t="str">
        <f t="shared" si="35"/>
        <v>#REF!</v>
      </c>
      <c r="BW101" s="255" t="str">
        <f t="shared" si="35"/>
        <v>#REF!</v>
      </c>
      <c r="BX101" s="255" t="str">
        <f t="shared" si="35"/>
        <v>#REF!</v>
      </c>
      <c r="BY101" s="255" t="str">
        <f t="shared" si="35"/>
        <v>#REF!</v>
      </c>
      <c r="BZ101" s="255" t="str">
        <f t="shared" si="35"/>
        <v>#REF!</v>
      </c>
      <c r="CA101" s="255" t="str">
        <f t="shared" si="35"/>
        <v>#REF!</v>
      </c>
      <c r="CB101" s="255" t="str">
        <f t="shared" si="35"/>
        <v>#REF!</v>
      </c>
      <c r="CC101" s="369"/>
    </row>
    <row r="102">
      <c r="M102" s="388"/>
      <c r="AV102" s="411" t="str">
        <f t="shared" ref="AV102:AY102" si="36">AV53</f>
        <v>PC-E17371</v>
      </c>
      <c r="AW102" s="339">
        <f t="shared" si="36"/>
        <v>2702</v>
      </c>
      <c r="AX102" s="339" t="str">
        <f t="shared" si="36"/>
        <v>OS</v>
      </c>
      <c r="AY102" s="339" t="str">
        <f t="shared" si="36"/>
        <v>PAMASP</v>
      </c>
      <c r="AZ102" s="413">
        <f t="shared" ref="AZ102:AZ142" si="38">AZ53*24+BA53</f>
        <v>5000</v>
      </c>
      <c r="BA102" s="413">
        <f t="shared" ref="BA102:BA142" si="39">IF(AZ102&lt;1500,1500-(AZ102),IF(AZ102&lt;3000,3000-(AZ102),IF(AZ102&lt;4500,4500-(AZ102),IF(AZ102&lt;5000,5000-(AZ102),5000-(AZ102)))
))</f>
        <v>0</v>
      </c>
      <c r="BB102" s="414" t="str">
        <f t="shared" ref="BB102:BB142" si="40">BB53</f>
        <v>#DIV/0!</v>
      </c>
      <c r="BC102" s="415" t="str">
        <f t="shared" ref="BC102:BC142" si="41">BA102/BB102+BC53</f>
        <v>#DIV/0!</v>
      </c>
      <c r="BD102" s="413" t="str">
        <f t="shared" ref="BD102:BD142" si="42">IF(AZ102&lt;1500,"HSI",IF(AZ102&lt;3000,"HSI",IF(AZ102&lt;4500,"HSI",IF(AZ102&lt;5000,"TBO",))))</f>
        <v/>
      </c>
      <c r="BE102" s="255" t="str">
        <f t="shared" ref="BE102:BE142" si="43">IF(AND($BC102&gt;=-1000,$BC102&lt;1),$BD102,)</f>
        <v>#DIV/0!</v>
      </c>
      <c r="BF102" s="255" t="str">
        <f t="shared" ref="BF102:BF142" si="44">IF(AND($BC102&gt;=1,$BC102&lt;2),$BD102,)</f>
        <v>#DIV/0!</v>
      </c>
      <c r="BG102" s="255" t="str">
        <f t="shared" ref="BG102:BG142" si="45">IF(AND($BC102&gt;=2,$BC102&lt;3),$BD102,)</f>
        <v>#DIV/0!</v>
      </c>
      <c r="BH102" s="255" t="str">
        <f t="shared" ref="BH102:BH142" si="46">IF(AND($BC102&gt;=3,$BC102&lt;4),$BD102,)</f>
        <v>#DIV/0!</v>
      </c>
      <c r="BI102" s="255" t="str">
        <f t="shared" ref="BI102:BI142" si="47">IF(AND($BC102&gt;=4,$BC102&lt;5),$BD102,)</f>
        <v>#DIV/0!</v>
      </c>
      <c r="BJ102" s="255" t="str">
        <f t="shared" ref="BJ102:BJ142" si="48">IF(AND($BC102&gt;=5,$BC102&lt;6),$BD102,)</f>
        <v>#DIV/0!</v>
      </c>
      <c r="BK102" s="255" t="str">
        <f t="shared" ref="BK102:BK142" si="49">IF(AND($BC102&gt;=6,$BC102&lt;7),$BD102,)</f>
        <v>#DIV/0!</v>
      </c>
      <c r="BL102" s="255" t="str">
        <f t="shared" ref="BL102:BL142" si="50">IF(AND($BC102&gt;=7,$BC102&lt;8),$BD102,)</f>
        <v>#DIV/0!</v>
      </c>
      <c r="BM102" s="255" t="str">
        <f t="shared" ref="BM102:BM142" si="51">IF(AND($BC102&gt;=8,$BC102&lt;9),$BD102,)</f>
        <v>#DIV/0!</v>
      </c>
      <c r="BN102" s="255" t="str">
        <f t="shared" ref="BN102:BN142" si="52">IF(AND($BC102&gt;=9,$BC102&lt;10),$BD102,)</f>
        <v>#DIV/0!</v>
      </c>
      <c r="BO102" s="255" t="str">
        <f t="shared" ref="BO102:BO142" si="53">IF(AND($BC102&gt;=10,$BC102&lt;11),$BD102,)</f>
        <v>#DIV/0!</v>
      </c>
      <c r="BP102" s="255" t="str">
        <f t="shared" ref="BP102:BP142" si="54">IF(AND($BC102&gt;=11,$BC102&lt;12),$BD102,)</f>
        <v>#DIV/0!</v>
      </c>
      <c r="BQ102" s="255" t="str">
        <f t="shared" ref="BQ102:BQ142" si="55">IF(AND($BC102&gt;=12,$BC102&lt;13),$BD102,)</f>
        <v>#DIV/0!</v>
      </c>
      <c r="BR102" s="255" t="str">
        <f t="shared" ref="BR102:BR142" si="56">IF(AND($BC102&gt;=13,$BC102&lt;14),$BD102,)</f>
        <v>#DIV/0!</v>
      </c>
      <c r="BS102" s="255" t="str">
        <f t="shared" ref="BS102:BS142" si="57">IF(AND($BC102&gt;=14,$BC102&lt;15),$BD102,)</f>
        <v>#DIV/0!</v>
      </c>
      <c r="BT102" s="255" t="str">
        <f t="shared" ref="BT102:BT142" si="58">IF(AND($BC102&gt;=15,$BC102&lt;16),$BD102,)</f>
        <v>#DIV/0!</v>
      </c>
      <c r="BU102" s="255" t="str">
        <f t="shared" ref="BU102:BU142" si="59">IF(AND($BC102&gt;=16,$BC102&lt;17),$BD102,)</f>
        <v>#DIV/0!</v>
      </c>
      <c r="BV102" s="255" t="str">
        <f t="shared" ref="BV102:BV142" si="60">IF(AND($BC102&gt;=17,$BC102&lt;18),$BD102,)</f>
        <v>#DIV/0!</v>
      </c>
      <c r="BW102" s="255" t="str">
        <f t="shared" ref="BW102:BW142" si="61">IF(AND($BC102&gt;=18,$BC102&lt;19),$BD102,)</f>
        <v>#DIV/0!</v>
      </c>
      <c r="BX102" s="255" t="str">
        <f t="shared" ref="BX102:BX142" si="62">IF(AND($BC102&gt;=19,$BC102&lt;20),$BD102,)</f>
        <v>#DIV/0!</v>
      </c>
      <c r="BY102" s="255" t="str">
        <f t="shared" ref="BY102:BY142" si="63">IF(AND($BC102&gt;=20,$BC102&lt;21),$BD102,)</f>
        <v>#DIV/0!</v>
      </c>
      <c r="BZ102" s="255" t="str">
        <f t="shared" ref="BZ102:BZ142" si="64">IF(AND($BC102&gt;=21,$BC102&lt;22),$BD102,)</f>
        <v>#DIV/0!</v>
      </c>
      <c r="CA102" s="255" t="str">
        <f t="shared" ref="CA102:CA142" si="65">IF(AND($BC102&gt;=22,$BC102&lt;23),$BD102,)</f>
        <v>#DIV/0!</v>
      </c>
      <c r="CB102" s="255" t="str">
        <f t="shared" ref="CB102:CB142" si="66">IF(AND($BC102&gt;=23,$BC102&lt;24),$BD102,)</f>
        <v>#DIV/0!</v>
      </c>
      <c r="CC102" s="369"/>
    </row>
    <row r="103">
      <c r="M103" s="388"/>
      <c r="AV103" s="411" t="str">
        <f t="shared" ref="AV103:AY103" si="37">AV54</f>
        <v>PC-E17377</v>
      </c>
      <c r="AW103" s="339">
        <f t="shared" si="37"/>
        <v>2703</v>
      </c>
      <c r="AX103" s="339" t="str">
        <f t="shared" si="37"/>
        <v>APL</v>
      </c>
      <c r="AY103" s="339" t="str">
        <f t="shared" si="37"/>
        <v>1/5GAV</v>
      </c>
      <c r="AZ103" s="413">
        <f t="shared" si="38"/>
        <v>4500</v>
      </c>
      <c r="BA103" s="413">
        <f t="shared" si="39"/>
        <v>500</v>
      </c>
      <c r="BB103" s="414">
        <f t="shared" si="40"/>
        <v>55.625</v>
      </c>
      <c r="BC103" s="415">
        <f t="shared" si="41"/>
        <v>14.62771536</v>
      </c>
      <c r="BD103" s="413" t="str">
        <f t="shared" si="42"/>
        <v>TBO</v>
      </c>
      <c r="BE103" s="255" t="str">
        <f t="shared" si="43"/>
        <v/>
      </c>
      <c r="BF103" s="255" t="str">
        <f t="shared" si="44"/>
        <v/>
      </c>
      <c r="BG103" s="255" t="str">
        <f t="shared" si="45"/>
        <v/>
      </c>
      <c r="BH103" s="255" t="str">
        <f t="shared" si="46"/>
        <v/>
      </c>
      <c r="BI103" s="255" t="str">
        <f t="shared" si="47"/>
        <v/>
      </c>
      <c r="BJ103" s="255" t="str">
        <f t="shared" si="48"/>
        <v/>
      </c>
      <c r="BK103" s="255" t="str">
        <f t="shared" si="49"/>
        <v/>
      </c>
      <c r="BL103" s="255" t="str">
        <f t="shared" si="50"/>
        <v/>
      </c>
      <c r="BM103" s="255" t="str">
        <f t="shared" si="51"/>
        <v/>
      </c>
      <c r="BN103" s="255" t="str">
        <f t="shared" si="52"/>
        <v/>
      </c>
      <c r="BO103" s="255" t="str">
        <f t="shared" si="53"/>
        <v/>
      </c>
      <c r="BP103" s="255" t="str">
        <f t="shared" si="54"/>
        <v/>
      </c>
      <c r="BQ103" s="255" t="str">
        <f t="shared" si="55"/>
        <v/>
      </c>
      <c r="BR103" s="255" t="str">
        <f t="shared" si="56"/>
        <v/>
      </c>
      <c r="BS103" s="426" t="str">
        <f t="shared" si="57"/>
        <v>TBO</v>
      </c>
      <c r="BT103" s="255" t="str">
        <f t="shared" si="58"/>
        <v/>
      </c>
      <c r="BU103" s="255" t="str">
        <f t="shared" si="59"/>
        <v/>
      </c>
      <c r="BV103" s="255" t="str">
        <f t="shared" si="60"/>
        <v/>
      </c>
      <c r="BW103" s="255" t="str">
        <f t="shared" si="61"/>
        <v/>
      </c>
      <c r="BX103" s="255" t="str">
        <f t="shared" si="62"/>
        <v/>
      </c>
      <c r="BY103" s="255" t="str">
        <f t="shared" si="63"/>
        <v/>
      </c>
      <c r="BZ103" s="426" t="str">
        <f t="shared" si="64"/>
        <v/>
      </c>
      <c r="CA103" s="255" t="str">
        <f t="shared" si="65"/>
        <v/>
      </c>
      <c r="CB103" s="255" t="str">
        <f t="shared" si="66"/>
        <v/>
      </c>
      <c r="CC103" s="369"/>
    </row>
    <row r="104">
      <c r="M104" s="388"/>
      <c r="AV104" s="411" t="str">
        <f t="shared" ref="AV104:AY104" si="67">AV55</f>
        <v>PC-EPC0431</v>
      </c>
      <c r="AW104" s="339">
        <f t="shared" si="67"/>
        <v>2719</v>
      </c>
      <c r="AX104" s="339" t="str">
        <f t="shared" si="67"/>
        <v>APL</v>
      </c>
      <c r="AY104" s="339" t="str">
        <f t="shared" si="67"/>
        <v>2ETA</v>
      </c>
      <c r="AZ104" s="413">
        <f t="shared" si="38"/>
        <v>4500</v>
      </c>
      <c r="BA104" s="413">
        <f t="shared" si="39"/>
        <v>500</v>
      </c>
      <c r="BB104" s="414">
        <f t="shared" si="40"/>
        <v>10.97142857</v>
      </c>
      <c r="BC104" s="415">
        <f t="shared" si="41"/>
        <v>59.89040799</v>
      </c>
      <c r="BD104" s="413" t="str">
        <f t="shared" si="42"/>
        <v>TBO</v>
      </c>
      <c r="BE104" s="369" t="str">
        <f t="shared" si="43"/>
        <v/>
      </c>
      <c r="BF104" s="369" t="str">
        <f t="shared" si="44"/>
        <v/>
      </c>
      <c r="BG104" s="369" t="str">
        <f t="shared" si="45"/>
        <v/>
      </c>
      <c r="BH104" s="369" t="str">
        <f t="shared" si="46"/>
        <v/>
      </c>
      <c r="BI104" s="369" t="str">
        <f t="shared" si="47"/>
        <v/>
      </c>
      <c r="BJ104" s="369" t="str">
        <f t="shared" si="48"/>
        <v/>
      </c>
      <c r="BK104" s="372" t="str">
        <f t="shared" si="49"/>
        <v/>
      </c>
      <c r="BL104" s="369" t="str">
        <f t="shared" si="50"/>
        <v/>
      </c>
      <c r="BM104" s="369" t="str">
        <f t="shared" si="51"/>
        <v/>
      </c>
      <c r="BN104" s="369" t="str">
        <f t="shared" si="52"/>
        <v/>
      </c>
      <c r="BO104" s="369" t="str">
        <f t="shared" si="53"/>
        <v/>
      </c>
      <c r="BP104" s="369" t="str">
        <f t="shared" si="54"/>
        <v/>
      </c>
      <c r="BQ104" s="369" t="str">
        <f t="shared" si="55"/>
        <v/>
      </c>
      <c r="BR104" s="369" t="str">
        <f t="shared" si="56"/>
        <v/>
      </c>
      <c r="BS104" s="369" t="str">
        <f t="shared" si="57"/>
        <v/>
      </c>
      <c r="BT104" s="369" t="str">
        <f t="shared" si="58"/>
        <v/>
      </c>
      <c r="BU104" s="369" t="str">
        <f t="shared" si="59"/>
        <v/>
      </c>
      <c r="BV104" s="369" t="str">
        <f t="shared" si="60"/>
        <v/>
      </c>
      <c r="BW104" s="369" t="str">
        <f t="shared" si="61"/>
        <v/>
      </c>
      <c r="BX104" s="369" t="str">
        <f t="shared" si="62"/>
        <v/>
      </c>
      <c r="BY104" s="369" t="str">
        <f t="shared" si="63"/>
        <v/>
      </c>
      <c r="BZ104" s="369" t="str">
        <f t="shared" si="64"/>
        <v/>
      </c>
      <c r="CA104" s="369" t="str">
        <f t="shared" si="65"/>
        <v/>
      </c>
      <c r="CB104" s="369" t="str">
        <f t="shared" si="66"/>
        <v/>
      </c>
      <c r="CC104" s="369"/>
    </row>
    <row r="105">
      <c r="M105" s="388"/>
      <c r="AV105" s="411" t="str">
        <f t="shared" ref="AV105:AY105" si="68">AV56</f>
        <v>PCE-PC0499</v>
      </c>
      <c r="AW105" s="339">
        <f t="shared" si="68"/>
        <v>2728</v>
      </c>
      <c r="AX105" s="339" t="str">
        <f t="shared" si="68"/>
        <v>OS</v>
      </c>
      <c r="AY105" s="339" t="str">
        <f t="shared" si="68"/>
        <v>PAMASP</v>
      </c>
      <c r="AZ105" s="413">
        <f t="shared" si="38"/>
        <v>1500</v>
      </c>
      <c r="BA105" s="413">
        <f t="shared" si="39"/>
        <v>1500</v>
      </c>
      <c r="BB105" s="414" t="str">
        <f t="shared" si="40"/>
        <v>#DIV/0!</v>
      </c>
      <c r="BC105" s="415" t="str">
        <f t="shared" si="41"/>
        <v>#DIV/0!</v>
      </c>
      <c r="BD105" s="413" t="str">
        <f t="shared" si="42"/>
        <v>HSI</v>
      </c>
      <c r="BE105" s="369" t="str">
        <f t="shared" si="43"/>
        <v>#DIV/0!</v>
      </c>
      <c r="BF105" s="369" t="str">
        <f t="shared" si="44"/>
        <v>#DIV/0!</v>
      </c>
      <c r="BG105" s="369" t="str">
        <f t="shared" si="45"/>
        <v>#DIV/0!</v>
      </c>
      <c r="BH105" s="369" t="str">
        <f t="shared" si="46"/>
        <v>#DIV/0!</v>
      </c>
      <c r="BI105" s="369" t="str">
        <f t="shared" si="47"/>
        <v>#DIV/0!</v>
      </c>
      <c r="BJ105" s="369" t="str">
        <f t="shared" si="48"/>
        <v>#DIV/0!</v>
      </c>
      <c r="BK105" s="369" t="str">
        <f t="shared" si="49"/>
        <v>#DIV/0!</v>
      </c>
      <c r="BL105" s="369" t="str">
        <f t="shared" si="50"/>
        <v>#DIV/0!</v>
      </c>
      <c r="BM105" s="369" t="str">
        <f t="shared" si="51"/>
        <v>#DIV/0!</v>
      </c>
      <c r="BN105" s="369" t="str">
        <f t="shared" si="52"/>
        <v>#DIV/0!</v>
      </c>
      <c r="BO105" s="369" t="str">
        <f t="shared" si="53"/>
        <v>#DIV/0!</v>
      </c>
      <c r="BP105" s="369" t="str">
        <f t="shared" si="54"/>
        <v>#DIV/0!</v>
      </c>
      <c r="BQ105" s="369" t="str">
        <f t="shared" si="55"/>
        <v>#DIV/0!</v>
      </c>
      <c r="BR105" s="369" t="str">
        <f t="shared" si="56"/>
        <v>#DIV/0!</v>
      </c>
      <c r="BS105" s="369" t="str">
        <f t="shared" si="57"/>
        <v>#DIV/0!</v>
      </c>
      <c r="BT105" s="369" t="str">
        <f t="shared" si="58"/>
        <v>#DIV/0!</v>
      </c>
      <c r="BU105" s="369" t="str">
        <f t="shared" si="59"/>
        <v>#DIV/0!</v>
      </c>
      <c r="BV105" s="369" t="str">
        <f t="shared" si="60"/>
        <v>#DIV/0!</v>
      </c>
      <c r="BW105" s="369" t="str">
        <f t="shared" si="61"/>
        <v>#DIV/0!</v>
      </c>
      <c r="BX105" s="369" t="str">
        <f t="shared" si="62"/>
        <v>#DIV/0!</v>
      </c>
      <c r="BY105" s="369" t="str">
        <f t="shared" si="63"/>
        <v>#DIV/0!</v>
      </c>
      <c r="BZ105" s="369" t="str">
        <f t="shared" si="64"/>
        <v>#DIV/0!</v>
      </c>
      <c r="CA105" s="369" t="str">
        <f t="shared" si="65"/>
        <v>#DIV/0!</v>
      </c>
      <c r="CB105" s="369" t="str">
        <f t="shared" si="66"/>
        <v>#DIV/0!</v>
      </c>
      <c r="CC105" s="369"/>
    </row>
    <row r="106">
      <c r="M106" s="388"/>
      <c r="AV106" s="411" t="str">
        <f t="shared" ref="AV106:AY106" si="69">AV57</f>
        <v>PCE-PC0743</v>
      </c>
      <c r="AW106" s="339">
        <f t="shared" si="69"/>
        <v>2742</v>
      </c>
      <c r="AX106" s="339" t="str">
        <f t="shared" si="69"/>
        <v>APL</v>
      </c>
      <c r="AY106" s="339" t="str">
        <f t="shared" si="69"/>
        <v>DACTAII</v>
      </c>
      <c r="AZ106" s="413">
        <f t="shared" si="38"/>
        <v>1500</v>
      </c>
      <c r="BA106" s="413">
        <f t="shared" si="39"/>
        <v>1500</v>
      </c>
      <c r="BB106" s="414">
        <f t="shared" si="40"/>
        <v>9.542857143</v>
      </c>
      <c r="BC106" s="415">
        <f t="shared" si="41"/>
        <v>231.5431637</v>
      </c>
      <c r="BD106" s="413" t="str">
        <f t="shared" si="42"/>
        <v>HSI</v>
      </c>
      <c r="BE106" s="369" t="str">
        <f t="shared" si="43"/>
        <v/>
      </c>
      <c r="BF106" s="369" t="str">
        <f t="shared" si="44"/>
        <v/>
      </c>
      <c r="BG106" s="369" t="str">
        <f t="shared" si="45"/>
        <v/>
      </c>
      <c r="BH106" s="369" t="str">
        <f t="shared" si="46"/>
        <v/>
      </c>
      <c r="BI106" s="369" t="str">
        <f t="shared" si="47"/>
        <v/>
      </c>
      <c r="BJ106" s="369" t="str">
        <f t="shared" si="48"/>
        <v/>
      </c>
      <c r="BK106" s="369" t="str">
        <f t="shared" si="49"/>
        <v/>
      </c>
      <c r="BL106" s="369" t="str">
        <f t="shared" si="50"/>
        <v/>
      </c>
      <c r="BM106" s="372" t="str">
        <f t="shared" si="51"/>
        <v/>
      </c>
      <c r="BN106" s="369" t="str">
        <f t="shared" si="52"/>
        <v/>
      </c>
      <c r="BO106" s="369" t="str">
        <f t="shared" si="53"/>
        <v/>
      </c>
      <c r="BP106" s="369" t="str">
        <f t="shared" si="54"/>
        <v/>
      </c>
      <c r="BQ106" s="369" t="str">
        <f t="shared" si="55"/>
        <v/>
      </c>
      <c r="BR106" s="369" t="str">
        <f t="shared" si="56"/>
        <v/>
      </c>
      <c r="BS106" s="369" t="str">
        <f t="shared" si="57"/>
        <v/>
      </c>
      <c r="BT106" s="369" t="str">
        <f t="shared" si="58"/>
        <v/>
      </c>
      <c r="BU106" s="369" t="str">
        <f t="shared" si="59"/>
        <v/>
      </c>
      <c r="BV106" s="369" t="str">
        <f t="shared" si="60"/>
        <v/>
      </c>
      <c r="BW106" s="369" t="str">
        <f t="shared" si="61"/>
        <v/>
      </c>
      <c r="BX106" s="369" t="str">
        <f t="shared" si="62"/>
        <v/>
      </c>
      <c r="BY106" s="369" t="str">
        <f t="shared" si="63"/>
        <v/>
      </c>
      <c r="BZ106" s="369" t="str">
        <f t="shared" si="64"/>
        <v/>
      </c>
      <c r="CA106" s="369" t="str">
        <f t="shared" si="65"/>
        <v/>
      </c>
      <c r="CB106" s="369" t="str">
        <f t="shared" si="66"/>
        <v/>
      </c>
      <c r="CC106" s="369"/>
    </row>
    <row r="107">
      <c r="M107" s="388"/>
      <c r="AV107" s="411" t="str">
        <f t="shared" ref="AV107:AY107" si="70">AV58</f>
        <v>PCE-PC0764</v>
      </c>
      <c r="AW107" s="339">
        <f t="shared" si="70"/>
        <v>2734</v>
      </c>
      <c r="AX107" s="339" t="str">
        <f t="shared" si="70"/>
        <v>REPARA</v>
      </c>
      <c r="AY107" s="339" t="str">
        <f t="shared" si="70"/>
        <v>PAMASP</v>
      </c>
      <c r="AZ107" s="413">
        <f t="shared" si="38"/>
        <v>5000</v>
      </c>
      <c r="BA107" s="413">
        <f t="shared" si="39"/>
        <v>0</v>
      </c>
      <c r="BB107" s="414" t="str">
        <f t="shared" si="40"/>
        <v>#DIV/0!</v>
      </c>
      <c r="BC107" s="415" t="str">
        <f t="shared" si="41"/>
        <v>#DIV/0!</v>
      </c>
      <c r="BD107" s="413" t="str">
        <f t="shared" si="42"/>
        <v/>
      </c>
      <c r="BE107" s="369" t="str">
        <f t="shared" si="43"/>
        <v>#DIV/0!</v>
      </c>
      <c r="BF107" s="369" t="str">
        <f t="shared" si="44"/>
        <v>#DIV/0!</v>
      </c>
      <c r="BG107" s="369" t="str">
        <f t="shared" si="45"/>
        <v>#DIV/0!</v>
      </c>
      <c r="BH107" s="369" t="str">
        <f t="shared" si="46"/>
        <v>#DIV/0!</v>
      </c>
      <c r="BI107" s="369" t="str">
        <f t="shared" si="47"/>
        <v>#DIV/0!</v>
      </c>
      <c r="BJ107" s="369" t="str">
        <f t="shared" si="48"/>
        <v>#DIV/0!</v>
      </c>
      <c r="BK107" s="369" t="str">
        <f t="shared" si="49"/>
        <v>#DIV/0!</v>
      </c>
      <c r="BL107" s="369" t="str">
        <f t="shared" si="50"/>
        <v>#DIV/0!</v>
      </c>
      <c r="BM107" s="369" t="str">
        <f t="shared" si="51"/>
        <v>#DIV/0!</v>
      </c>
      <c r="BN107" s="369" t="str">
        <f t="shared" si="52"/>
        <v>#DIV/0!</v>
      </c>
      <c r="BO107" s="369" t="str">
        <f t="shared" si="53"/>
        <v>#DIV/0!</v>
      </c>
      <c r="BP107" s="369" t="str">
        <f t="shared" si="54"/>
        <v>#DIV/0!</v>
      </c>
      <c r="BQ107" s="369" t="str">
        <f t="shared" si="55"/>
        <v>#DIV/0!</v>
      </c>
      <c r="BR107" s="369" t="str">
        <f t="shared" si="56"/>
        <v>#DIV/0!</v>
      </c>
      <c r="BS107" s="369" t="str">
        <f t="shared" si="57"/>
        <v>#DIV/0!</v>
      </c>
      <c r="BT107" s="369" t="str">
        <f t="shared" si="58"/>
        <v>#DIV/0!</v>
      </c>
      <c r="BU107" s="369" t="str">
        <f t="shared" si="59"/>
        <v>#DIV/0!</v>
      </c>
      <c r="BV107" s="369" t="str">
        <f t="shared" si="60"/>
        <v>#DIV/0!</v>
      </c>
      <c r="BW107" s="369" t="str">
        <f t="shared" si="61"/>
        <v>#DIV/0!</v>
      </c>
      <c r="BX107" s="369" t="str">
        <f t="shared" si="62"/>
        <v>#DIV/0!</v>
      </c>
      <c r="BY107" s="369" t="str">
        <f t="shared" si="63"/>
        <v>#DIV/0!</v>
      </c>
      <c r="BZ107" s="369" t="str">
        <f t="shared" si="64"/>
        <v>#DIV/0!</v>
      </c>
      <c r="CA107" s="369" t="str">
        <f t="shared" si="65"/>
        <v>#DIV/0!</v>
      </c>
      <c r="CB107" s="369" t="str">
        <f t="shared" si="66"/>
        <v>#DIV/0!</v>
      </c>
      <c r="CC107" s="369"/>
    </row>
    <row r="108">
      <c r="M108" s="388"/>
      <c r="AV108" s="411" t="str">
        <f t="shared" ref="AV108:AY108" si="71">AV59</f>
        <v>PCE-PC0776</v>
      </c>
      <c r="AW108" s="339">
        <f t="shared" si="71"/>
        <v>2740</v>
      </c>
      <c r="AX108" s="339" t="str">
        <f t="shared" si="71"/>
        <v>APL</v>
      </c>
      <c r="AY108" s="339" t="str">
        <f t="shared" si="71"/>
        <v>7ETA</v>
      </c>
      <c r="AZ108" s="413">
        <f t="shared" si="38"/>
        <v>4500</v>
      </c>
      <c r="BA108" s="413">
        <f t="shared" si="39"/>
        <v>500</v>
      </c>
      <c r="BB108" s="414">
        <f t="shared" si="40"/>
        <v>4.411111111</v>
      </c>
      <c r="BC108" s="415">
        <f t="shared" si="41"/>
        <v>384.9937028</v>
      </c>
      <c r="BD108" s="413" t="str">
        <f t="shared" si="42"/>
        <v>TBO</v>
      </c>
      <c r="BE108" s="255" t="str">
        <f t="shared" si="43"/>
        <v/>
      </c>
      <c r="BF108" s="255" t="str">
        <f t="shared" si="44"/>
        <v/>
      </c>
      <c r="BG108" s="255" t="str">
        <f t="shared" si="45"/>
        <v/>
      </c>
      <c r="BH108" s="255" t="str">
        <f t="shared" si="46"/>
        <v/>
      </c>
      <c r="BI108" s="255" t="str">
        <f t="shared" si="47"/>
        <v/>
      </c>
      <c r="BJ108" s="255" t="str">
        <f t="shared" si="48"/>
        <v/>
      </c>
      <c r="BK108" s="255" t="str">
        <f t="shared" si="49"/>
        <v/>
      </c>
      <c r="BL108" s="255" t="str">
        <f t="shared" si="50"/>
        <v/>
      </c>
      <c r="BM108" s="255" t="str">
        <f t="shared" si="51"/>
        <v/>
      </c>
      <c r="BN108" s="255" t="str">
        <f t="shared" si="52"/>
        <v/>
      </c>
      <c r="BO108" s="255" t="str">
        <f t="shared" si="53"/>
        <v/>
      </c>
      <c r="BP108" s="255" t="str">
        <f t="shared" si="54"/>
        <v/>
      </c>
      <c r="BQ108" s="255" t="str">
        <f t="shared" si="55"/>
        <v/>
      </c>
      <c r="BR108" s="255" t="str">
        <f t="shared" si="56"/>
        <v/>
      </c>
      <c r="BS108" s="255" t="str">
        <f t="shared" si="57"/>
        <v/>
      </c>
      <c r="BT108" s="255" t="str">
        <f t="shared" si="58"/>
        <v/>
      </c>
      <c r="BU108" s="255" t="str">
        <f t="shared" si="59"/>
        <v/>
      </c>
      <c r="BV108" s="255" t="str">
        <f t="shared" si="60"/>
        <v/>
      </c>
      <c r="BW108" s="255" t="str">
        <f t="shared" si="61"/>
        <v/>
      </c>
      <c r="BX108" s="255" t="str">
        <f t="shared" si="62"/>
        <v/>
      </c>
      <c r="BY108" s="255" t="str">
        <f t="shared" si="63"/>
        <v/>
      </c>
      <c r="BZ108" s="255" t="str">
        <f t="shared" si="64"/>
        <v/>
      </c>
      <c r="CA108" s="255" t="str">
        <f t="shared" si="65"/>
        <v/>
      </c>
      <c r="CB108" s="255" t="str">
        <f t="shared" si="66"/>
        <v/>
      </c>
      <c r="CC108" s="369"/>
    </row>
    <row r="109">
      <c r="M109" s="388"/>
      <c r="AV109" s="411" t="str">
        <f t="shared" ref="AV109:AY109" si="72">AV60</f>
        <v>PCE-PC0790</v>
      </c>
      <c r="AW109" s="339">
        <f t="shared" si="72"/>
        <v>2732</v>
      </c>
      <c r="AX109" s="339" t="str">
        <f t="shared" si="72"/>
        <v>REPARA</v>
      </c>
      <c r="AY109" s="339" t="str">
        <f t="shared" si="72"/>
        <v>PAMASP</v>
      </c>
      <c r="AZ109" s="413">
        <f t="shared" si="38"/>
        <v>3000</v>
      </c>
      <c r="BA109" s="413">
        <f t="shared" si="39"/>
        <v>1500</v>
      </c>
      <c r="BB109" s="414" t="str">
        <f t="shared" si="40"/>
        <v>#DIV/0!</v>
      </c>
      <c r="BC109" s="415" t="str">
        <f t="shared" si="41"/>
        <v>#DIV/0!</v>
      </c>
      <c r="BD109" s="413" t="str">
        <f t="shared" si="42"/>
        <v>HSI</v>
      </c>
      <c r="BE109" s="369" t="str">
        <f t="shared" si="43"/>
        <v>#DIV/0!</v>
      </c>
      <c r="BF109" s="369" t="str">
        <f t="shared" si="44"/>
        <v>#DIV/0!</v>
      </c>
      <c r="BG109" s="369" t="str">
        <f t="shared" si="45"/>
        <v>#DIV/0!</v>
      </c>
      <c r="BH109" s="369" t="str">
        <f t="shared" si="46"/>
        <v>#DIV/0!</v>
      </c>
      <c r="BI109" s="369" t="str">
        <f t="shared" si="47"/>
        <v>#DIV/0!</v>
      </c>
      <c r="BJ109" s="369" t="str">
        <f t="shared" si="48"/>
        <v>#DIV/0!</v>
      </c>
      <c r="BK109" s="369" t="str">
        <f t="shared" si="49"/>
        <v>#DIV/0!</v>
      </c>
      <c r="BL109" s="369" t="str">
        <f t="shared" si="50"/>
        <v>#DIV/0!</v>
      </c>
      <c r="BM109" s="369" t="str">
        <f t="shared" si="51"/>
        <v>#DIV/0!</v>
      </c>
      <c r="BN109" s="369" t="str">
        <f t="shared" si="52"/>
        <v>#DIV/0!</v>
      </c>
      <c r="BO109" s="369" t="str">
        <f t="shared" si="53"/>
        <v>#DIV/0!</v>
      </c>
      <c r="BP109" s="369" t="str">
        <f t="shared" si="54"/>
        <v>#DIV/0!</v>
      </c>
      <c r="BQ109" s="369" t="str">
        <f t="shared" si="55"/>
        <v>#DIV/0!</v>
      </c>
      <c r="BR109" s="369" t="str">
        <f t="shared" si="56"/>
        <v>#DIV/0!</v>
      </c>
      <c r="BS109" s="369" t="str">
        <f t="shared" si="57"/>
        <v>#DIV/0!</v>
      </c>
      <c r="BT109" s="369" t="str">
        <f t="shared" si="58"/>
        <v>#DIV/0!</v>
      </c>
      <c r="BU109" s="369" t="str">
        <f t="shared" si="59"/>
        <v>#DIV/0!</v>
      </c>
      <c r="BV109" s="369" t="str">
        <f t="shared" si="60"/>
        <v>#DIV/0!</v>
      </c>
      <c r="BW109" s="369" t="str">
        <f t="shared" si="61"/>
        <v>#DIV/0!</v>
      </c>
      <c r="BX109" s="369" t="str">
        <f t="shared" si="62"/>
        <v>#DIV/0!</v>
      </c>
      <c r="BY109" s="369" t="str">
        <f t="shared" si="63"/>
        <v>#DIV/0!</v>
      </c>
      <c r="BZ109" s="369" t="str">
        <f t="shared" si="64"/>
        <v>#DIV/0!</v>
      </c>
      <c r="CA109" s="369" t="str">
        <f t="shared" si="65"/>
        <v>#DIV/0!</v>
      </c>
      <c r="CB109" s="369" t="str">
        <f t="shared" si="66"/>
        <v>#DIV/0!</v>
      </c>
      <c r="CC109" s="369"/>
    </row>
    <row r="110">
      <c r="M110" s="388"/>
      <c r="AV110" s="411" t="str">
        <f t="shared" ref="AV110:AY110" si="73">AV61</f>
        <v>PCE-PC0797</v>
      </c>
      <c r="AW110" s="339">
        <f t="shared" si="73"/>
        <v>2733</v>
      </c>
      <c r="AX110" s="339" t="str">
        <f t="shared" si="73"/>
        <v>APL</v>
      </c>
      <c r="AY110" s="339" t="str">
        <f t="shared" si="73"/>
        <v>1ETA</v>
      </c>
      <c r="AZ110" s="413">
        <f t="shared" si="38"/>
        <v>4500</v>
      </c>
      <c r="BA110" s="413">
        <f t="shared" si="39"/>
        <v>500</v>
      </c>
      <c r="BB110" s="414">
        <f t="shared" si="40"/>
        <v>19.3515873</v>
      </c>
      <c r="BC110" s="415">
        <f t="shared" si="41"/>
        <v>44.65180659</v>
      </c>
      <c r="BD110" s="413" t="str">
        <f t="shared" si="42"/>
        <v>TBO</v>
      </c>
      <c r="BE110" s="369" t="str">
        <f t="shared" si="43"/>
        <v/>
      </c>
      <c r="BF110" s="369" t="str">
        <f t="shared" si="44"/>
        <v/>
      </c>
      <c r="BG110" s="369" t="str">
        <f t="shared" si="45"/>
        <v/>
      </c>
      <c r="BH110" s="369" t="str">
        <f t="shared" si="46"/>
        <v/>
      </c>
      <c r="BI110" s="369" t="str">
        <f t="shared" si="47"/>
        <v/>
      </c>
      <c r="BJ110" s="369" t="str">
        <f t="shared" si="48"/>
        <v/>
      </c>
      <c r="BK110" s="369" t="str">
        <f t="shared" si="49"/>
        <v/>
      </c>
      <c r="BL110" s="369" t="str">
        <f t="shared" si="50"/>
        <v/>
      </c>
      <c r="BM110" s="369" t="str">
        <f t="shared" si="51"/>
        <v/>
      </c>
      <c r="BN110" s="369" t="str">
        <f t="shared" si="52"/>
        <v/>
      </c>
      <c r="BO110" s="369" t="str">
        <f t="shared" si="53"/>
        <v/>
      </c>
      <c r="BP110" s="369" t="str">
        <f t="shared" si="54"/>
        <v/>
      </c>
      <c r="BQ110" s="369" t="str">
        <f t="shared" si="55"/>
        <v/>
      </c>
      <c r="BR110" s="369" t="str">
        <f t="shared" si="56"/>
        <v/>
      </c>
      <c r="BS110" s="369" t="str">
        <f t="shared" si="57"/>
        <v/>
      </c>
      <c r="BT110" s="369" t="str">
        <f t="shared" si="58"/>
        <v/>
      </c>
      <c r="BU110" s="369" t="str">
        <f t="shared" si="59"/>
        <v/>
      </c>
      <c r="BV110" s="369" t="str">
        <f t="shared" si="60"/>
        <v/>
      </c>
      <c r="BW110" s="369" t="str">
        <f t="shared" si="61"/>
        <v/>
      </c>
      <c r="BX110" s="369" t="str">
        <f t="shared" si="62"/>
        <v/>
      </c>
      <c r="BY110" s="369" t="str">
        <f t="shared" si="63"/>
        <v/>
      </c>
      <c r="BZ110" s="369" t="str">
        <f t="shared" si="64"/>
        <v/>
      </c>
      <c r="CA110" s="369" t="str">
        <f t="shared" si="65"/>
        <v/>
      </c>
      <c r="CB110" s="369" t="str">
        <f t="shared" si="66"/>
        <v/>
      </c>
      <c r="CC110" s="369"/>
    </row>
    <row r="111">
      <c r="M111" s="388"/>
      <c r="AV111" s="411" t="str">
        <f t="shared" ref="AV111:AY111" si="74">AV62</f>
        <v>PCE-PC0863</v>
      </c>
      <c r="AW111" s="339">
        <f t="shared" si="74"/>
        <v>2702</v>
      </c>
      <c r="AX111" s="339" t="str">
        <f t="shared" si="74"/>
        <v>REQUIS</v>
      </c>
      <c r="AY111" s="339" t="str">
        <f t="shared" si="74"/>
        <v>PAMASP</v>
      </c>
      <c r="AZ111" s="413">
        <f t="shared" si="38"/>
        <v>1500</v>
      </c>
      <c r="BA111" s="413">
        <f t="shared" si="39"/>
        <v>1500</v>
      </c>
      <c r="BB111" s="414" t="str">
        <f t="shared" si="40"/>
        <v>#DIV/0!</v>
      </c>
      <c r="BC111" s="415" t="str">
        <f t="shared" si="41"/>
        <v>#DIV/0!</v>
      </c>
      <c r="BD111" s="413" t="str">
        <f t="shared" si="42"/>
        <v>HSI</v>
      </c>
      <c r="BE111" s="255" t="str">
        <f t="shared" si="43"/>
        <v>#DIV/0!</v>
      </c>
      <c r="BF111" s="255" t="str">
        <f t="shared" si="44"/>
        <v>#DIV/0!</v>
      </c>
      <c r="BG111" s="255" t="str">
        <f t="shared" si="45"/>
        <v>#DIV/0!</v>
      </c>
      <c r="BH111" s="255" t="str">
        <f t="shared" si="46"/>
        <v>#DIV/0!</v>
      </c>
      <c r="BI111" s="255" t="str">
        <f t="shared" si="47"/>
        <v>#DIV/0!</v>
      </c>
      <c r="BJ111" s="255" t="str">
        <f t="shared" si="48"/>
        <v>#DIV/0!</v>
      </c>
      <c r="BK111" s="255" t="str">
        <f t="shared" si="49"/>
        <v>#DIV/0!</v>
      </c>
      <c r="BL111" s="255" t="str">
        <f t="shared" si="50"/>
        <v>#DIV/0!</v>
      </c>
      <c r="BM111" s="255" t="str">
        <f t="shared" si="51"/>
        <v>#DIV/0!</v>
      </c>
      <c r="BN111" s="255" t="str">
        <f t="shared" si="52"/>
        <v>#DIV/0!</v>
      </c>
      <c r="BO111" s="255" t="str">
        <f t="shared" si="53"/>
        <v>#DIV/0!</v>
      </c>
      <c r="BP111" s="255" t="str">
        <f t="shared" si="54"/>
        <v>#DIV/0!</v>
      </c>
      <c r="BQ111" s="255" t="str">
        <f t="shared" si="55"/>
        <v>#DIV/0!</v>
      </c>
      <c r="BR111" s="255" t="str">
        <f t="shared" si="56"/>
        <v>#DIV/0!</v>
      </c>
      <c r="BS111" s="255" t="str">
        <f t="shared" si="57"/>
        <v>#DIV/0!</v>
      </c>
      <c r="BT111" s="255" t="str">
        <f t="shared" si="58"/>
        <v>#DIV/0!</v>
      </c>
      <c r="BU111" s="255" t="str">
        <f t="shared" si="59"/>
        <v>#DIV/0!</v>
      </c>
      <c r="BV111" s="255" t="str">
        <f t="shared" si="60"/>
        <v>#DIV/0!</v>
      </c>
      <c r="BW111" s="255" t="str">
        <f t="shared" si="61"/>
        <v>#DIV/0!</v>
      </c>
      <c r="BX111" s="255" t="str">
        <f t="shared" si="62"/>
        <v>#DIV/0!</v>
      </c>
      <c r="BY111" s="255" t="str">
        <f t="shared" si="63"/>
        <v>#DIV/0!</v>
      </c>
      <c r="BZ111" s="255" t="str">
        <f t="shared" si="64"/>
        <v>#DIV/0!</v>
      </c>
      <c r="CA111" s="255" t="str">
        <f t="shared" si="65"/>
        <v>#DIV/0!</v>
      </c>
      <c r="CB111" s="255" t="str">
        <f t="shared" si="66"/>
        <v>#DIV/0!</v>
      </c>
      <c r="CC111" s="369"/>
    </row>
    <row r="112">
      <c r="M112" s="388"/>
      <c r="AV112" s="411" t="str">
        <f t="shared" ref="AV112:AY112" si="75">AV63</f>
        <v>PCE-PC1002</v>
      </c>
      <c r="AW112" s="339">
        <f t="shared" si="75"/>
        <v>2727</v>
      </c>
      <c r="AX112" s="339" t="str">
        <f t="shared" si="75"/>
        <v>APL</v>
      </c>
      <c r="AY112" s="339" t="str">
        <f t="shared" si="75"/>
        <v>1/15GAV</v>
      </c>
      <c r="AZ112" s="413">
        <f t="shared" si="38"/>
        <v>1500</v>
      </c>
      <c r="BA112" s="413">
        <f t="shared" si="39"/>
        <v>1500</v>
      </c>
      <c r="BB112" s="414">
        <f t="shared" si="40"/>
        <v>12.22142857</v>
      </c>
      <c r="BC112" s="415">
        <f t="shared" si="41"/>
        <v>237.1585817</v>
      </c>
      <c r="BD112" s="413" t="str">
        <f t="shared" si="42"/>
        <v>HSI</v>
      </c>
      <c r="BE112" s="369" t="str">
        <f t="shared" si="43"/>
        <v/>
      </c>
      <c r="BF112" s="369" t="str">
        <f t="shared" si="44"/>
        <v/>
      </c>
      <c r="BG112" s="369" t="str">
        <f t="shared" si="45"/>
        <v/>
      </c>
      <c r="BH112" s="369" t="str">
        <f t="shared" si="46"/>
        <v/>
      </c>
      <c r="BI112" s="369" t="str">
        <f t="shared" si="47"/>
        <v/>
      </c>
      <c r="BJ112" s="369" t="str">
        <f t="shared" si="48"/>
        <v/>
      </c>
      <c r="BK112" s="369" t="str">
        <f t="shared" si="49"/>
        <v/>
      </c>
      <c r="BL112" s="369" t="str">
        <f t="shared" si="50"/>
        <v/>
      </c>
      <c r="BM112" s="369" t="str">
        <f t="shared" si="51"/>
        <v/>
      </c>
      <c r="BN112" s="369" t="str">
        <f t="shared" si="52"/>
        <v/>
      </c>
      <c r="BO112" s="369" t="str">
        <f t="shared" si="53"/>
        <v/>
      </c>
      <c r="BP112" s="369" t="str">
        <f t="shared" si="54"/>
        <v/>
      </c>
      <c r="BQ112" s="369" t="str">
        <f t="shared" si="55"/>
        <v/>
      </c>
      <c r="BR112" s="369" t="str">
        <f t="shared" si="56"/>
        <v/>
      </c>
      <c r="BS112" s="369" t="str">
        <f t="shared" si="57"/>
        <v/>
      </c>
      <c r="BT112" s="369" t="str">
        <f t="shared" si="58"/>
        <v/>
      </c>
      <c r="BU112" s="369" t="str">
        <f t="shared" si="59"/>
        <v/>
      </c>
      <c r="BV112" s="369" t="str">
        <f t="shared" si="60"/>
        <v/>
      </c>
      <c r="BW112" s="369" t="str">
        <f t="shared" si="61"/>
        <v/>
      </c>
      <c r="BX112" s="369" t="str">
        <f t="shared" si="62"/>
        <v/>
      </c>
      <c r="BY112" s="369" t="str">
        <f t="shared" si="63"/>
        <v/>
      </c>
      <c r="BZ112" s="369" t="str">
        <f t="shared" si="64"/>
        <v/>
      </c>
      <c r="CA112" s="369" t="str">
        <f t="shared" si="65"/>
        <v/>
      </c>
      <c r="CB112" s="369" t="str">
        <f t="shared" si="66"/>
        <v/>
      </c>
      <c r="CC112" s="369"/>
    </row>
    <row r="113">
      <c r="M113" s="388"/>
      <c r="AV113" s="411" t="str">
        <f t="shared" ref="AV113:AY113" si="76">AV64</f>
        <v>PCE-PC1211</v>
      </c>
      <c r="AW113" s="339">
        <f t="shared" si="76"/>
        <v>2738</v>
      </c>
      <c r="AX113" s="339" t="str">
        <f t="shared" si="76"/>
        <v>APL</v>
      </c>
      <c r="AY113" s="339" t="str">
        <f t="shared" si="76"/>
        <v>7ETA</v>
      </c>
      <c r="AZ113" s="413">
        <f t="shared" si="38"/>
        <v>1500</v>
      </c>
      <c r="BA113" s="413">
        <f t="shared" si="39"/>
        <v>1500</v>
      </c>
      <c r="BB113" s="414">
        <f t="shared" si="40"/>
        <v>4.411111111</v>
      </c>
      <c r="BC113" s="415">
        <f t="shared" si="41"/>
        <v>657.4118388</v>
      </c>
      <c r="BD113" s="413" t="str">
        <f t="shared" si="42"/>
        <v>HSI</v>
      </c>
      <c r="BE113" s="369" t="str">
        <f t="shared" si="43"/>
        <v/>
      </c>
      <c r="BF113" s="369" t="str">
        <f t="shared" si="44"/>
        <v/>
      </c>
      <c r="BG113" s="369" t="str">
        <f t="shared" si="45"/>
        <v/>
      </c>
      <c r="BH113" s="369" t="str">
        <f t="shared" si="46"/>
        <v/>
      </c>
      <c r="BI113" s="372" t="str">
        <f t="shared" si="47"/>
        <v/>
      </c>
      <c r="BJ113" s="369" t="str">
        <f t="shared" si="48"/>
        <v/>
      </c>
      <c r="BK113" s="369" t="str">
        <f t="shared" si="49"/>
        <v/>
      </c>
      <c r="BL113" s="369" t="str">
        <f t="shared" si="50"/>
        <v/>
      </c>
      <c r="BM113" s="369" t="str">
        <f t="shared" si="51"/>
        <v/>
      </c>
      <c r="BN113" s="369" t="str">
        <f t="shared" si="52"/>
        <v/>
      </c>
      <c r="BO113" s="369" t="str">
        <f t="shared" si="53"/>
        <v/>
      </c>
      <c r="BP113" s="369" t="str">
        <f t="shared" si="54"/>
        <v/>
      </c>
      <c r="BQ113" s="369" t="str">
        <f t="shared" si="55"/>
        <v/>
      </c>
      <c r="BR113" s="369" t="str">
        <f t="shared" si="56"/>
        <v/>
      </c>
      <c r="BS113" s="369" t="str">
        <f t="shared" si="57"/>
        <v/>
      </c>
      <c r="BT113" s="369" t="str">
        <f t="shared" si="58"/>
        <v/>
      </c>
      <c r="BU113" s="369" t="str">
        <f t="shared" si="59"/>
        <v/>
      </c>
      <c r="BV113" s="369" t="str">
        <f t="shared" si="60"/>
        <v/>
      </c>
      <c r="BW113" s="369" t="str">
        <f t="shared" si="61"/>
        <v/>
      </c>
      <c r="BX113" s="369" t="str">
        <f t="shared" si="62"/>
        <v/>
      </c>
      <c r="BY113" s="369" t="str">
        <f t="shared" si="63"/>
        <v/>
      </c>
      <c r="BZ113" s="369" t="str">
        <f t="shared" si="64"/>
        <v/>
      </c>
      <c r="CA113" s="369" t="str">
        <f t="shared" si="65"/>
        <v/>
      </c>
      <c r="CB113" s="369" t="str">
        <f t="shared" si="66"/>
        <v/>
      </c>
      <c r="CC113" s="369"/>
    </row>
    <row r="114">
      <c r="M114" s="388"/>
      <c r="AV114" s="411" t="str">
        <f t="shared" ref="AV114:AY114" si="77">AV65</f>
        <v>PCE-PC1391</v>
      </c>
      <c r="AW114" s="339">
        <f t="shared" si="77"/>
        <v>2728</v>
      </c>
      <c r="AX114" s="339" t="str">
        <f t="shared" si="77"/>
        <v>OS</v>
      </c>
      <c r="AY114" s="339" t="str">
        <f t="shared" si="77"/>
        <v>PAMASP</v>
      </c>
      <c r="AZ114" s="413">
        <f t="shared" si="38"/>
        <v>1500</v>
      </c>
      <c r="BA114" s="413">
        <f t="shared" si="39"/>
        <v>1500</v>
      </c>
      <c r="BB114" s="414" t="str">
        <f t="shared" si="40"/>
        <v>#DIV/0!</v>
      </c>
      <c r="BC114" s="415" t="str">
        <f t="shared" si="41"/>
        <v>#DIV/0!</v>
      </c>
      <c r="BD114" s="413" t="str">
        <f t="shared" si="42"/>
        <v>HSI</v>
      </c>
      <c r="BE114" s="369" t="str">
        <f t="shared" si="43"/>
        <v>#DIV/0!</v>
      </c>
      <c r="BF114" s="369" t="str">
        <f t="shared" si="44"/>
        <v>#DIV/0!</v>
      </c>
      <c r="BG114" s="369" t="str">
        <f t="shared" si="45"/>
        <v>#DIV/0!</v>
      </c>
      <c r="BH114" s="369" t="str">
        <f t="shared" si="46"/>
        <v>#DIV/0!</v>
      </c>
      <c r="BI114" s="369" t="str">
        <f t="shared" si="47"/>
        <v>#DIV/0!</v>
      </c>
      <c r="BJ114" s="369" t="str">
        <f t="shared" si="48"/>
        <v>#DIV/0!</v>
      </c>
      <c r="BK114" s="369" t="str">
        <f t="shared" si="49"/>
        <v>#DIV/0!</v>
      </c>
      <c r="BL114" s="369" t="str">
        <f t="shared" si="50"/>
        <v>#DIV/0!</v>
      </c>
      <c r="BM114" s="369" t="str">
        <f t="shared" si="51"/>
        <v>#DIV/0!</v>
      </c>
      <c r="BN114" s="369" t="str">
        <f t="shared" si="52"/>
        <v>#DIV/0!</v>
      </c>
      <c r="BO114" s="369" t="str">
        <f t="shared" si="53"/>
        <v>#DIV/0!</v>
      </c>
      <c r="BP114" s="369" t="str">
        <f t="shared" si="54"/>
        <v>#DIV/0!</v>
      </c>
      <c r="BQ114" s="372" t="str">
        <f t="shared" si="55"/>
        <v>#DIV/0!</v>
      </c>
      <c r="BR114" s="369" t="str">
        <f t="shared" si="56"/>
        <v>#DIV/0!</v>
      </c>
      <c r="BS114" s="369" t="str">
        <f t="shared" si="57"/>
        <v>#DIV/0!</v>
      </c>
      <c r="BT114" s="369" t="str">
        <f t="shared" si="58"/>
        <v>#DIV/0!</v>
      </c>
      <c r="BU114" s="369" t="str">
        <f t="shared" si="59"/>
        <v>#DIV/0!</v>
      </c>
      <c r="BV114" s="369" t="str">
        <f t="shared" si="60"/>
        <v>#DIV/0!</v>
      </c>
      <c r="BW114" s="369" t="str">
        <f t="shared" si="61"/>
        <v>#DIV/0!</v>
      </c>
      <c r="BX114" s="369" t="str">
        <f t="shared" si="62"/>
        <v>#DIV/0!</v>
      </c>
      <c r="BY114" s="369" t="str">
        <f t="shared" si="63"/>
        <v>#DIV/0!</v>
      </c>
      <c r="BZ114" s="369" t="str">
        <f t="shared" si="64"/>
        <v>#DIV/0!</v>
      </c>
      <c r="CA114" s="369" t="str">
        <f t="shared" si="65"/>
        <v>#DIV/0!</v>
      </c>
      <c r="CB114" s="369" t="str">
        <f t="shared" si="66"/>
        <v>#DIV/0!</v>
      </c>
      <c r="CC114" s="369"/>
    </row>
    <row r="115">
      <c r="M115" s="388"/>
      <c r="AV115" s="411" t="str">
        <f t="shared" ref="AV115:AY115" si="78">AV66</f>
        <v>PCE-PC1570</v>
      </c>
      <c r="AW115" s="339">
        <f t="shared" si="78"/>
        <v>2737</v>
      </c>
      <c r="AX115" s="339" t="str">
        <f t="shared" si="78"/>
        <v>APL</v>
      </c>
      <c r="AY115" s="339" t="str">
        <f t="shared" si="78"/>
        <v>7ETA</v>
      </c>
      <c r="AZ115" s="413">
        <f t="shared" si="38"/>
        <v>1500</v>
      </c>
      <c r="BA115" s="413">
        <f t="shared" si="39"/>
        <v>1500</v>
      </c>
      <c r="BB115" s="414">
        <f t="shared" si="40"/>
        <v>4.411111111</v>
      </c>
      <c r="BC115" s="415">
        <f t="shared" si="41"/>
        <v>594.5780856</v>
      </c>
      <c r="BD115" s="413" t="str">
        <f t="shared" si="42"/>
        <v>HSI</v>
      </c>
      <c r="BE115" s="369" t="str">
        <f t="shared" si="43"/>
        <v/>
      </c>
      <c r="BF115" s="369" t="str">
        <f t="shared" si="44"/>
        <v/>
      </c>
      <c r="BG115" s="369" t="str">
        <f t="shared" si="45"/>
        <v/>
      </c>
      <c r="BH115" s="369" t="str">
        <f t="shared" si="46"/>
        <v/>
      </c>
      <c r="BI115" s="369" t="str">
        <f t="shared" si="47"/>
        <v/>
      </c>
      <c r="BJ115" s="369" t="str">
        <f t="shared" si="48"/>
        <v/>
      </c>
      <c r="BK115" s="369" t="str">
        <f t="shared" si="49"/>
        <v/>
      </c>
      <c r="BL115" s="369" t="str">
        <f t="shared" si="50"/>
        <v/>
      </c>
      <c r="BM115" s="369" t="str">
        <f t="shared" si="51"/>
        <v/>
      </c>
      <c r="BN115" s="369" t="str">
        <f t="shared" si="52"/>
        <v/>
      </c>
      <c r="BO115" s="369" t="str">
        <f t="shared" si="53"/>
        <v/>
      </c>
      <c r="BP115" s="369" t="str">
        <f t="shared" si="54"/>
        <v/>
      </c>
      <c r="BQ115" s="369" t="str">
        <f t="shared" si="55"/>
        <v/>
      </c>
      <c r="BR115" s="369" t="str">
        <f t="shared" si="56"/>
        <v/>
      </c>
      <c r="BS115" s="369" t="str">
        <f t="shared" si="57"/>
        <v/>
      </c>
      <c r="BT115" s="369" t="str">
        <f t="shared" si="58"/>
        <v/>
      </c>
      <c r="BU115" s="369" t="str">
        <f t="shared" si="59"/>
        <v/>
      </c>
      <c r="BV115" s="369" t="str">
        <f t="shared" si="60"/>
        <v/>
      </c>
      <c r="BW115" s="369" t="str">
        <f t="shared" si="61"/>
        <v/>
      </c>
      <c r="BX115" s="369" t="str">
        <f t="shared" si="62"/>
        <v/>
      </c>
      <c r="BY115" s="369" t="str">
        <f t="shared" si="63"/>
        <v/>
      </c>
      <c r="BZ115" s="369" t="str">
        <f t="shared" si="64"/>
        <v/>
      </c>
      <c r="CA115" s="369" t="str">
        <f t="shared" si="65"/>
        <v/>
      </c>
      <c r="CB115" s="369" t="str">
        <f t="shared" si="66"/>
        <v/>
      </c>
      <c r="CC115" s="369"/>
    </row>
    <row r="116">
      <c r="M116" s="388"/>
      <c r="AV116" s="411" t="str">
        <f t="shared" ref="AV116:AY116" si="79">AV67</f>
        <v>PCE-PC1659</v>
      </c>
      <c r="AW116" s="339">
        <f t="shared" si="79"/>
        <v>2736</v>
      </c>
      <c r="AX116" s="339" t="str">
        <f t="shared" si="79"/>
        <v>OS</v>
      </c>
      <c r="AY116" s="339" t="str">
        <f t="shared" si="79"/>
        <v>PAMASP</v>
      </c>
      <c r="AZ116" s="413">
        <f t="shared" si="38"/>
        <v>4500</v>
      </c>
      <c r="BA116" s="413">
        <f t="shared" si="39"/>
        <v>500</v>
      </c>
      <c r="BB116" s="414" t="str">
        <f t="shared" si="40"/>
        <v>#DIV/0!</v>
      </c>
      <c r="BC116" s="415" t="str">
        <f t="shared" si="41"/>
        <v>#DIV/0!</v>
      </c>
      <c r="BD116" s="413" t="str">
        <f t="shared" si="42"/>
        <v>TBO</v>
      </c>
      <c r="BE116" s="255" t="str">
        <f t="shared" si="43"/>
        <v>#DIV/0!</v>
      </c>
      <c r="BF116" s="255" t="str">
        <f t="shared" si="44"/>
        <v>#DIV/0!</v>
      </c>
      <c r="BG116" s="255" t="str">
        <f t="shared" si="45"/>
        <v>#DIV/0!</v>
      </c>
      <c r="BH116" s="255" t="str">
        <f t="shared" si="46"/>
        <v>#DIV/0!</v>
      </c>
      <c r="BI116" s="255" t="str">
        <f t="shared" si="47"/>
        <v>#DIV/0!</v>
      </c>
      <c r="BJ116" s="255" t="str">
        <f t="shared" si="48"/>
        <v>#DIV/0!</v>
      </c>
      <c r="BK116" s="255" t="str">
        <f t="shared" si="49"/>
        <v>#DIV/0!</v>
      </c>
      <c r="BL116" s="255" t="str">
        <f t="shared" si="50"/>
        <v>#DIV/0!</v>
      </c>
      <c r="BM116" s="255" t="str">
        <f t="shared" si="51"/>
        <v>#DIV/0!</v>
      </c>
      <c r="BN116" s="255" t="str">
        <f t="shared" si="52"/>
        <v>#DIV/0!</v>
      </c>
      <c r="BO116" s="255" t="str">
        <f t="shared" si="53"/>
        <v>#DIV/0!</v>
      </c>
      <c r="BP116" s="255" t="str">
        <f t="shared" si="54"/>
        <v>#DIV/0!</v>
      </c>
      <c r="BQ116" s="255" t="str">
        <f t="shared" si="55"/>
        <v>#DIV/0!</v>
      </c>
      <c r="BR116" s="255" t="str">
        <f t="shared" si="56"/>
        <v>#DIV/0!</v>
      </c>
      <c r="BS116" s="255" t="str">
        <f t="shared" si="57"/>
        <v>#DIV/0!</v>
      </c>
      <c r="BT116" s="255" t="str">
        <f t="shared" si="58"/>
        <v>#DIV/0!</v>
      </c>
      <c r="BU116" s="255" t="str">
        <f t="shared" si="59"/>
        <v>#DIV/0!</v>
      </c>
      <c r="BV116" s="255" t="str">
        <f t="shared" si="60"/>
        <v>#DIV/0!</v>
      </c>
      <c r="BW116" s="255" t="str">
        <f t="shared" si="61"/>
        <v>#DIV/0!</v>
      </c>
      <c r="BX116" s="255" t="str">
        <f t="shared" si="62"/>
        <v>#DIV/0!</v>
      </c>
      <c r="BY116" s="255" t="str">
        <f t="shared" si="63"/>
        <v>#DIV/0!</v>
      </c>
      <c r="BZ116" s="255" t="str">
        <f t="shared" si="64"/>
        <v>#DIV/0!</v>
      </c>
      <c r="CA116" s="255" t="str">
        <f t="shared" si="65"/>
        <v>#DIV/0!</v>
      </c>
      <c r="CB116" s="255" t="str">
        <f t="shared" si="66"/>
        <v>#DIV/0!</v>
      </c>
      <c r="CC116" s="369"/>
    </row>
    <row r="117">
      <c r="M117" s="388"/>
      <c r="AV117" s="411" t="str">
        <f t="shared" ref="AV117:AY117" si="80">AV68</f>
        <v>PCE-PC1666</v>
      </c>
      <c r="AW117" s="339">
        <f t="shared" si="80"/>
        <v>2731</v>
      </c>
      <c r="AX117" s="339" t="str">
        <f t="shared" si="80"/>
        <v>APL</v>
      </c>
      <c r="AY117" s="339" t="str">
        <f t="shared" si="80"/>
        <v>1ETA</v>
      </c>
      <c r="AZ117" s="413">
        <f t="shared" si="38"/>
        <v>1500</v>
      </c>
      <c r="BA117" s="413">
        <f t="shared" si="39"/>
        <v>1500</v>
      </c>
      <c r="BB117" s="414">
        <f t="shared" si="40"/>
        <v>19.3515873</v>
      </c>
      <c r="BC117" s="415">
        <f t="shared" si="41"/>
        <v>134.5496863</v>
      </c>
      <c r="BD117" s="413" t="str">
        <f t="shared" si="42"/>
        <v>HSI</v>
      </c>
      <c r="BE117" s="369" t="str">
        <f t="shared" si="43"/>
        <v/>
      </c>
      <c r="BF117" s="369" t="str">
        <f t="shared" si="44"/>
        <v/>
      </c>
      <c r="BG117" s="369" t="str">
        <f t="shared" si="45"/>
        <v/>
      </c>
      <c r="BH117" s="369" t="str">
        <f t="shared" si="46"/>
        <v/>
      </c>
      <c r="BI117" s="369" t="str">
        <f t="shared" si="47"/>
        <v/>
      </c>
      <c r="BJ117" s="369" t="str">
        <f t="shared" si="48"/>
        <v/>
      </c>
      <c r="BK117" s="369" t="str">
        <f t="shared" si="49"/>
        <v/>
      </c>
      <c r="BL117" s="369" t="str">
        <f t="shared" si="50"/>
        <v/>
      </c>
      <c r="BM117" s="369" t="str">
        <f t="shared" si="51"/>
        <v/>
      </c>
      <c r="BN117" s="369" t="str">
        <f t="shared" si="52"/>
        <v/>
      </c>
      <c r="BO117" s="369" t="str">
        <f t="shared" si="53"/>
        <v/>
      </c>
      <c r="BP117" s="369" t="str">
        <f t="shared" si="54"/>
        <v/>
      </c>
      <c r="BQ117" s="369" t="str">
        <f t="shared" si="55"/>
        <v/>
      </c>
      <c r="BR117" s="369" t="str">
        <f t="shared" si="56"/>
        <v/>
      </c>
      <c r="BS117" s="369" t="str">
        <f t="shared" si="57"/>
        <v/>
      </c>
      <c r="BT117" s="369" t="str">
        <f t="shared" si="58"/>
        <v/>
      </c>
      <c r="BU117" s="369" t="str">
        <f t="shared" si="59"/>
        <v/>
      </c>
      <c r="BV117" s="369" t="str">
        <f t="shared" si="60"/>
        <v/>
      </c>
      <c r="BW117" s="369" t="str">
        <f t="shared" si="61"/>
        <v/>
      </c>
      <c r="BX117" s="369" t="str">
        <f t="shared" si="62"/>
        <v/>
      </c>
      <c r="BY117" s="369" t="str">
        <f t="shared" si="63"/>
        <v/>
      </c>
      <c r="BZ117" s="369" t="str">
        <f t="shared" si="64"/>
        <v/>
      </c>
      <c r="CA117" s="369" t="str">
        <f t="shared" si="65"/>
        <v/>
      </c>
      <c r="CB117" s="369" t="str">
        <f t="shared" si="66"/>
        <v/>
      </c>
      <c r="CC117" s="369"/>
    </row>
    <row r="118">
      <c r="M118" s="388"/>
      <c r="AV118" s="411" t="str">
        <f t="shared" ref="AV118:AY118" si="81">AV69</f>
        <v>PCE-PC1734</v>
      </c>
      <c r="AW118" s="339">
        <f t="shared" si="81"/>
        <v>2721</v>
      </c>
      <c r="AX118" s="339" t="str">
        <f t="shared" si="81"/>
        <v>OS</v>
      </c>
      <c r="AY118" s="339" t="str">
        <f t="shared" si="81"/>
        <v>PAMASP</v>
      </c>
      <c r="AZ118" s="413">
        <f t="shared" si="38"/>
        <v>1500</v>
      </c>
      <c r="BA118" s="413">
        <f t="shared" si="39"/>
        <v>1500</v>
      </c>
      <c r="BB118" s="414" t="str">
        <f t="shared" si="40"/>
        <v>#DIV/0!</v>
      </c>
      <c r="BC118" s="415" t="str">
        <f t="shared" si="41"/>
        <v>#DIV/0!</v>
      </c>
      <c r="BD118" s="413" t="str">
        <f t="shared" si="42"/>
        <v>HSI</v>
      </c>
      <c r="BE118" s="369" t="str">
        <f t="shared" si="43"/>
        <v>#DIV/0!</v>
      </c>
      <c r="BF118" s="369" t="str">
        <f t="shared" si="44"/>
        <v>#DIV/0!</v>
      </c>
      <c r="BG118" s="369" t="str">
        <f t="shared" si="45"/>
        <v>#DIV/0!</v>
      </c>
      <c r="BH118" s="369" t="str">
        <f t="shared" si="46"/>
        <v>#DIV/0!</v>
      </c>
      <c r="BI118" s="369" t="str">
        <f t="shared" si="47"/>
        <v>#DIV/0!</v>
      </c>
      <c r="BJ118" s="369" t="str">
        <f t="shared" si="48"/>
        <v>#DIV/0!</v>
      </c>
      <c r="BK118" s="369" t="str">
        <f t="shared" si="49"/>
        <v>#DIV/0!</v>
      </c>
      <c r="BL118" s="369" t="str">
        <f t="shared" si="50"/>
        <v>#DIV/0!</v>
      </c>
      <c r="BM118" s="369" t="str">
        <f t="shared" si="51"/>
        <v>#DIV/0!</v>
      </c>
      <c r="BN118" s="369" t="str">
        <f t="shared" si="52"/>
        <v>#DIV/0!</v>
      </c>
      <c r="BO118" s="369" t="str">
        <f t="shared" si="53"/>
        <v>#DIV/0!</v>
      </c>
      <c r="BP118" s="369" t="str">
        <f t="shared" si="54"/>
        <v>#DIV/0!</v>
      </c>
      <c r="BQ118" s="369" t="str">
        <f t="shared" si="55"/>
        <v>#DIV/0!</v>
      </c>
      <c r="BR118" s="369" t="str">
        <f t="shared" si="56"/>
        <v>#DIV/0!</v>
      </c>
      <c r="BS118" s="369" t="str">
        <f t="shared" si="57"/>
        <v>#DIV/0!</v>
      </c>
      <c r="BT118" s="369" t="str">
        <f t="shared" si="58"/>
        <v>#DIV/0!</v>
      </c>
      <c r="BU118" s="369" t="str">
        <f t="shared" si="59"/>
        <v>#DIV/0!</v>
      </c>
      <c r="BV118" s="369" t="str">
        <f t="shared" si="60"/>
        <v>#DIV/0!</v>
      </c>
      <c r="BW118" s="369" t="str">
        <f t="shared" si="61"/>
        <v>#DIV/0!</v>
      </c>
      <c r="BX118" s="369" t="str">
        <f t="shared" si="62"/>
        <v>#DIV/0!</v>
      </c>
      <c r="BY118" s="369" t="str">
        <f t="shared" si="63"/>
        <v>#DIV/0!</v>
      </c>
      <c r="BZ118" s="369" t="str">
        <f t="shared" si="64"/>
        <v>#DIV/0!</v>
      </c>
      <c r="CA118" s="369" t="str">
        <f t="shared" si="65"/>
        <v>#DIV/0!</v>
      </c>
      <c r="CB118" s="369" t="str">
        <f t="shared" si="66"/>
        <v>#DIV/0!</v>
      </c>
      <c r="CC118" s="369"/>
    </row>
    <row r="119">
      <c r="M119" s="388"/>
      <c r="AV119" s="411" t="str">
        <f t="shared" ref="AV119:AY119" si="82">AV70</f>
        <v>PCE-PC1783</v>
      </c>
      <c r="AW119" s="339">
        <f t="shared" si="82"/>
        <v>2727</v>
      </c>
      <c r="AX119" s="339" t="str">
        <f t="shared" si="82"/>
        <v>RECOLH</v>
      </c>
      <c r="AY119" s="339" t="str">
        <f t="shared" si="82"/>
        <v>BACG</v>
      </c>
      <c r="AZ119" s="413">
        <f t="shared" si="38"/>
        <v>5000</v>
      </c>
      <c r="BA119" s="413">
        <f t="shared" si="39"/>
        <v>0</v>
      </c>
      <c r="BB119" s="414" t="b">
        <f t="shared" si="40"/>
        <v>0</v>
      </c>
      <c r="BC119" s="415" t="str">
        <f t="shared" si="41"/>
        <v>#DIV/0!</v>
      </c>
      <c r="BD119" s="413" t="str">
        <f t="shared" si="42"/>
        <v/>
      </c>
      <c r="BE119" s="369" t="str">
        <f t="shared" si="43"/>
        <v>#DIV/0!</v>
      </c>
      <c r="BF119" s="369" t="str">
        <f t="shared" si="44"/>
        <v>#DIV/0!</v>
      </c>
      <c r="BG119" s="369" t="str">
        <f t="shared" si="45"/>
        <v>#DIV/0!</v>
      </c>
      <c r="BH119" s="369" t="str">
        <f t="shared" si="46"/>
        <v>#DIV/0!</v>
      </c>
      <c r="BI119" s="369" t="str">
        <f t="shared" si="47"/>
        <v>#DIV/0!</v>
      </c>
      <c r="BJ119" s="369" t="str">
        <f t="shared" si="48"/>
        <v>#DIV/0!</v>
      </c>
      <c r="BK119" s="369" t="str">
        <f t="shared" si="49"/>
        <v>#DIV/0!</v>
      </c>
      <c r="BL119" s="369" t="str">
        <f t="shared" si="50"/>
        <v>#DIV/0!</v>
      </c>
      <c r="BM119" s="369" t="str">
        <f t="shared" si="51"/>
        <v>#DIV/0!</v>
      </c>
      <c r="BN119" s="369" t="str">
        <f t="shared" si="52"/>
        <v>#DIV/0!</v>
      </c>
      <c r="BO119" s="369" t="str">
        <f t="shared" si="53"/>
        <v>#DIV/0!</v>
      </c>
      <c r="BP119" s="369" t="str">
        <f t="shared" si="54"/>
        <v>#DIV/0!</v>
      </c>
      <c r="BQ119" s="369" t="str">
        <f t="shared" si="55"/>
        <v>#DIV/0!</v>
      </c>
      <c r="BR119" s="369" t="str">
        <f t="shared" si="56"/>
        <v>#DIV/0!</v>
      </c>
      <c r="BS119" s="369" t="str">
        <f t="shared" si="57"/>
        <v>#DIV/0!</v>
      </c>
      <c r="BT119" s="369" t="str">
        <f t="shared" si="58"/>
        <v>#DIV/0!</v>
      </c>
      <c r="BU119" s="369" t="str">
        <f t="shared" si="59"/>
        <v>#DIV/0!</v>
      </c>
      <c r="BV119" s="369" t="str">
        <f t="shared" si="60"/>
        <v>#DIV/0!</v>
      </c>
      <c r="BW119" s="369" t="str">
        <f t="shared" si="61"/>
        <v>#DIV/0!</v>
      </c>
      <c r="BX119" s="369" t="str">
        <f t="shared" si="62"/>
        <v>#DIV/0!</v>
      </c>
      <c r="BY119" s="369" t="str">
        <f t="shared" si="63"/>
        <v>#DIV/0!</v>
      </c>
      <c r="BZ119" s="369" t="str">
        <f t="shared" si="64"/>
        <v>#DIV/0!</v>
      </c>
      <c r="CA119" s="369" t="str">
        <f t="shared" si="65"/>
        <v>#DIV/0!</v>
      </c>
      <c r="CB119" s="369" t="str">
        <f t="shared" si="66"/>
        <v>#DIV/0!</v>
      </c>
      <c r="CC119" s="369"/>
    </row>
    <row r="120">
      <c r="M120" s="388"/>
      <c r="AV120" s="411" t="str">
        <f t="shared" ref="AV120:AY120" si="83">AV71</f>
        <v>PCE-PC1801</v>
      </c>
      <c r="AW120" s="339">
        <f t="shared" si="83"/>
        <v>2740</v>
      </c>
      <c r="AX120" s="339" t="str">
        <f t="shared" si="83"/>
        <v>OS</v>
      </c>
      <c r="AY120" s="339" t="str">
        <f t="shared" si="83"/>
        <v>PAMASP</v>
      </c>
      <c r="AZ120" s="413">
        <f t="shared" si="38"/>
        <v>5000</v>
      </c>
      <c r="BA120" s="413">
        <f t="shared" si="39"/>
        <v>0</v>
      </c>
      <c r="BB120" s="414" t="str">
        <f t="shared" si="40"/>
        <v>#DIV/0!</v>
      </c>
      <c r="BC120" s="415" t="str">
        <f t="shared" si="41"/>
        <v>#DIV/0!</v>
      </c>
      <c r="BD120" s="413" t="str">
        <f t="shared" si="42"/>
        <v/>
      </c>
      <c r="BE120" s="369" t="str">
        <f t="shared" si="43"/>
        <v>#DIV/0!</v>
      </c>
      <c r="BF120" s="369" t="str">
        <f t="shared" si="44"/>
        <v>#DIV/0!</v>
      </c>
      <c r="BG120" s="369" t="str">
        <f t="shared" si="45"/>
        <v>#DIV/0!</v>
      </c>
      <c r="BH120" s="369" t="str">
        <f t="shared" si="46"/>
        <v>#DIV/0!</v>
      </c>
      <c r="BI120" s="369" t="str">
        <f t="shared" si="47"/>
        <v>#DIV/0!</v>
      </c>
      <c r="BJ120" s="369" t="str">
        <f t="shared" si="48"/>
        <v>#DIV/0!</v>
      </c>
      <c r="BK120" s="369" t="str">
        <f t="shared" si="49"/>
        <v>#DIV/0!</v>
      </c>
      <c r="BL120" s="369" t="str">
        <f t="shared" si="50"/>
        <v>#DIV/0!</v>
      </c>
      <c r="BM120" s="369" t="str">
        <f t="shared" si="51"/>
        <v>#DIV/0!</v>
      </c>
      <c r="BN120" s="372" t="str">
        <f t="shared" si="52"/>
        <v>#DIV/0!</v>
      </c>
      <c r="BO120" s="369" t="str">
        <f t="shared" si="53"/>
        <v>#DIV/0!</v>
      </c>
      <c r="BP120" s="369" t="str">
        <f t="shared" si="54"/>
        <v>#DIV/0!</v>
      </c>
      <c r="BQ120" s="369" t="str">
        <f t="shared" si="55"/>
        <v>#DIV/0!</v>
      </c>
      <c r="BR120" s="369" t="str">
        <f t="shared" si="56"/>
        <v>#DIV/0!</v>
      </c>
      <c r="BS120" s="369" t="str">
        <f t="shared" si="57"/>
        <v>#DIV/0!</v>
      </c>
      <c r="BT120" s="369" t="str">
        <f t="shared" si="58"/>
        <v>#DIV/0!</v>
      </c>
      <c r="BU120" s="369" t="str">
        <f t="shared" si="59"/>
        <v>#DIV/0!</v>
      </c>
      <c r="BV120" s="369" t="str">
        <f t="shared" si="60"/>
        <v>#DIV/0!</v>
      </c>
      <c r="BW120" s="369" t="str">
        <f t="shared" si="61"/>
        <v>#DIV/0!</v>
      </c>
      <c r="BX120" s="369" t="str">
        <f t="shared" si="62"/>
        <v>#DIV/0!</v>
      </c>
      <c r="BY120" s="369" t="str">
        <f t="shared" si="63"/>
        <v>#DIV/0!</v>
      </c>
      <c r="BZ120" s="369" t="str">
        <f t="shared" si="64"/>
        <v>#DIV/0!</v>
      </c>
      <c r="CA120" s="369" t="str">
        <f t="shared" si="65"/>
        <v>#DIV/0!</v>
      </c>
      <c r="CB120" s="369" t="str">
        <f t="shared" si="66"/>
        <v>#DIV/0!</v>
      </c>
      <c r="CC120" s="369"/>
    </row>
    <row r="121">
      <c r="M121" s="388"/>
      <c r="AV121" s="411" t="str">
        <f t="shared" ref="AV121:AY121" si="84">AV72</f>
        <v>PCE-PC1832</v>
      </c>
      <c r="AW121" s="339">
        <f t="shared" si="84"/>
        <v>2738</v>
      </c>
      <c r="AX121" s="339" t="str">
        <f t="shared" si="84"/>
        <v>RECOLH</v>
      </c>
      <c r="AY121" s="339" t="str">
        <f t="shared" si="84"/>
        <v>BAMN</v>
      </c>
      <c r="AZ121" s="413">
        <f t="shared" si="38"/>
        <v>4500</v>
      </c>
      <c r="BA121" s="413">
        <f t="shared" si="39"/>
        <v>500</v>
      </c>
      <c r="BB121" s="414">
        <f t="shared" si="40"/>
        <v>1.428571429</v>
      </c>
      <c r="BC121" s="415">
        <f t="shared" si="41"/>
        <v>385.0583333</v>
      </c>
      <c r="BD121" s="413" t="str">
        <f t="shared" si="42"/>
        <v>TBO</v>
      </c>
      <c r="BE121" s="369" t="str">
        <f t="shared" si="43"/>
        <v/>
      </c>
      <c r="BF121" s="369" t="str">
        <f t="shared" si="44"/>
        <v/>
      </c>
      <c r="BG121" s="369" t="str">
        <f t="shared" si="45"/>
        <v/>
      </c>
      <c r="BH121" s="372" t="str">
        <f t="shared" si="46"/>
        <v/>
      </c>
      <c r="BI121" s="369" t="str">
        <f t="shared" si="47"/>
        <v/>
      </c>
      <c r="BJ121" s="369" t="str">
        <f t="shared" si="48"/>
        <v/>
      </c>
      <c r="BK121" s="369" t="str">
        <f t="shared" si="49"/>
        <v/>
      </c>
      <c r="BL121" s="369" t="str">
        <f t="shared" si="50"/>
        <v/>
      </c>
      <c r="BM121" s="369" t="str">
        <f t="shared" si="51"/>
        <v/>
      </c>
      <c r="BN121" s="369" t="str">
        <f t="shared" si="52"/>
        <v/>
      </c>
      <c r="BO121" s="369" t="str">
        <f t="shared" si="53"/>
        <v/>
      </c>
      <c r="BP121" s="369" t="str">
        <f t="shared" si="54"/>
        <v/>
      </c>
      <c r="BQ121" s="369" t="str">
        <f t="shared" si="55"/>
        <v/>
      </c>
      <c r="BR121" s="369" t="str">
        <f t="shared" si="56"/>
        <v/>
      </c>
      <c r="BS121" s="369" t="str">
        <f t="shared" si="57"/>
        <v/>
      </c>
      <c r="BT121" s="369" t="str">
        <f t="shared" si="58"/>
        <v/>
      </c>
      <c r="BU121" s="369" t="str">
        <f t="shared" si="59"/>
        <v/>
      </c>
      <c r="BV121" s="369" t="str">
        <f t="shared" si="60"/>
        <v/>
      </c>
      <c r="BW121" s="369" t="str">
        <f t="shared" si="61"/>
        <v/>
      </c>
      <c r="BX121" s="369" t="str">
        <f t="shared" si="62"/>
        <v/>
      </c>
      <c r="BY121" s="369" t="str">
        <f t="shared" si="63"/>
        <v/>
      </c>
      <c r="BZ121" s="369" t="str">
        <f t="shared" si="64"/>
        <v/>
      </c>
      <c r="CA121" s="369" t="str">
        <f t="shared" si="65"/>
        <v/>
      </c>
      <c r="CB121" s="369" t="str">
        <f t="shared" si="66"/>
        <v/>
      </c>
      <c r="CC121" s="369"/>
    </row>
    <row r="122">
      <c r="M122" s="388"/>
      <c r="AV122" s="411" t="str">
        <f t="shared" ref="AV122:AY122" si="85">AV73</f>
        <v>PCE-PC1835</v>
      </c>
      <c r="AW122" s="339">
        <f t="shared" si="85"/>
        <v>2731</v>
      </c>
      <c r="AX122" s="339" t="str">
        <f t="shared" si="85"/>
        <v>OS</v>
      </c>
      <c r="AY122" s="339" t="str">
        <f t="shared" si="85"/>
        <v>PAMASP</v>
      </c>
      <c r="AZ122" s="413">
        <f t="shared" si="38"/>
        <v>5000</v>
      </c>
      <c r="BA122" s="413">
        <f t="shared" si="39"/>
        <v>0</v>
      </c>
      <c r="BB122" s="414" t="str">
        <f t="shared" si="40"/>
        <v>#DIV/0!</v>
      </c>
      <c r="BC122" s="415" t="str">
        <f t="shared" si="41"/>
        <v>#DIV/0!</v>
      </c>
      <c r="BD122" s="413" t="str">
        <f t="shared" si="42"/>
        <v/>
      </c>
      <c r="BE122" s="369" t="str">
        <f t="shared" si="43"/>
        <v>#DIV/0!</v>
      </c>
      <c r="BF122" s="369" t="str">
        <f t="shared" si="44"/>
        <v>#DIV/0!</v>
      </c>
      <c r="BG122" s="369" t="str">
        <f t="shared" si="45"/>
        <v>#DIV/0!</v>
      </c>
      <c r="BH122" s="369" t="str">
        <f t="shared" si="46"/>
        <v>#DIV/0!</v>
      </c>
      <c r="BI122" s="372" t="str">
        <f t="shared" si="47"/>
        <v>#DIV/0!</v>
      </c>
      <c r="BJ122" s="369" t="str">
        <f t="shared" si="48"/>
        <v>#DIV/0!</v>
      </c>
      <c r="BK122" s="369" t="str">
        <f t="shared" si="49"/>
        <v>#DIV/0!</v>
      </c>
      <c r="BL122" s="369" t="str">
        <f t="shared" si="50"/>
        <v>#DIV/0!</v>
      </c>
      <c r="BM122" s="369" t="str">
        <f t="shared" si="51"/>
        <v>#DIV/0!</v>
      </c>
      <c r="BN122" s="369" t="str">
        <f t="shared" si="52"/>
        <v>#DIV/0!</v>
      </c>
      <c r="BO122" s="369" t="str">
        <f t="shared" si="53"/>
        <v>#DIV/0!</v>
      </c>
      <c r="BP122" s="369" t="str">
        <f t="shared" si="54"/>
        <v>#DIV/0!</v>
      </c>
      <c r="BQ122" s="369" t="str">
        <f t="shared" si="55"/>
        <v>#DIV/0!</v>
      </c>
      <c r="BR122" s="369" t="str">
        <f t="shared" si="56"/>
        <v>#DIV/0!</v>
      </c>
      <c r="BS122" s="369" t="str">
        <f t="shared" si="57"/>
        <v>#DIV/0!</v>
      </c>
      <c r="BT122" s="369" t="str">
        <f t="shared" si="58"/>
        <v>#DIV/0!</v>
      </c>
      <c r="BU122" s="369" t="str">
        <f t="shared" si="59"/>
        <v>#DIV/0!</v>
      </c>
      <c r="BV122" s="369" t="str">
        <f t="shared" si="60"/>
        <v>#DIV/0!</v>
      </c>
      <c r="BW122" s="369" t="str">
        <f t="shared" si="61"/>
        <v>#DIV/0!</v>
      </c>
      <c r="BX122" s="369" t="str">
        <f t="shared" si="62"/>
        <v>#DIV/0!</v>
      </c>
      <c r="BY122" s="369" t="str">
        <f t="shared" si="63"/>
        <v>#DIV/0!</v>
      </c>
      <c r="BZ122" s="369" t="str">
        <f t="shared" si="64"/>
        <v>#DIV/0!</v>
      </c>
      <c r="CA122" s="369" t="str">
        <f t="shared" si="65"/>
        <v>#DIV/0!</v>
      </c>
      <c r="CB122" s="369" t="str">
        <f t="shared" si="66"/>
        <v>#DIV/0!</v>
      </c>
      <c r="CC122" s="369"/>
    </row>
    <row r="123">
      <c r="M123" s="388"/>
      <c r="AV123" s="411" t="str">
        <f t="shared" ref="AV123:AY123" si="86">AV74</f>
        <v>PCE-PC1850</v>
      </c>
      <c r="AW123" s="339">
        <f t="shared" si="86"/>
        <v>2737</v>
      </c>
      <c r="AX123" s="339" t="str">
        <f t="shared" si="86"/>
        <v>REMOV</v>
      </c>
      <c r="AY123" s="339" t="str">
        <f t="shared" si="86"/>
        <v>BACO</v>
      </c>
      <c r="AZ123" s="413">
        <f t="shared" si="38"/>
        <v>1500</v>
      </c>
      <c r="BA123" s="413">
        <f t="shared" si="39"/>
        <v>1500</v>
      </c>
      <c r="BB123" s="414" t="b">
        <f t="shared" si="40"/>
        <v>0</v>
      </c>
      <c r="BC123" s="415" t="str">
        <f t="shared" si="41"/>
        <v>#DIV/0!</v>
      </c>
      <c r="BD123" s="413" t="str">
        <f t="shared" si="42"/>
        <v>HSI</v>
      </c>
      <c r="BE123" s="372" t="str">
        <f t="shared" si="43"/>
        <v>#DIV/0!</v>
      </c>
      <c r="BF123" s="369" t="str">
        <f t="shared" si="44"/>
        <v>#DIV/0!</v>
      </c>
      <c r="BG123" s="369" t="str">
        <f t="shared" si="45"/>
        <v>#DIV/0!</v>
      </c>
      <c r="BH123" s="369" t="str">
        <f t="shared" si="46"/>
        <v>#DIV/0!</v>
      </c>
      <c r="BI123" s="369" t="str">
        <f t="shared" si="47"/>
        <v>#DIV/0!</v>
      </c>
      <c r="BJ123" s="369" t="str">
        <f t="shared" si="48"/>
        <v>#DIV/0!</v>
      </c>
      <c r="BK123" s="369" t="str">
        <f t="shared" si="49"/>
        <v>#DIV/0!</v>
      </c>
      <c r="BL123" s="369" t="str">
        <f t="shared" si="50"/>
        <v>#DIV/0!</v>
      </c>
      <c r="BM123" s="369" t="str">
        <f t="shared" si="51"/>
        <v>#DIV/0!</v>
      </c>
      <c r="BN123" s="369" t="str">
        <f t="shared" si="52"/>
        <v>#DIV/0!</v>
      </c>
      <c r="BO123" s="369" t="str">
        <f t="shared" si="53"/>
        <v>#DIV/0!</v>
      </c>
      <c r="BP123" s="369" t="str">
        <f t="shared" si="54"/>
        <v>#DIV/0!</v>
      </c>
      <c r="BQ123" s="369" t="str">
        <f t="shared" si="55"/>
        <v>#DIV/0!</v>
      </c>
      <c r="BR123" s="369" t="str">
        <f t="shared" si="56"/>
        <v>#DIV/0!</v>
      </c>
      <c r="BS123" s="369" t="str">
        <f t="shared" si="57"/>
        <v>#DIV/0!</v>
      </c>
      <c r="BT123" s="369" t="str">
        <f t="shared" si="58"/>
        <v>#DIV/0!</v>
      </c>
      <c r="BU123" s="369" t="str">
        <f t="shared" si="59"/>
        <v>#DIV/0!</v>
      </c>
      <c r="BV123" s="369" t="str">
        <f t="shared" si="60"/>
        <v>#DIV/0!</v>
      </c>
      <c r="BW123" s="369" t="str">
        <f t="shared" si="61"/>
        <v>#DIV/0!</v>
      </c>
      <c r="BX123" s="369" t="str">
        <f t="shared" si="62"/>
        <v>#DIV/0!</v>
      </c>
      <c r="BY123" s="369" t="str">
        <f t="shared" si="63"/>
        <v>#DIV/0!</v>
      </c>
      <c r="BZ123" s="369" t="str">
        <f t="shared" si="64"/>
        <v>#DIV/0!</v>
      </c>
      <c r="CA123" s="369" t="str">
        <f t="shared" si="65"/>
        <v>#DIV/0!</v>
      </c>
      <c r="CB123" s="369" t="str">
        <f t="shared" si="66"/>
        <v>#DIV/0!</v>
      </c>
      <c r="CC123" s="369"/>
    </row>
    <row r="124">
      <c r="M124" s="388"/>
      <c r="AV124" s="411" t="str">
        <f t="shared" ref="AV124:AY124" si="87">AV75</f>
        <v>PCE-PC1860</v>
      </c>
      <c r="AW124" s="339">
        <f t="shared" si="87"/>
        <v>2741</v>
      </c>
      <c r="AX124" s="339" t="str">
        <f t="shared" si="87"/>
        <v>REMOV</v>
      </c>
      <c r="AY124" s="339" t="str">
        <f t="shared" si="87"/>
        <v>7ETA</v>
      </c>
      <c r="AZ124" s="413">
        <f t="shared" si="38"/>
        <v>4500</v>
      </c>
      <c r="BA124" s="413">
        <f t="shared" si="39"/>
        <v>500</v>
      </c>
      <c r="BB124" s="414">
        <f t="shared" si="40"/>
        <v>4.411111111</v>
      </c>
      <c r="BC124" s="415">
        <f t="shared" si="41"/>
        <v>431.7884131</v>
      </c>
      <c r="BD124" s="413" t="str">
        <f t="shared" si="42"/>
        <v>TBO</v>
      </c>
      <c r="BE124" s="372" t="str">
        <f t="shared" si="43"/>
        <v/>
      </c>
      <c r="BF124" s="369" t="str">
        <f t="shared" si="44"/>
        <v/>
      </c>
      <c r="BG124" s="369" t="str">
        <f t="shared" si="45"/>
        <v/>
      </c>
      <c r="BH124" s="369" t="str">
        <f t="shared" si="46"/>
        <v/>
      </c>
      <c r="BI124" s="369" t="str">
        <f t="shared" si="47"/>
        <v/>
      </c>
      <c r="BJ124" s="369" t="str">
        <f t="shared" si="48"/>
        <v/>
      </c>
      <c r="BK124" s="369" t="str">
        <f t="shared" si="49"/>
        <v/>
      </c>
      <c r="BL124" s="369" t="str">
        <f t="shared" si="50"/>
        <v/>
      </c>
      <c r="BM124" s="369" t="str">
        <f t="shared" si="51"/>
        <v/>
      </c>
      <c r="BN124" s="369" t="str">
        <f t="shared" si="52"/>
        <v/>
      </c>
      <c r="BO124" s="369" t="str">
        <f t="shared" si="53"/>
        <v/>
      </c>
      <c r="BP124" s="369" t="str">
        <f t="shared" si="54"/>
        <v/>
      </c>
      <c r="BQ124" s="369" t="str">
        <f t="shared" si="55"/>
        <v/>
      </c>
      <c r="BR124" s="369" t="str">
        <f t="shared" si="56"/>
        <v/>
      </c>
      <c r="BS124" s="369" t="str">
        <f t="shared" si="57"/>
        <v/>
      </c>
      <c r="BT124" s="369" t="str">
        <f t="shared" si="58"/>
        <v/>
      </c>
      <c r="BU124" s="369" t="str">
        <f t="shared" si="59"/>
        <v/>
      </c>
      <c r="BV124" s="369" t="str">
        <f t="shared" si="60"/>
        <v/>
      </c>
      <c r="BW124" s="369" t="str">
        <f t="shared" si="61"/>
        <v/>
      </c>
      <c r="BX124" s="369" t="str">
        <f t="shared" si="62"/>
        <v/>
      </c>
      <c r="BY124" s="369" t="str">
        <f t="shared" si="63"/>
        <v/>
      </c>
      <c r="BZ124" s="369" t="str">
        <f t="shared" si="64"/>
        <v/>
      </c>
      <c r="CA124" s="369" t="str">
        <f t="shared" si="65"/>
        <v/>
      </c>
      <c r="CB124" s="369" t="str">
        <f t="shared" si="66"/>
        <v/>
      </c>
      <c r="CC124" s="369"/>
    </row>
    <row r="125">
      <c r="M125" s="388"/>
      <c r="AV125" s="411" t="str">
        <f t="shared" ref="AV125:AY125" si="88">AV76</f>
        <v>PCE-PC1868</v>
      </c>
      <c r="AW125" s="339">
        <f t="shared" si="88"/>
        <v>2704</v>
      </c>
      <c r="AX125" s="339" t="str">
        <f t="shared" si="88"/>
        <v>APL</v>
      </c>
      <c r="AY125" s="339" t="str">
        <f t="shared" si="88"/>
        <v>PAMALS</v>
      </c>
      <c r="AZ125" s="413">
        <f t="shared" si="38"/>
        <v>5000</v>
      </c>
      <c r="BA125" s="413">
        <f t="shared" si="39"/>
        <v>0</v>
      </c>
      <c r="BB125" s="414" t="str">
        <f t="shared" si="40"/>
        <v>#DIV/0!</v>
      </c>
      <c r="BC125" s="415" t="str">
        <f t="shared" si="41"/>
        <v>#DIV/0!</v>
      </c>
      <c r="BD125" s="413" t="str">
        <f t="shared" si="42"/>
        <v/>
      </c>
      <c r="BE125" s="255" t="str">
        <f t="shared" si="43"/>
        <v>#DIV/0!</v>
      </c>
      <c r="BF125" s="255" t="str">
        <f t="shared" si="44"/>
        <v>#DIV/0!</v>
      </c>
      <c r="BG125" s="255" t="str">
        <f t="shared" si="45"/>
        <v>#DIV/0!</v>
      </c>
      <c r="BH125" s="255" t="str">
        <f t="shared" si="46"/>
        <v>#DIV/0!</v>
      </c>
      <c r="BI125" s="255" t="str">
        <f t="shared" si="47"/>
        <v>#DIV/0!</v>
      </c>
      <c r="BJ125" s="255" t="str">
        <f t="shared" si="48"/>
        <v>#DIV/0!</v>
      </c>
      <c r="BK125" s="255" t="str">
        <f t="shared" si="49"/>
        <v>#DIV/0!</v>
      </c>
      <c r="BL125" s="255" t="str">
        <f t="shared" si="50"/>
        <v>#DIV/0!</v>
      </c>
      <c r="BM125" s="255" t="str">
        <f t="shared" si="51"/>
        <v>#DIV/0!</v>
      </c>
      <c r="BN125" s="255" t="str">
        <f t="shared" si="52"/>
        <v>#DIV/0!</v>
      </c>
      <c r="BO125" s="255" t="str">
        <f t="shared" si="53"/>
        <v>#DIV/0!</v>
      </c>
      <c r="BP125" s="255" t="str">
        <f t="shared" si="54"/>
        <v>#DIV/0!</v>
      </c>
      <c r="BQ125" s="255" t="str">
        <f t="shared" si="55"/>
        <v>#DIV/0!</v>
      </c>
      <c r="BR125" s="255" t="str">
        <f t="shared" si="56"/>
        <v>#DIV/0!</v>
      </c>
      <c r="BS125" s="255" t="str">
        <f t="shared" si="57"/>
        <v>#DIV/0!</v>
      </c>
      <c r="BT125" s="255" t="str">
        <f t="shared" si="58"/>
        <v>#DIV/0!</v>
      </c>
      <c r="BU125" s="255" t="str">
        <f t="shared" si="59"/>
        <v>#DIV/0!</v>
      </c>
      <c r="BV125" s="255" t="str">
        <f t="shared" si="60"/>
        <v>#DIV/0!</v>
      </c>
      <c r="BW125" s="255" t="str">
        <f t="shared" si="61"/>
        <v>#DIV/0!</v>
      </c>
      <c r="BX125" s="255" t="str">
        <f t="shared" si="62"/>
        <v>#DIV/0!</v>
      </c>
      <c r="BY125" s="255" t="str">
        <f t="shared" si="63"/>
        <v>#DIV/0!</v>
      </c>
      <c r="BZ125" s="255" t="str">
        <f t="shared" si="64"/>
        <v>#DIV/0!</v>
      </c>
      <c r="CA125" s="255" t="str">
        <f t="shared" si="65"/>
        <v>#DIV/0!</v>
      </c>
      <c r="CB125" s="255" t="str">
        <f t="shared" si="66"/>
        <v>#DIV/0!</v>
      </c>
      <c r="CC125" s="369"/>
    </row>
    <row r="126">
      <c r="M126" s="388"/>
      <c r="AV126" s="411" t="str">
        <f t="shared" ref="AV126:AY126" si="89">AV77</f>
        <v>PCE-PC2042</v>
      </c>
      <c r="AW126" s="339">
        <f t="shared" si="89"/>
        <v>2742</v>
      </c>
      <c r="AX126" s="339" t="str">
        <f t="shared" si="89"/>
        <v>OS</v>
      </c>
      <c r="AY126" s="339" t="str">
        <f t="shared" si="89"/>
        <v>PAMASP</v>
      </c>
      <c r="AZ126" s="413">
        <f t="shared" si="38"/>
        <v>5000</v>
      </c>
      <c r="BA126" s="413">
        <f t="shared" si="39"/>
        <v>0</v>
      </c>
      <c r="BB126" s="414" t="str">
        <f t="shared" si="40"/>
        <v>#DIV/0!</v>
      </c>
      <c r="BC126" s="415" t="str">
        <f t="shared" si="41"/>
        <v>#DIV/0!</v>
      </c>
      <c r="BD126" s="413" t="str">
        <f t="shared" si="42"/>
        <v/>
      </c>
      <c r="BE126" s="372" t="str">
        <f t="shared" si="43"/>
        <v>#DIV/0!</v>
      </c>
      <c r="BF126" s="369" t="str">
        <f t="shared" si="44"/>
        <v>#DIV/0!</v>
      </c>
      <c r="BG126" s="369" t="str">
        <f t="shared" si="45"/>
        <v>#DIV/0!</v>
      </c>
      <c r="BH126" s="369" t="str">
        <f t="shared" si="46"/>
        <v>#DIV/0!</v>
      </c>
      <c r="BI126" s="369" t="str">
        <f t="shared" si="47"/>
        <v>#DIV/0!</v>
      </c>
      <c r="BJ126" s="369" t="str">
        <f t="shared" si="48"/>
        <v>#DIV/0!</v>
      </c>
      <c r="BK126" s="369" t="str">
        <f t="shared" si="49"/>
        <v>#DIV/0!</v>
      </c>
      <c r="BL126" s="369" t="str">
        <f t="shared" si="50"/>
        <v>#DIV/0!</v>
      </c>
      <c r="BM126" s="369" t="str">
        <f t="shared" si="51"/>
        <v>#DIV/0!</v>
      </c>
      <c r="BN126" s="369" t="str">
        <f t="shared" si="52"/>
        <v>#DIV/0!</v>
      </c>
      <c r="BO126" s="369" t="str">
        <f t="shared" si="53"/>
        <v>#DIV/0!</v>
      </c>
      <c r="BP126" s="369" t="str">
        <f t="shared" si="54"/>
        <v>#DIV/0!</v>
      </c>
      <c r="BQ126" s="369" t="str">
        <f t="shared" si="55"/>
        <v>#DIV/0!</v>
      </c>
      <c r="BR126" s="369" t="str">
        <f t="shared" si="56"/>
        <v>#DIV/0!</v>
      </c>
      <c r="BS126" s="369" t="str">
        <f t="shared" si="57"/>
        <v>#DIV/0!</v>
      </c>
      <c r="BT126" s="369" t="str">
        <f t="shared" si="58"/>
        <v>#DIV/0!</v>
      </c>
      <c r="BU126" s="369" t="str">
        <f t="shared" si="59"/>
        <v>#DIV/0!</v>
      </c>
      <c r="BV126" s="369" t="str">
        <f t="shared" si="60"/>
        <v>#DIV/0!</v>
      </c>
      <c r="BW126" s="369" t="str">
        <f t="shared" si="61"/>
        <v>#DIV/0!</v>
      </c>
      <c r="BX126" s="369" t="str">
        <f t="shared" si="62"/>
        <v>#DIV/0!</v>
      </c>
      <c r="BY126" s="369" t="str">
        <f t="shared" si="63"/>
        <v>#DIV/0!</v>
      </c>
      <c r="BZ126" s="369" t="str">
        <f t="shared" si="64"/>
        <v>#DIV/0!</v>
      </c>
      <c r="CA126" s="369" t="str">
        <f t="shared" si="65"/>
        <v>#DIV/0!</v>
      </c>
      <c r="CB126" s="369" t="str">
        <f t="shared" si="66"/>
        <v>#DIV/0!</v>
      </c>
      <c r="CC126" s="369"/>
    </row>
    <row r="127">
      <c r="M127" s="388"/>
      <c r="AV127" s="411" t="str">
        <f t="shared" ref="AV127:AY127" si="90">AV78</f>
        <v>PCE-PC2047</v>
      </c>
      <c r="AW127" s="339">
        <f t="shared" si="90"/>
        <v>2739</v>
      </c>
      <c r="AX127" s="339" t="str">
        <f t="shared" si="90"/>
        <v>APL</v>
      </c>
      <c r="AY127" s="339" t="str">
        <f t="shared" si="90"/>
        <v>1ETA</v>
      </c>
      <c r="AZ127" s="413">
        <f t="shared" si="38"/>
        <v>1500</v>
      </c>
      <c r="BA127" s="413">
        <f t="shared" si="39"/>
        <v>1500</v>
      </c>
      <c r="BB127" s="414">
        <f t="shared" si="40"/>
        <v>19.3515873</v>
      </c>
      <c r="BC127" s="415">
        <f t="shared" si="41"/>
        <v>90.40171431</v>
      </c>
      <c r="BD127" s="413" t="str">
        <f t="shared" si="42"/>
        <v>HSI</v>
      </c>
      <c r="BE127" s="255" t="str">
        <f t="shared" si="43"/>
        <v/>
      </c>
      <c r="BF127" s="255" t="str">
        <f t="shared" si="44"/>
        <v/>
      </c>
      <c r="BG127" s="255" t="str">
        <f t="shared" si="45"/>
        <v/>
      </c>
      <c r="BH127" s="255" t="str">
        <f t="shared" si="46"/>
        <v/>
      </c>
      <c r="BI127" s="255" t="str">
        <f t="shared" si="47"/>
        <v/>
      </c>
      <c r="BJ127" s="255" t="str">
        <f t="shared" si="48"/>
        <v/>
      </c>
      <c r="BK127" s="255" t="str">
        <f t="shared" si="49"/>
        <v/>
      </c>
      <c r="BL127" s="255" t="str">
        <f t="shared" si="50"/>
        <v/>
      </c>
      <c r="BM127" s="255" t="str">
        <f t="shared" si="51"/>
        <v/>
      </c>
      <c r="BN127" s="255" t="str">
        <f t="shared" si="52"/>
        <v/>
      </c>
      <c r="BO127" s="255" t="str">
        <f t="shared" si="53"/>
        <v/>
      </c>
      <c r="BP127" s="255" t="str">
        <f t="shared" si="54"/>
        <v/>
      </c>
      <c r="BQ127" s="255" t="str">
        <f t="shared" si="55"/>
        <v/>
      </c>
      <c r="BR127" s="255" t="str">
        <f t="shared" si="56"/>
        <v/>
      </c>
      <c r="BS127" s="255" t="str">
        <f t="shared" si="57"/>
        <v/>
      </c>
      <c r="BT127" s="255" t="str">
        <f t="shared" si="58"/>
        <v/>
      </c>
      <c r="BU127" s="255" t="str">
        <f t="shared" si="59"/>
        <v/>
      </c>
      <c r="BV127" s="255" t="str">
        <f t="shared" si="60"/>
        <v/>
      </c>
      <c r="BW127" s="255" t="str">
        <f t="shared" si="61"/>
        <v/>
      </c>
      <c r="BX127" s="255" t="str">
        <f t="shared" si="62"/>
        <v/>
      </c>
      <c r="BY127" s="255" t="str">
        <f t="shared" si="63"/>
        <v/>
      </c>
      <c r="BZ127" s="255" t="str">
        <f t="shared" si="64"/>
        <v/>
      </c>
      <c r="CA127" s="255" t="str">
        <f t="shared" si="65"/>
        <v/>
      </c>
      <c r="CB127" s="255" t="str">
        <f t="shared" si="66"/>
        <v/>
      </c>
      <c r="CC127" s="369"/>
    </row>
    <row r="128">
      <c r="M128" s="388"/>
      <c r="AV128" s="411" t="str">
        <f t="shared" ref="AV128:AY128" si="91">AV79</f>
        <v>PCE-PC2050</v>
      </c>
      <c r="AW128" s="339">
        <f t="shared" si="91"/>
        <v>2702</v>
      </c>
      <c r="AX128" s="339" t="str">
        <f t="shared" si="91"/>
        <v>APL</v>
      </c>
      <c r="AY128" s="339" t="str">
        <f t="shared" si="91"/>
        <v>1/5GAV</v>
      </c>
      <c r="AZ128" s="413">
        <f t="shared" si="38"/>
        <v>1500</v>
      </c>
      <c r="BA128" s="413">
        <f t="shared" si="39"/>
        <v>1500</v>
      </c>
      <c r="BB128" s="414">
        <f t="shared" si="40"/>
        <v>55.625</v>
      </c>
      <c r="BC128" s="415">
        <f t="shared" si="41"/>
        <v>43.99400749</v>
      </c>
      <c r="BD128" s="413" t="str">
        <f t="shared" si="42"/>
        <v>HSI</v>
      </c>
      <c r="BE128" s="255" t="str">
        <f t="shared" si="43"/>
        <v/>
      </c>
      <c r="BF128" s="255" t="str">
        <f t="shared" si="44"/>
        <v/>
      </c>
      <c r="BG128" s="255" t="str">
        <f t="shared" si="45"/>
        <v/>
      </c>
      <c r="BH128" s="255" t="str">
        <f t="shared" si="46"/>
        <v/>
      </c>
      <c r="BI128" s="255" t="str">
        <f t="shared" si="47"/>
        <v/>
      </c>
      <c r="BJ128" s="255" t="str">
        <f t="shared" si="48"/>
        <v/>
      </c>
      <c r="BK128" s="255" t="str">
        <f t="shared" si="49"/>
        <v/>
      </c>
      <c r="BL128" s="255" t="str">
        <f t="shared" si="50"/>
        <v/>
      </c>
      <c r="BM128" s="255" t="str">
        <f t="shared" si="51"/>
        <v/>
      </c>
      <c r="BN128" s="255" t="str">
        <f t="shared" si="52"/>
        <v/>
      </c>
      <c r="BO128" s="255" t="str">
        <f t="shared" si="53"/>
        <v/>
      </c>
      <c r="BP128" s="255" t="str">
        <f t="shared" si="54"/>
        <v/>
      </c>
      <c r="BQ128" s="255" t="str">
        <f t="shared" si="55"/>
        <v/>
      </c>
      <c r="BR128" s="255" t="str">
        <f t="shared" si="56"/>
        <v/>
      </c>
      <c r="BS128" s="255" t="str">
        <f t="shared" si="57"/>
        <v/>
      </c>
      <c r="BT128" s="255" t="str">
        <f t="shared" si="58"/>
        <v/>
      </c>
      <c r="BU128" s="255" t="str">
        <f t="shared" si="59"/>
        <v/>
      </c>
      <c r="BV128" s="255" t="str">
        <f t="shared" si="60"/>
        <v/>
      </c>
      <c r="BW128" s="255" t="str">
        <f t="shared" si="61"/>
        <v/>
      </c>
      <c r="BX128" s="255" t="str">
        <f t="shared" si="62"/>
        <v/>
      </c>
      <c r="BY128" s="255" t="str">
        <f t="shared" si="63"/>
        <v/>
      </c>
      <c r="BZ128" s="255" t="str">
        <f t="shared" si="64"/>
        <v/>
      </c>
      <c r="CA128" s="426" t="str">
        <f t="shared" si="65"/>
        <v/>
      </c>
      <c r="CB128" s="255" t="str">
        <f t="shared" si="66"/>
        <v/>
      </c>
      <c r="CC128" s="369"/>
    </row>
    <row r="129">
      <c r="M129" s="388"/>
      <c r="AV129" s="411" t="str">
        <f t="shared" ref="AV129:AY129" si="92">AV80</f>
        <v>PCE-PC2055</v>
      </c>
      <c r="AW129" s="339">
        <f t="shared" si="92"/>
        <v>2722</v>
      </c>
      <c r="AX129" s="339" t="str">
        <f t="shared" si="92"/>
        <v>APL</v>
      </c>
      <c r="AY129" s="339" t="str">
        <f t="shared" si="92"/>
        <v>2ETA</v>
      </c>
      <c r="AZ129" s="413">
        <f t="shared" si="38"/>
        <v>4500</v>
      </c>
      <c r="BA129" s="413">
        <f t="shared" si="39"/>
        <v>500</v>
      </c>
      <c r="BB129" s="414">
        <f t="shared" si="40"/>
        <v>10.97142857</v>
      </c>
      <c r="BC129" s="415">
        <f t="shared" si="41"/>
        <v>76.70681424</v>
      </c>
      <c r="BD129" s="413" t="str">
        <f t="shared" si="42"/>
        <v>TBO</v>
      </c>
      <c r="BE129" s="369" t="str">
        <f t="shared" si="43"/>
        <v/>
      </c>
      <c r="BF129" s="369" t="str">
        <f t="shared" si="44"/>
        <v/>
      </c>
      <c r="BG129" s="369" t="str">
        <f t="shared" si="45"/>
        <v/>
      </c>
      <c r="BH129" s="369" t="str">
        <f t="shared" si="46"/>
        <v/>
      </c>
      <c r="BI129" s="369" t="str">
        <f t="shared" si="47"/>
        <v/>
      </c>
      <c r="BJ129" s="369" t="str">
        <f t="shared" si="48"/>
        <v/>
      </c>
      <c r="BK129" s="369" t="str">
        <f t="shared" si="49"/>
        <v/>
      </c>
      <c r="BL129" s="369" t="str">
        <f t="shared" si="50"/>
        <v/>
      </c>
      <c r="BM129" s="369" t="str">
        <f t="shared" si="51"/>
        <v/>
      </c>
      <c r="BN129" s="369" t="str">
        <f t="shared" si="52"/>
        <v/>
      </c>
      <c r="BO129" s="369" t="str">
        <f t="shared" si="53"/>
        <v/>
      </c>
      <c r="BP129" s="369" t="str">
        <f t="shared" si="54"/>
        <v/>
      </c>
      <c r="BQ129" s="369" t="str">
        <f t="shared" si="55"/>
        <v/>
      </c>
      <c r="BR129" s="369" t="str">
        <f t="shared" si="56"/>
        <v/>
      </c>
      <c r="BS129" s="369" t="str">
        <f t="shared" si="57"/>
        <v/>
      </c>
      <c r="BT129" s="369" t="str">
        <f t="shared" si="58"/>
        <v/>
      </c>
      <c r="BU129" s="369" t="str">
        <f t="shared" si="59"/>
        <v/>
      </c>
      <c r="BV129" s="369" t="str">
        <f t="shared" si="60"/>
        <v/>
      </c>
      <c r="BW129" s="369" t="str">
        <f t="shared" si="61"/>
        <v/>
      </c>
      <c r="BX129" s="369" t="str">
        <f t="shared" si="62"/>
        <v/>
      </c>
      <c r="BY129" s="369" t="str">
        <f t="shared" si="63"/>
        <v/>
      </c>
      <c r="BZ129" s="369" t="str">
        <f t="shared" si="64"/>
        <v/>
      </c>
      <c r="CA129" s="369" t="str">
        <f t="shared" si="65"/>
        <v/>
      </c>
      <c r="CB129" s="369" t="str">
        <f t="shared" si="66"/>
        <v/>
      </c>
      <c r="CC129" s="369"/>
    </row>
    <row r="130">
      <c r="M130" s="388"/>
      <c r="AV130" s="411" t="str">
        <f t="shared" ref="AV130:AY130" si="93">AV81</f>
        <v>PCE-PC2081</v>
      </c>
      <c r="AW130" s="339">
        <f t="shared" si="93"/>
        <v>2724</v>
      </c>
      <c r="AX130" s="339" t="str">
        <f t="shared" si="93"/>
        <v>OS</v>
      </c>
      <c r="AY130" s="339" t="str">
        <f t="shared" si="93"/>
        <v>PAMASP</v>
      </c>
      <c r="AZ130" s="413">
        <f t="shared" si="38"/>
        <v>4500</v>
      </c>
      <c r="BA130" s="413">
        <f t="shared" si="39"/>
        <v>500</v>
      </c>
      <c r="BB130" s="414" t="str">
        <f t="shared" si="40"/>
        <v>#DIV/0!</v>
      </c>
      <c r="BC130" s="415" t="str">
        <f t="shared" si="41"/>
        <v>#DIV/0!</v>
      </c>
      <c r="BD130" s="413" t="str">
        <f t="shared" si="42"/>
        <v>TBO</v>
      </c>
      <c r="BE130" s="255" t="str">
        <f t="shared" si="43"/>
        <v>#DIV/0!</v>
      </c>
      <c r="BF130" s="255" t="str">
        <f t="shared" si="44"/>
        <v>#DIV/0!</v>
      </c>
      <c r="BG130" s="255" t="str">
        <f t="shared" si="45"/>
        <v>#DIV/0!</v>
      </c>
      <c r="BH130" s="255" t="str">
        <f t="shared" si="46"/>
        <v>#DIV/0!</v>
      </c>
      <c r="BI130" s="255" t="str">
        <f t="shared" si="47"/>
        <v>#DIV/0!</v>
      </c>
      <c r="BJ130" s="255" t="str">
        <f t="shared" si="48"/>
        <v>#DIV/0!</v>
      </c>
      <c r="BK130" s="255" t="str">
        <f t="shared" si="49"/>
        <v>#DIV/0!</v>
      </c>
      <c r="BL130" s="255" t="str">
        <f t="shared" si="50"/>
        <v>#DIV/0!</v>
      </c>
      <c r="BM130" s="255" t="str">
        <f t="shared" si="51"/>
        <v>#DIV/0!</v>
      </c>
      <c r="BN130" s="255" t="str">
        <f t="shared" si="52"/>
        <v>#DIV/0!</v>
      </c>
      <c r="BO130" s="255" t="str">
        <f t="shared" si="53"/>
        <v>#DIV/0!</v>
      </c>
      <c r="BP130" s="255" t="str">
        <f t="shared" si="54"/>
        <v>#DIV/0!</v>
      </c>
      <c r="BQ130" s="255" t="str">
        <f t="shared" si="55"/>
        <v>#DIV/0!</v>
      </c>
      <c r="BR130" s="255" t="str">
        <f t="shared" si="56"/>
        <v>#DIV/0!</v>
      </c>
      <c r="BS130" s="255" t="str">
        <f t="shared" si="57"/>
        <v>#DIV/0!</v>
      </c>
      <c r="BT130" s="255" t="str">
        <f t="shared" si="58"/>
        <v>#DIV/0!</v>
      </c>
      <c r="BU130" s="255" t="str">
        <f t="shared" si="59"/>
        <v>#DIV/0!</v>
      </c>
      <c r="BV130" s="255" t="str">
        <f t="shared" si="60"/>
        <v>#DIV/0!</v>
      </c>
      <c r="BW130" s="255" t="str">
        <f t="shared" si="61"/>
        <v>#DIV/0!</v>
      </c>
      <c r="BX130" s="255" t="str">
        <f t="shared" si="62"/>
        <v>#DIV/0!</v>
      </c>
      <c r="BY130" s="255" t="str">
        <f t="shared" si="63"/>
        <v>#DIV/0!</v>
      </c>
      <c r="BZ130" s="255" t="str">
        <f t="shared" si="64"/>
        <v>#DIV/0!</v>
      </c>
      <c r="CA130" s="255" t="str">
        <f t="shared" si="65"/>
        <v>#DIV/0!</v>
      </c>
      <c r="CB130" s="255" t="str">
        <f t="shared" si="66"/>
        <v>#DIV/0!</v>
      </c>
      <c r="CC130" s="369"/>
    </row>
    <row r="131">
      <c r="M131" s="388"/>
      <c r="AV131" s="411" t="str">
        <f t="shared" ref="AV131:AY131" si="94">AV82</f>
        <v>PCE-PC2115</v>
      </c>
      <c r="AW131" s="339">
        <f t="shared" si="94"/>
        <v>2741</v>
      </c>
      <c r="AX131" s="339" t="str">
        <f t="shared" si="94"/>
        <v>APL</v>
      </c>
      <c r="AY131" s="339" t="str">
        <f t="shared" si="94"/>
        <v>7ETA</v>
      </c>
      <c r="AZ131" s="413">
        <f t="shared" si="38"/>
        <v>4500</v>
      </c>
      <c r="BA131" s="413">
        <f t="shared" si="39"/>
        <v>500</v>
      </c>
      <c r="BB131" s="414">
        <f t="shared" si="40"/>
        <v>4.411111111</v>
      </c>
      <c r="BC131" s="415">
        <f t="shared" si="41"/>
        <v>252.3929471</v>
      </c>
      <c r="BD131" s="413" t="str">
        <f t="shared" si="42"/>
        <v>TBO</v>
      </c>
      <c r="BE131" s="255" t="str">
        <f t="shared" si="43"/>
        <v/>
      </c>
      <c r="BF131" s="255" t="str">
        <f t="shared" si="44"/>
        <v/>
      </c>
      <c r="BG131" s="255" t="str">
        <f t="shared" si="45"/>
        <v/>
      </c>
      <c r="BH131" s="255" t="str">
        <f t="shared" si="46"/>
        <v/>
      </c>
      <c r="BI131" s="255" t="str">
        <f t="shared" si="47"/>
        <v/>
      </c>
      <c r="BJ131" s="255" t="str">
        <f t="shared" si="48"/>
        <v/>
      </c>
      <c r="BK131" s="255" t="str">
        <f t="shared" si="49"/>
        <v/>
      </c>
      <c r="BL131" s="255" t="str">
        <f t="shared" si="50"/>
        <v/>
      </c>
      <c r="BM131" s="255" t="str">
        <f t="shared" si="51"/>
        <v/>
      </c>
      <c r="BN131" s="255" t="str">
        <f t="shared" si="52"/>
        <v/>
      </c>
      <c r="BO131" s="255" t="str">
        <f t="shared" si="53"/>
        <v/>
      </c>
      <c r="BP131" s="255" t="str">
        <f t="shared" si="54"/>
        <v/>
      </c>
      <c r="BQ131" s="255" t="str">
        <f t="shared" si="55"/>
        <v/>
      </c>
      <c r="BR131" s="255" t="str">
        <f t="shared" si="56"/>
        <v/>
      </c>
      <c r="BS131" s="255" t="str">
        <f t="shared" si="57"/>
        <v/>
      </c>
      <c r="BT131" s="255" t="str">
        <f t="shared" si="58"/>
        <v/>
      </c>
      <c r="BU131" s="255" t="str">
        <f t="shared" si="59"/>
        <v/>
      </c>
      <c r="BV131" s="255" t="str">
        <f t="shared" si="60"/>
        <v/>
      </c>
      <c r="BW131" s="255" t="str">
        <f t="shared" si="61"/>
        <v/>
      </c>
      <c r="BX131" s="255" t="str">
        <f t="shared" si="62"/>
        <v/>
      </c>
      <c r="BY131" s="255" t="str">
        <f t="shared" si="63"/>
        <v/>
      </c>
      <c r="BZ131" s="255" t="str">
        <f t="shared" si="64"/>
        <v/>
      </c>
      <c r="CA131" s="255" t="str">
        <f t="shared" si="65"/>
        <v/>
      </c>
      <c r="CB131" s="255" t="str">
        <f t="shared" si="66"/>
        <v/>
      </c>
      <c r="CC131" s="369"/>
    </row>
    <row r="132">
      <c r="M132" s="388"/>
      <c r="AV132" s="411" t="str">
        <f t="shared" ref="AV132:AY132" si="95">AV83</f>
        <v>PCE-PC2223</v>
      </c>
      <c r="AW132" s="339">
        <f t="shared" si="95"/>
        <v>2723</v>
      </c>
      <c r="AX132" s="339" t="str">
        <f t="shared" si="95"/>
        <v>APL</v>
      </c>
      <c r="AY132" s="339" t="str">
        <f t="shared" si="95"/>
        <v>CLA</v>
      </c>
      <c r="AZ132" s="413">
        <f t="shared" si="38"/>
        <v>3000</v>
      </c>
      <c r="BA132" s="413">
        <f t="shared" si="39"/>
        <v>1500</v>
      </c>
      <c r="BB132" s="414">
        <f t="shared" si="40"/>
        <v>25.47619048</v>
      </c>
      <c r="BC132" s="415">
        <f t="shared" si="41"/>
        <v>65.52523364</v>
      </c>
      <c r="BD132" s="413" t="str">
        <f t="shared" si="42"/>
        <v>HSI</v>
      </c>
      <c r="BE132" s="255" t="str">
        <f t="shared" si="43"/>
        <v/>
      </c>
      <c r="BF132" s="255" t="str">
        <f t="shared" si="44"/>
        <v/>
      </c>
      <c r="BG132" s="255" t="str">
        <f t="shared" si="45"/>
        <v/>
      </c>
      <c r="BH132" s="255" t="str">
        <f t="shared" si="46"/>
        <v/>
      </c>
      <c r="BI132" s="255" t="str">
        <f t="shared" si="47"/>
        <v/>
      </c>
      <c r="BJ132" s="255" t="str">
        <f t="shared" si="48"/>
        <v/>
      </c>
      <c r="BK132" s="255" t="str">
        <f t="shared" si="49"/>
        <v/>
      </c>
      <c r="BL132" s="255" t="str">
        <f t="shared" si="50"/>
        <v/>
      </c>
      <c r="BM132" s="255" t="str">
        <f t="shared" si="51"/>
        <v/>
      </c>
      <c r="BN132" s="255" t="str">
        <f t="shared" si="52"/>
        <v/>
      </c>
      <c r="BO132" s="255" t="str">
        <f t="shared" si="53"/>
        <v/>
      </c>
      <c r="BP132" s="255" t="str">
        <f t="shared" si="54"/>
        <v/>
      </c>
      <c r="BQ132" s="255" t="str">
        <f t="shared" si="55"/>
        <v/>
      </c>
      <c r="BR132" s="255" t="str">
        <f t="shared" si="56"/>
        <v/>
      </c>
      <c r="BS132" s="255" t="str">
        <f t="shared" si="57"/>
        <v/>
      </c>
      <c r="BT132" s="255" t="str">
        <f t="shared" si="58"/>
        <v/>
      </c>
      <c r="BU132" s="255" t="str">
        <f t="shared" si="59"/>
        <v/>
      </c>
      <c r="BV132" s="255" t="str">
        <f t="shared" si="60"/>
        <v/>
      </c>
      <c r="BW132" s="255" t="str">
        <f t="shared" si="61"/>
        <v/>
      </c>
      <c r="BX132" s="255" t="str">
        <f t="shared" si="62"/>
        <v/>
      </c>
      <c r="BY132" s="255" t="str">
        <f t="shared" si="63"/>
        <v/>
      </c>
      <c r="BZ132" s="255" t="str">
        <f t="shared" si="64"/>
        <v/>
      </c>
      <c r="CA132" s="255" t="str">
        <f t="shared" si="65"/>
        <v/>
      </c>
      <c r="CB132" s="255" t="str">
        <f t="shared" si="66"/>
        <v/>
      </c>
      <c r="CC132" s="369"/>
    </row>
    <row r="133">
      <c r="M133" s="388"/>
      <c r="AV133" s="411" t="str">
        <f t="shared" ref="AV133:AY133" si="96">AV84</f>
        <v>PCE-PC2224</v>
      </c>
      <c r="AW133" s="339">
        <f t="shared" si="96"/>
        <v>2731</v>
      </c>
      <c r="AX133" s="339" t="str">
        <f t="shared" si="96"/>
        <v>REPARA</v>
      </c>
      <c r="AY133" s="339" t="str">
        <f t="shared" si="96"/>
        <v>PAMASP</v>
      </c>
      <c r="AZ133" s="413">
        <f t="shared" si="38"/>
        <v>1500</v>
      </c>
      <c r="BA133" s="413">
        <f t="shared" si="39"/>
        <v>1500</v>
      </c>
      <c r="BB133" s="414" t="str">
        <f t="shared" si="40"/>
        <v>#DIV/0!</v>
      </c>
      <c r="BC133" s="415" t="str">
        <f t="shared" si="41"/>
        <v>#DIV/0!</v>
      </c>
      <c r="BD133" s="413" t="str">
        <f t="shared" si="42"/>
        <v>HSI</v>
      </c>
      <c r="BE133" s="369" t="str">
        <f t="shared" si="43"/>
        <v>#DIV/0!</v>
      </c>
      <c r="BF133" s="369" t="str">
        <f t="shared" si="44"/>
        <v>#DIV/0!</v>
      </c>
      <c r="BG133" s="369" t="str">
        <f t="shared" si="45"/>
        <v>#DIV/0!</v>
      </c>
      <c r="BH133" s="369" t="str">
        <f t="shared" si="46"/>
        <v>#DIV/0!</v>
      </c>
      <c r="BI133" s="369" t="str">
        <f t="shared" si="47"/>
        <v>#DIV/0!</v>
      </c>
      <c r="BJ133" s="369" t="str">
        <f t="shared" si="48"/>
        <v>#DIV/0!</v>
      </c>
      <c r="BK133" s="369" t="str">
        <f t="shared" si="49"/>
        <v>#DIV/0!</v>
      </c>
      <c r="BL133" s="369" t="str">
        <f t="shared" si="50"/>
        <v>#DIV/0!</v>
      </c>
      <c r="BM133" s="369" t="str">
        <f t="shared" si="51"/>
        <v>#DIV/0!</v>
      </c>
      <c r="BN133" s="369" t="str">
        <f t="shared" si="52"/>
        <v>#DIV/0!</v>
      </c>
      <c r="BO133" s="369" t="str">
        <f t="shared" si="53"/>
        <v>#DIV/0!</v>
      </c>
      <c r="BP133" s="369" t="str">
        <f t="shared" si="54"/>
        <v>#DIV/0!</v>
      </c>
      <c r="BQ133" s="369" t="str">
        <f t="shared" si="55"/>
        <v>#DIV/0!</v>
      </c>
      <c r="BR133" s="369" t="str">
        <f t="shared" si="56"/>
        <v>#DIV/0!</v>
      </c>
      <c r="BS133" s="369" t="str">
        <f t="shared" si="57"/>
        <v>#DIV/0!</v>
      </c>
      <c r="BT133" s="369" t="str">
        <f t="shared" si="58"/>
        <v>#DIV/0!</v>
      </c>
      <c r="BU133" s="369" t="str">
        <f t="shared" si="59"/>
        <v>#DIV/0!</v>
      </c>
      <c r="BV133" s="369" t="str">
        <f t="shared" si="60"/>
        <v>#DIV/0!</v>
      </c>
      <c r="BW133" s="369" t="str">
        <f t="shared" si="61"/>
        <v>#DIV/0!</v>
      </c>
      <c r="BX133" s="369" t="str">
        <f t="shared" si="62"/>
        <v>#DIV/0!</v>
      </c>
      <c r="BY133" s="369" t="str">
        <f t="shared" si="63"/>
        <v>#DIV/0!</v>
      </c>
      <c r="BZ133" s="369" t="str">
        <f t="shared" si="64"/>
        <v>#DIV/0!</v>
      </c>
      <c r="CA133" s="372" t="str">
        <f t="shared" si="65"/>
        <v>#DIV/0!</v>
      </c>
      <c r="CB133" s="369" t="str">
        <f t="shared" si="66"/>
        <v>#DIV/0!</v>
      </c>
      <c r="CC133" s="369"/>
    </row>
    <row r="134">
      <c r="M134" s="388"/>
      <c r="AV134" s="411" t="str">
        <f t="shared" ref="AV134:AY134" si="97">AV85</f>
        <v>PCE-PC2232</v>
      </c>
      <c r="AW134" s="339">
        <f t="shared" si="97"/>
        <v>2743</v>
      </c>
      <c r="AX134" s="339" t="str">
        <f t="shared" si="97"/>
        <v>APL</v>
      </c>
      <c r="AY134" s="339" t="str">
        <f t="shared" si="97"/>
        <v>5ETA</v>
      </c>
      <c r="AZ134" s="413">
        <f t="shared" si="38"/>
        <v>4500</v>
      </c>
      <c r="BA134" s="413">
        <f t="shared" si="39"/>
        <v>500</v>
      </c>
      <c r="BB134" s="414">
        <f t="shared" si="40"/>
        <v>0.119047619</v>
      </c>
      <c r="BC134" s="415">
        <f t="shared" si="41"/>
        <v>4931.5</v>
      </c>
      <c r="BD134" s="413" t="str">
        <f t="shared" si="42"/>
        <v>TBO</v>
      </c>
      <c r="BE134" s="255" t="str">
        <f t="shared" si="43"/>
        <v/>
      </c>
      <c r="BF134" s="255" t="str">
        <f t="shared" si="44"/>
        <v/>
      </c>
      <c r="BG134" s="255" t="str">
        <f t="shared" si="45"/>
        <v/>
      </c>
      <c r="BH134" s="255" t="str">
        <f t="shared" si="46"/>
        <v/>
      </c>
      <c r="BI134" s="255" t="str">
        <f t="shared" si="47"/>
        <v/>
      </c>
      <c r="BJ134" s="255" t="str">
        <f t="shared" si="48"/>
        <v/>
      </c>
      <c r="BK134" s="255" t="str">
        <f t="shared" si="49"/>
        <v/>
      </c>
      <c r="BL134" s="255" t="str">
        <f t="shared" si="50"/>
        <v/>
      </c>
      <c r="BM134" s="255" t="str">
        <f t="shared" si="51"/>
        <v/>
      </c>
      <c r="BN134" s="255" t="str">
        <f t="shared" si="52"/>
        <v/>
      </c>
      <c r="BO134" s="255" t="str">
        <f t="shared" si="53"/>
        <v/>
      </c>
      <c r="BP134" s="255" t="str">
        <f t="shared" si="54"/>
        <v/>
      </c>
      <c r="BQ134" s="255" t="str">
        <f t="shared" si="55"/>
        <v/>
      </c>
      <c r="BR134" s="255" t="str">
        <f t="shared" si="56"/>
        <v/>
      </c>
      <c r="BS134" s="255" t="str">
        <f t="shared" si="57"/>
        <v/>
      </c>
      <c r="BT134" s="255" t="str">
        <f t="shared" si="58"/>
        <v/>
      </c>
      <c r="BU134" s="255" t="str">
        <f t="shared" si="59"/>
        <v/>
      </c>
      <c r="BV134" s="255" t="str">
        <f t="shared" si="60"/>
        <v/>
      </c>
      <c r="BW134" s="255" t="str">
        <f t="shared" si="61"/>
        <v/>
      </c>
      <c r="BX134" s="255" t="str">
        <f t="shared" si="62"/>
        <v/>
      </c>
      <c r="BY134" s="255" t="str">
        <f t="shared" si="63"/>
        <v/>
      </c>
      <c r="BZ134" s="255" t="str">
        <f t="shared" si="64"/>
        <v/>
      </c>
      <c r="CA134" s="255" t="str">
        <f t="shared" si="65"/>
        <v/>
      </c>
      <c r="CB134" s="255" t="str">
        <f t="shared" si="66"/>
        <v/>
      </c>
      <c r="CC134" s="369"/>
    </row>
    <row r="135">
      <c r="M135" s="388"/>
      <c r="AV135" s="411" t="str">
        <f t="shared" ref="AV135:AY135" si="98">AV86</f>
        <v>PCE-PC2257</v>
      </c>
      <c r="AW135" s="339">
        <f t="shared" si="98"/>
        <v>2709</v>
      </c>
      <c r="AX135" s="339" t="str">
        <f t="shared" si="98"/>
        <v>APL</v>
      </c>
      <c r="AY135" s="339" t="str">
        <f t="shared" si="98"/>
        <v>6ETA</v>
      </c>
      <c r="AZ135" s="413">
        <f t="shared" si="38"/>
        <v>3000</v>
      </c>
      <c r="BA135" s="413">
        <f t="shared" si="39"/>
        <v>1500</v>
      </c>
      <c r="BB135" s="414">
        <f t="shared" si="40"/>
        <v>0.05952380952</v>
      </c>
      <c r="BC135" s="415">
        <f t="shared" si="41"/>
        <v>29311.8</v>
      </c>
      <c r="BD135" s="413" t="str">
        <f t="shared" si="42"/>
        <v>HSI</v>
      </c>
      <c r="BE135" s="255" t="str">
        <f t="shared" si="43"/>
        <v/>
      </c>
      <c r="BF135" s="255" t="str">
        <f t="shared" si="44"/>
        <v/>
      </c>
      <c r="BG135" s="255" t="str">
        <f t="shared" si="45"/>
        <v/>
      </c>
      <c r="BH135" s="255" t="str">
        <f t="shared" si="46"/>
        <v/>
      </c>
      <c r="BI135" s="255" t="str">
        <f t="shared" si="47"/>
        <v/>
      </c>
      <c r="BJ135" s="255" t="str">
        <f t="shared" si="48"/>
        <v/>
      </c>
      <c r="BK135" s="255" t="str">
        <f t="shared" si="49"/>
        <v/>
      </c>
      <c r="BL135" s="255" t="str">
        <f t="shared" si="50"/>
        <v/>
      </c>
      <c r="BM135" s="255" t="str">
        <f t="shared" si="51"/>
        <v/>
      </c>
      <c r="BN135" s="255" t="str">
        <f t="shared" si="52"/>
        <v/>
      </c>
      <c r="BO135" s="255" t="str">
        <f t="shared" si="53"/>
        <v/>
      </c>
      <c r="BP135" s="255" t="str">
        <f t="shared" si="54"/>
        <v/>
      </c>
      <c r="BQ135" s="255" t="str">
        <f t="shared" si="55"/>
        <v/>
      </c>
      <c r="BR135" s="255" t="str">
        <f t="shared" si="56"/>
        <v/>
      </c>
      <c r="BS135" s="255" t="str">
        <f t="shared" si="57"/>
        <v/>
      </c>
      <c r="BT135" s="255" t="str">
        <f t="shared" si="58"/>
        <v/>
      </c>
      <c r="BU135" s="255" t="str">
        <f t="shared" si="59"/>
        <v/>
      </c>
      <c r="BV135" s="255" t="str">
        <f t="shared" si="60"/>
        <v/>
      </c>
      <c r="BW135" s="255" t="str">
        <f t="shared" si="61"/>
        <v/>
      </c>
      <c r="BX135" s="255" t="str">
        <f t="shared" si="62"/>
        <v/>
      </c>
      <c r="BY135" s="255" t="str">
        <f t="shared" si="63"/>
        <v/>
      </c>
      <c r="BZ135" s="255" t="str">
        <f t="shared" si="64"/>
        <v/>
      </c>
      <c r="CA135" s="255" t="str">
        <f t="shared" si="65"/>
        <v/>
      </c>
      <c r="CB135" s="255" t="str">
        <f t="shared" si="66"/>
        <v/>
      </c>
      <c r="CC135" s="369"/>
    </row>
    <row r="136">
      <c r="M136" s="388"/>
      <c r="AV136" s="411" t="str">
        <f t="shared" ref="AV136:AY136" si="99">AV87</f>
        <v>PCE-PC2261</v>
      </c>
      <c r="AW136" s="339">
        <f t="shared" si="99"/>
        <v>2720</v>
      </c>
      <c r="AX136" s="339" t="str">
        <f t="shared" si="99"/>
        <v>APL</v>
      </c>
      <c r="AY136" s="339" t="str">
        <f t="shared" si="99"/>
        <v>6ETA</v>
      </c>
      <c r="AZ136" s="413">
        <f t="shared" si="38"/>
        <v>4500</v>
      </c>
      <c r="BA136" s="413">
        <f t="shared" si="39"/>
        <v>500</v>
      </c>
      <c r="BB136" s="414">
        <f t="shared" si="40"/>
        <v>0.05952380952</v>
      </c>
      <c r="BC136" s="415">
        <f t="shared" si="41"/>
        <v>30083.2</v>
      </c>
      <c r="BD136" s="413" t="str">
        <f t="shared" si="42"/>
        <v>TBO</v>
      </c>
      <c r="BE136" s="369" t="str">
        <f t="shared" si="43"/>
        <v/>
      </c>
      <c r="BF136" s="369" t="str">
        <f t="shared" si="44"/>
        <v/>
      </c>
      <c r="BG136" s="369" t="str">
        <f t="shared" si="45"/>
        <v/>
      </c>
      <c r="BH136" s="369" t="str">
        <f t="shared" si="46"/>
        <v/>
      </c>
      <c r="BI136" s="369" t="str">
        <f t="shared" si="47"/>
        <v/>
      </c>
      <c r="BJ136" s="372" t="str">
        <f t="shared" si="48"/>
        <v/>
      </c>
      <c r="BK136" s="369" t="str">
        <f t="shared" si="49"/>
        <v/>
      </c>
      <c r="BL136" s="369" t="str">
        <f t="shared" si="50"/>
        <v/>
      </c>
      <c r="BM136" s="369" t="str">
        <f t="shared" si="51"/>
        <v/>
      </c>
      <c r="BN136" s="369" t="str">
        <f t="shared" si="52"/>
        <v/>
      </c>
      <c r="BO136" s="369" t="str">
        <f t="shared" si="53"/>
        <v/>
      </c>
      <c r="BP136" s="369" t="str">
        <f t="shared" si="54"/>
        <v/>
      </c>
      <c r="BQ136" s="369" t="str">
        <f t="shared" si="55"/>
        <v/>
      </c>
      <c r="BR136" s="369" t="str">
        <f t="shared" si="56"/>
        <v/>
      </c>
      <c r="BS136" s="369" t="str">
        <f t="shared" si="57"/>
        <v/>
      </c>
      <c r="BT136" s="369" t="str">
        <f t="shared" si="58"/>
        <v/>
      </c>
      <c r="BU136" s="369" t="str">
        <f t="shared" si="59"/>
        <v/>
      </c>
      <c r="BV136" s="369" t="str">
        <f t="shared" si="60"/>
        <v/>
      </c>
      <c r="BW136" s="369" t="str">
        <f t="shared" si="61"/>
        <v/>
      </c>
      <c r="BX136" s="369" t="str">
        <f t="shared" si="62"/>
        <v/>
      </c>
      <c r="BY136" s="369" t="str">
        <f t="shared" si="63"/>
        <v/>
      </c>
      <c r="BZ136" s="369" t="str">
        <f t="shared" si="64"/>
        <v/>
      </c>
      <c r="CA136" s="369" t="str">
        <f t="shared" si="65"/>
        <v/>
      </c>
      <c r="CB136" s="369" t="str">
        <f t="shared" si="66"/>
        <v/>
      </c>
      <c r="CC136" s="369"/>
    </row>
    <row r="137">
      <c r="M137" s="388"/>
      <c r="AV137" s="411" t="str">
        <f t="shared" ref="AV137:AY137" si="100">AV88</f>
        <v>PCE-PC2289</v>
      </c>
      <c r="AW137" s="339">
        <f t="shared" si="100"/>
        <v>2731</v>
      </c>
      <c r="AX137" s="339" t="str">
        <f t="shared" si="100"/>
        <v>OS</v>
      </c>
      <c r="AY137" s="339" t="str">
        <f t="shared" si="100"/>
        <v>PAMASP</v>
      </c>
      <c r="AZ137" s="413">
        <f t="shared" si="38"/>
        <v>3000</v>
      </c>
      <c r="BA137" s="413">
        <f t="shared" si="39"/>
        <v>1500</v>
      </c>
      <c r="BB137" s="414" t="str">
        <f t="shared" si="40"/>
        <v>#DIV/0!</v>
      </c>
      <c r="BC137" s="415" t="str">
        <f t="shared" si="41"/>
        <v>#DIV/0!</v>
      </c>
      <c r="BD137" s="413" t="str">
        <f t="shared" si="42"/>
        <v>HSI</v>
      </c>
      <c r="BE137" s="369" t="str">
        <f t="shared" si="43"/>
        <v>#DIV/0!</v>
      </c>
      <c r="BF137" s="369" t="str">
        <f t="shared" si="44"/>
        <v>#DIV/0!</v>
      </c>
      <c r="BG137" s="369" t="str">
        <f t="shared" si="45"/>
        <v>#DIV/0!</v>
      </c>
      <c r="BH137" s="369" t="str">
        <f t="shared" si="46"/>
        <v>#DIV/0!</v>
      </c>
      <c r="BI137" s="369" t="str">
        <f t="shared" si="47"/>
        <v>#DIV/0!</v>
      </c>
      <c r="BJ137" s="369" t="str">
        <f t="shared" si="48"/>
        <v>#DIV/0!</v>
      </c>
      <c r="BK137" s="369" t="str">
        <f t="shared" si="49"/>
        <v>#DIV/0!</v>
      </c>
      <c r="BL137" s="369" t="str">
        <f t="shared" si="50"/>
        <v>#DIV/0!</v>
      </c>
      <c r="BM137" s="369" t="str">
        <f t="shared" si="51"/>
        <v>#DIV/0!</v>
      </c>
      <c r="BN137" s="369" t="str">
        <f t="shared" si="52"/>
        <v>#DIV/0!</v>
      </c>
      <c r="BO137" s="369" t="str">
        <f t="shared" si="53"/>
        <v>#DIV/0!</v>
      </c>
      <c r="BP137" s="369" t="str">
        <f t="shared" si="54"/>
        <v>#DIV/0!</v>
      </c>
      <c r="BQ137" s="369" t="str">
        <f t="shared" si="55"/>
        <v>#DIV/0!</v>
      </c>
      <c r="BR137" s="369" t="str">
        <f t="shared" si="56"/>
        <v>#DIV/0!</v>
      </c>
      <c r="BS137" s="369" t="str">
        <f t="shared" si="57"/>
        <v>#DIV/0!</v>
      </c>
      <c r="BT137" s="369" t="str">
        <f t="shared" si="58"/>
        <v>#DIV/0!</v>
      </c>
      <c r="BU137" s="369" t="str">
        <f t="shared" si="59"/>
        <v>#DIV/0!</v>
      </c>
      <c r="BV137" s="369" t="str">
        <f t="shared" si="60"/>
        <v>#DIV/0!</v>
      </c>
      <c r="BW137" s="369" t="str">
        <f t="shared" si="61"/>
        <v>#DIV/0!</v>
      </c>
      <c r="BX137" s="369" t="str">
        <f t="shared" si="62"/>
        <v>#DIV/0!</v>
      </c>
      <c r="BY137" s="369" t="str">
        <f t="shared" si="63"/>
        <v>#DIV/0!</v>
      </c>
      <c r="BZ137" s="369" t="str">
        <f t="shared" si="64"/>
        <v>#DIV/0!</v>
      </c>
      <c r="CA137" s="369" t="str">
        <f t="shared" si="65"/>
        <v>#DIV/0!</v>
      </c>
      <c r="CB137" s="369" t="str">
        <f t="shared" si="66"/>
        <v>#DIV/0!</v>
      </c>
      <c r="CC137" s="369"/>
    </row>
    <row r="138">
      <c r="M138" s="388"/>
      <c r="AV138" s="411" t="str">
        <f t="shared" ref="AV138:AY138" si="101">AV89</f>
        <v>PCE-PC2290</v>
      </c>
      <c r="AW138" s="339">
        <f t="shared" si="101"/>
        <v>2729</v>
      </c>
      <c r="AX138" s="339" t="str">
        <f t="shared" si="101"/>
        <v>OS</v>
      </c>
      <c r="AY138" s="339" t="str">
        <f t="shared" si="101"/>
        <v>1/5GAV</v>
      </c>
      <c r="AZ138" s="413">
        <f t="shared" si="38"/>
        <v>3000</v>
      </c>
      <c r="BA138" s="413">
        <f t="shared" si="39"/>
        <v>1500</v>
      </c>
      <c r="BB138" s="414">
        <f t="shared" si="40"/>
        <v>55.625</v>
      </c>
      <c r="BC138" s="415">
        <f t="shared" si="41"/>
        <v>29.97153558</v>
      </c>
      <c r="BD138" s="413" t="str">
        <f t="shared" si="42"/>
        <v>HSI</v>
      </c>
      <c r="BE138" s="255" t="str">
        <f t="shared" si="43"/>
        <v/>
      </c>
      <c r="BF138" s="255" t="str">
        <f t="shared" si="44"/>
        <v/>
      </c>
      <c r="BG138" s="255" t="str">
        <f t="shared" si="45"/>
        <v/>
      </c>
      <c r="BH138" s="255" t="str">
        <f t="shared" si="46"/>
        <v/>
      </c>
      <c r="BI138" s="255" t="str">
        <f t="shared" si="47"/>
        <v/>
      </c>
      <c r="BJ138" s="255" t="str">
        <f t="shared" si="48"/>
        <v/>
      </c>
      <c r="BK138" s="255" t="str">
        <f t="shared" si="49"/>
        <v/>
      </c>
      <c r="BL138" s="255" t="str">
        <f t="shared" si="50"/>
        <v/>
      </c>
      <c r="BM138" s="255" t="str">
        <f t="shared" si="51"/>
        <v/>
      </c>
      <c r="BN138" s="255" t="str">
        <f t="shared" si="52"/>
        <v/>
      </c>
      <c r="BO138" s="255" t="str">
        <f t="shared" si="53"/>
        <v/>
      </c>
      <c r="BP138" s="255" t="str">
        <f t="shared" si="54"/>
        <v/>
      </c>
      <c r="BQ138" s="255" t="str">
        <f t="shared" si="55"/>
        <v/>
      </c>
      <c r="BR138" s="255" t="str">
        <f t="shared" si="56"/>
        <v/>
      </c>
      <c r="BS138" s="255" t="str">
        <f t="shared" si="57"/>
        <v/>
      </c>
      <c r="BT138" s="255" t="str">
        <f t="shared" si="58"/>
        <v/>
      </c>
      <c r="BU138" s="255" t="str">
        <f t="shared" si="59"/>
        <v/>
      </c>
      <c r="BV138" s="255" t="str">
        <f t="shared" si="60"/>
        <v/>
      </c>
      <c r="BW138" s="255" t="str">
        <f t="shared" si="61"/>
        <v/>
      </c>
      <c r="BX138" s="255" t="str">
        <f t="shared" si="62"/>
        <v/>
      </c>
      <c r="BY138" s="255" t="str">
        <f t="shared" si="63"/>
        <v/>
      </c>
      <c r="BZ138" s="255" t="str">
        <f t="shared" si="64"/>
        <v/>
      </c>
      <c r="CA138" s="255" t="str">
        <f t="shared" si="65"/>
        <v/>
      </c>
      <c r="CB138" s="255" t="str">
        <f t="shared" si="66"/>
        <v/>
      </c>
      <c r="CC138" s="369"/>
    </row>
    <row r="139">
      <c r="M139" s="388"/>
      <c r="AV139" s="411" t="str">
        <f t="shared" ref="AV139:AY139" si="102">AV90</f>
        <v>PCE-PC2358</v>
      </c>
      <c r="AW139" s="339">
        <f t="shared" si="102"/>
        <v>2736</v>
      </c>
      <c r="AX139" s="339" t="str">
        <f t="shared" si="102"/>
        <v>APL</v>
      </c>
      <c r="AY139" s="339" t="str">
        <f t="shared" si="102"/>
        <v>7ETA</v>
      </c>
      <c r="AZ139" s="413">
        <f t="shared" si="38"/>
        <v>4500</v>
      </c>
      <c r="BA139" s="413">
        <f t="shared" si="39"/>
        <v>500</v>
      </c>
      <c r="BB139" s="414">
        <f t="shared" si="40"/>
        <v>4.411111111</v>
      </c>
      <c r="BC139" s="415">
        <f t="shared" si="41"/>
        <v>228.4382872</v>
      </c>
      <c r="BD139" s="413" t="str">
        <f t="shared" si="42"/>
        <v>TBO</v>
      </c>
      <c r="BE139" s="255" t="str">
        <f t="shared" si="43"/>
        <v/>
      </c>
      <c r="BF139" s="255" t="str">
        <f t="shared" si="44"/>
        <v/>
      </c>
      <c r="BG139" s="255" t="str">
        <f t="shared" si="45"/>
        <v/>
      </c>
      <c r="BH139" s="255" t="str">
        <f t="shared" si="46"/>
        <v/>
      </c>
      <c r="BI139" s="255" t="str">
        <f t="shared" si="47"/>
        <v/>
      </c>
      <c r="BJ139" s="255" t="str">
        <f t="shared" si="48"/>
        <v/>
      </c>
      <c r="BK139" s="255" t="str">
        <f t="shared" si="49"/>
        <v/>
      </c>
      <c r="BL139" s="255" t="str">
        <f t="shared" si="50"/>
        <v/>
      </c>
      <c r="BM139" s="255" t="str">
        <f t="shared" si="51"/>
        <v/>
      </c>
      <c r="BN139" s="255" t="str">
        <f t="shared" si="52"/>
        <v/>
      </c>
      <c r="BO139" s="255" t="str">
        <f t="shared" si="53"/>
        <v/>
      </c>
      <c r="BP139" s="255" t="str">
        <f t="shared" si="54"/>
        <v/>
      </c>
      <c r="BQ139" s="255" t="str">
        <f t="shared" si="55"/>
        <v/>
      </c>
      <c r="BR139" s="255" t="str">
        <f t="shared" si="56"/>
        <v/>
      </c>
      <c r="BS139" s="255" t="str">
        <f t="shared" si="57"/>
        <v/>
      </c>
      <c r="BT139" s="255" t="str">
        <f t="shared" si="58"/>
        <v/>
      </c>
      <c r="BU139" s="255" t="str">
        <f t="shared" si="59"/>
        <v/>
      </c>
      <c r="BV139" s="255" t="str">
        <f t="shared" si="60"/>
        <v/>
      </c>
      <c r="BW139" s="255" t="str">
        <f t="shared" si="61"/>
        <v/>
      </c>
      <c r="BX139" s="255" t="str">
        <f t="shared" si="62"/>
        <v/>
      </c>
      <c r="BY139" s="255" t="str">
        <f t="shared" si="63"/>
        <v/>
      </c>
      <c r="BZ139" s="255" t="str">
        <f t="shared" si="64"/>
        <v/>
      </c>
      <c r="CA139" s="255" t="str">
        <f t="shared" si="65"/>
        <v/>
      </c>
      <c r="CB139" s="255" t="str">
        <f t="shared" si="66"/>
        <v/>
      </c>
      <c r="CC139" s="369"/>
    </row>
    <row r="140">
      <c r="M140" s="388"/>
      <c r="AV140" s="411" t="str">
        <f t="shared" ref="AV140:AY140" si="103">AV91</f>
        <v>PCE-PC2360</v>
      </c>
      <c r="AW140" s="339">
        <f t="shared" si="103"/>
        <v>2708</v>
      </c>
      <c r="AX140" s="339" t="str">
        <f t="shared" si="103"/>
        <v>APL</v>
      </c>
      <c r="AY140" s="339" t="str">
        <f t="shared" si="103"/>
        <v>1/5GAV</v>
      </c>
      <c r="AZ140" s="413">
        <f t="shared" si="38"/>
        <v>3000</v>
      </c>
      <c r="BA140" s="413">
        <f t="shared" si="39"/>
        <v>1500</v>
      </c>
      <c r="BB140" s="414">
        <f t="shared" si="40"/>
        <v>55.625</v>
      </c>
      <c r="BC140" s="415">
        <f t="shared" si="41"/>
        <v>39.62696629</v>
      </c>
      <c r="BD140" s="413" t="str">
        <f t="shared" si="42"/>
        <v>HSI</v>
      </c>
      <c r="BE140" s="255" t="str">
        <f t="shared" si="43"/>
        <v/>
      </c>
      <c r="BF140" s="255" t="str">
        <f t="shared" si="44"/>
        <v/>
      </c>
      <c r="BG140" s="255" t="str">
        <f t="shared" si="45"/>
        <v/>
      </c>
      <c r="BH140" s="255" t="str">
        <f t="shared" si="46"/>
        <v/>
      </c>
      <c r="BI140" s="255" t="str">
        <f t="shared" si="47"/>
        <v/>
      </c>
      <c r="BJ140" s="255" t="str">
        <f t="shared" si="48"/>
        <v/>
      </c>
      <c r="BK140" s="255" t="str">
        <f t="shared" si="49"/>
        <v/>
      </c>
      <c r="BL140" s="255" t="str">
        <f t="shared" si="50"/>
        <v/>
      </c>
      <c r="BM140" s="255" t="str">
        <f t="shared" si="51"/>
        <v/>
      </c>
      <c r="BN140" s="255" t="str">
        <f t="shared" si="52"/>
        <v/>
      </c>
      <c r="BO140" s="255" t="str">
        <f t="shared" si="53"/>
        <v/>
      </c>
      <c r="BP140" s="255" t="str">
        <f t="shared" si="54"/>
        <v/>
      </c>
      <c r="BQ140" s="255" t="str">
        <f t="shared" si="55"/>
        <v/>
      </c>
      <c r="BR140" s="255" t="str">
        <f t="shared" si="56"/>
        <v/>
      </c>
      <c r="BS140" s="255" t="str">
        <f t="shared" si="57"/>
        <v/>
      </c>
      <c r="BT140" s="255" t="str">
        <f t="shared" si="58"/>
        <v/>
      </c>
      <c r="BU140" s="255" t="str">
        <f t="shared" si="59"/>
        <v/>
      </c>
      <c r="BV140" s="255" t="str">
        <f t="shared" si="60"/>
        <v/>
      </c>
      <c r="BW140" s="255" t="str">
        <f t="shared" si="61"/>
        <v/>
      </c>
      <c r="BX140" s="255" t="str">
        <f t="shared" si="62"/>
        <v/>
      </c>
      <c r="BY140" s="255" t="str">
        <f t="shared" si="63"/>
        <v/>
      </c>
      <c r="BZ140" s="255" t="str">
        <f t="shared" si="64"/>
        <v/>
      </c>
      <c r="CA140" s="255" t="str">
        <f t="shared" si="65"/>
        <v/>
      </c>
      <c r="CB140" s="255" t="str">
        <f t="shared" si="66"/>
        <v/>
      </c>
      <c r="CC140" s="369"/>
    </row>
    <row r="141">
      <c r="M141" s="388"/>
      <c r="AV141" s="411" t="str">
        <f t="shared" ref="AV141:AY141" si="104">AV92</f>
        <v/>
      </c>
      <c r="AW141" s="339" t="str">
        <f t="shared" si="104"/>
        <v/>
      </c>
      <c r="AX141" s="339" t="str">
        <f t="shared" si="104"/>
        <v/>
      </c>
      <c r="AY141" s="339" t="str">
        <f t="shared" si="104"/>
        <v/>
      </c>
      <c r="AZ141" s="413">
        <f t="shared" si="38"/>
        <v>1500</v>
      </c>
      <c r="BA141" s="413">
        <f t="shared" si="39"/>
        <v>1500</v>
      </c>
      <c r="BB141" s="414" t="b">
        <f t="shared" si="40"/>
        <v>0</v>
      </c>
      <c r="BC141" s="415" t="str">
        <f t="shared" si="41"/>
        <v>#DIV/0!</v>
      </c>
      <c r="BD141" s="413" t="str">
        <f t="shared" si="42"/>
        <v>HSI</v>
      </c>
      <c r="BE141" s="255" t="str">
        <f t="shared" si="43"/>
        <v>#DIV/0!</v>
      </c>
      <c r="BF141" s="255" t="str">
        <f t="shared" si="44"/>
        <v>#DIV/0!</v>
      </c>
      <c r="BG141" s="255" t="str">
        <f t="shared" si="45"/>
        <v>#DIV/0!</v>
      </c>
      <c r="BH141" s="255" t="str">
        <f t="shared" si="46"/>
        <v>#DIV/0!</v>
      </c>
      <c r="BI141" s="255" t="str">
        <f t="shared" si="47"/>
        <v>#DIV/0!</v>
      </c>
      <c r="BJ141" s="255" t="str">
        <f t="shared" si="48"/>
        <v>#DIV/0!</v>
      </c>
      <c r="BK141" s="255" t="str">
        <f t="shared" si="49"/>
        <v>#DIV/0!</v>
      </c>
      <c r="BL141" s="255" t="str">
        <f t="shared" si="50"/>
        <v>#DIV/0!</v>
      </c>
      <c r="BM141" s="255" t="str">
        <f t="shared" si="51"/>
        <v>#DIV/0!</v>
      </c>
      <c r="BN141" s="255" t="str">
        <f t="shared" si="52"/>
        <v>#DIV/0!</v>
      </c>
      <c r="BO141" s="255" t="str">
        <f t="shared" si="53"/>
        <v>#DIV/0!</v>
      </c>
      <c r="BP141" s="255" t="str">
        <f t="shared" si="54"/>
        <v>#DIV/0!</v>
      </c>
      <c r="BQ141" s="255" t="str">
        <f t="shared" si="55"/>
        <v>#DIV/0!</v>
      </c>
      <c r="BR141" s="255" t="str">
        <f t="shared" si="56"/>
        <v>#DIV/0!</v>
      </c>
      <c r="BS141" s="255" t="str">
        <f t="shared" si="57"/>
        <v>#DIV/0!</v>
      </c>
      <c r="BT141" s="255" t="str">
        <f t="shared" si="58"/>
        <v>#DIV/0!</v>
      </c>
      <c r="BU141" s="255" t="str">
        <f t="shared" si="59"/>
        <v>#DIV/0!</v>
      </c>
      <c r="BV141" s="255" t="str">
        <f t="shared" si="60"/>
        <v>#DIV/0!</v>
      </c>
      <c r="BW141" s="255" t="str">
        <f t="shared" si="61"/>
        <v>#DIV/0!</v>
      </c>
      <c r="BX141" s="255" t="str">
        <f t="shared" si="62"/>
        <v>#DIV/0!</v>
      </c>
      <c r="BY141" s="255" t="str">
        <f t="shared" si="63"/>
        <v>#DIV/0!</v>
      </c>
      <c r="BZ141" s="255" t="str">
        <f t="shared" si="64"/>
        <v>#DIV/0!</v>
      </c>
      <c r="CA141" s="255" t="str">
        <f t="shared" si="65"/>
        <v>#DIV/0!</v>
      </c>
      <c r="CB141" s="255" t="str">
        <f t="shared" si="66"/>
        <v>#DIV/0!</v>
      </c>
      <c r="CC141" s="399"/>
    </row>
    <row r="142">
      <c r="M142" s="388"/>
      <c r="AV142" s="411" t="str">
        <f t="shared" ref="AV142:AY142" si="105">AV93</f>
        <v/>
      </c>
      <c r="AW142" s="339" t="str">
        <f t="shared" si="105"/>
        <v/>
      </c>
      <c r="AX142" s="339" t="str">
        <f t="shared" si="105"/>
        <v/>
      </c>
      <c r="AY142" s="339" t="str">
        <f t="shared" si="105"/>
        <v/>
      </c>
      <c r="AZ142" s="413">
        <f t="shared" si="38"/>
        <v>1500</v>
      </c>
      <c r="BA142" s="413">
        <f t="shared" si="39"/>
        <v>1500</v>
      </c>
      <c r="BB142" s="414" t="b">
        <f t="shared" si="40"/>
        <v>0</v>
      </c>
      <c r="BC142" s="415" t="str">
        <f t="shared" si="41"/>
        <v>#DIV/0!</v>
      </c>
      <c r="BD142" s="413" t="str">
        <f t="shared" si="42"/>
        <v>HSI</v>
      </c>
      <c r="BE142" s="255" t="str">
        <f t="shared" si="43"/>
        <v>#DIV/0!</v>
      </c>
      <c r="BF142" s="255" t="str">
        <f t="shared" si="44"/>
        <v>#DIV/0!</v>
      </c>
      <c r="BG142" s="255" t="str">
        <f t="shared" si="45"/>
        <v>#DIV/0!</v>
      </c>
      <c r="BH142" s="255" t="str">
        <f t="shared" si="46"/>
        <v>#DIV/0!</v>
      </c>
      <c r="BI142" s="255" t="str">
        <f t="shared" si="47"/>
        <v>#DIV/0!</v>
      </c>
      <c r="BJ142" s="255" t="str">
        <f t="shared" si="48"/>
        <v>#DIV/0!</v>
      </c>
      <c r="BK142" s="255" t="str">
        <f t="shared" si="49"/>
        <v>#DIV/0!</v>
      </c>
      <c r="BL142" s="255" t="str">
        <f t="shared" si="50"/>
        <v>#DIV/0!</v>
      </c>
      <c r="BM142" s="255" t="str">
        <f t="shared" si="51"/>
        <v>#DIV/0!</v>
      </c>
      <c r="BN142" s="255" t="str">
        <f t="shared" si="52"/>
        <v>#DIV/0!</v>
      </c>
      <c r="BO142" s="255" t="str">
        <f t="shared" si="53"/>
        <v>#DIV/0!</v>
      </c>
      <c r="BP142" s="255" t="str">
        <f t="shared" si="54"/>
        <v>#DIV/0!</v>
      </c>
      <c r="BQ142" s="255" t="str">
        <f t="shared" si="55"/>
        <v>#DIV/0!</v>
      </c>
      <c r="BR142" s="255" t="str">
        <f t="shared" si="56"/>
        <v>#DIV/0!</v>
      </c>
      <c r="BS142" s="255" t="str">
        <f t="shared" si="57"/>
        <v>#DIV/0!</v>
      </c>
      <c r="BT142" s="255" t="str">
        <f t="shared" si="58"/>
        <v>#DIV/0!</v>
      </c>
      <c r="BU142" s="255" t="str">
        <f t="shared" si="59"/>
        <v>#DIV/0!</v>
      </c>
      <c r="BV142" s="255" t="str">
        <f t="shared" si="60"/>
        <v>#DIV/0!</v>
      </c>
      <c r="BW142" s="255" t="str">
        <f t="shared" si="61"/>
        <v>#DIV/0!</v>
      </c>
      <c r="BX142" s="255" t="str">
        <f t="shared" si="62"/>
        <v>#DIV/0!</v>
      </c>
      <c r="BY142" s="255" t="str">
        <f t="shared" si="63"/>
        <v>#DIV/0!</v>
      </c>
      <c r="BZ142" s="255" t="str">
        <f t="shared" si="64"/>
        <v>#DIV/0!</v>
      </c>
      <c r="CA142" s="255" t="str">
        <f t="shared" si="65"/>
        <v>#DIV/0!</v>
      </c>
      <c r="CB142" s="255" t="str">
        <f t="shared" si="66"/>
        <v>#DIV/0!</v>
      </c>
      <c r="CC142" s="399"/>
    </row>
    <row r="143">
      <c r="M143" s="388"/>
      <c r="AV143" s="436" t="s">
        <v>242</v>
      </c>
      <c r="AW143" s="369"/>
      <c r="AX143" s="381"/>
      <c r="AY143" s="369"/>
      <c r="AZ143" s="413"/>
      <c r="BA143" s="413"/>
      <c r="BB143" s="414"/>
      <c r="BC143" s="415"/>
      <c r="BD143" s="413"/>
      <c r="BE143" s="255"/>
      <c r="BF143" s="255"/>
      <c r="BG143" s="255"/>
      <c r="BH143" s="255"/>
      <c r="BI143" s="255"/>
      <c r="BJ143" s="255"/>
      <c r="BK143" s="255"/>
      <c r="BL143" s="255"/>
      <c r="BM143" s="255"/>
      <c r="BN143" s="255"/>
      <c r="BO143" s="255"/>
      <c r="BP143" s="255"/>
      <c r="BQ143" s="255"/>
      <c r="BR143" s="255"/>
      <c r="BS143" s="255"/>
      <c r="BT143" s="255"/>
      <c r="BU143" s="255"/>
      <c r="BV143" s="255"/>
      <c r="BW143" s="255"/>
      <c r="BX143" s="255"/>
      <c r="BY143" s="255"/>
      <c r="BZ143" s="255"/>
      <c r="CA143" s="255"/>
      <c r="CB143" s="255"/>
      <c r="CC143" s="399"/>
    </row>
    <row r="144">
      <c r="M144" s="388"/>
      <c r="AV144" s="438" t="s">
        <v>336</v>
      </c>
      <c r="AW144" s="369"/>
      <c r="AX144" s="381"/>
      <c r="AY144" s="369"/>
      <c r="AZ144" s="413"/>
      <c r="BA144" s="413"/>
      <c r="BB144" s="414"/>
      <c r="BC144" s="415"/>
      <c r="BD144" s="413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8"/>
      <c r="AU145" s="399"/>
      <c r="AV145" s="399"/>
      <c r="AW145" s="378"/>
      <c r="AX145" s="399"/>
      <c r="AY145" s="399"/>
      <c r="AZ145" s="399"/>
      <c r="BA145" s="164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8"/>
      <c r="AU146" s="399"/>
      <c r="AV146" s="399"/>
      <c r="AW146" s="378"/>
      <c r="AX146" s="399"/>
      <c r="AY146" s="399"/>
      <c r="AZ146" s="399"/>
      <c r="BA146" s="164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8"/>
      <c r="AU147" s="399"/>
      <c r="AV147" s="399"/>
      <c r="AW147" s="378"/>
      <c r="AX147" s="399"/>
      <c r="AY147" s="399"/>
      <c r="AZ147" s="399"/>
      <c r="BA147" s="164"/>
      <c r="BB147" s="440" t="s">
        <v>363</v>
      </c>
      <c r="BC147" s="399"/>
      <c r="BD147" s="399"/>
      <c r="BE147" s="255" t="str">
        <f t="shared" ref="BE147:CB147" si="106">BE52</f>
        <v>AGO</v>
      </c>
      <c r="BF147" s="255" t="str">
        <f t="shared" si="106"/>
        <v>SET</v>
      </c>
      <c r="BG147" s="255" t="str">
        <f t="shared" si="106"/>
        <v>OUT</v>
      </c>
      <c r="BH147" s="255" t="str">
        <f t="shared" si="106"/>
        <v>NOV</v>
      </c>
      <c r="BI147" s="255" t="str">
        <f t="shared" si="106"/>
        <v>DEZ</v>
      </c>
      <c r="BJ147" s="255" t="str">
        <f t="shared" si="106"/>
        <v>JAN</v>
      </c>
      <c r="BK147" s="255" t="str">
        <f t="shared" si="106"/>
        <v>FEV</v>
      </c>
      <c r="BL147" s="255" t="str">
        <f t="shared" si="106"/>
        <v>MAR</v>
      </c>
      <c r="BM147" s="255" t="str">
        <f t="shared" si="106"/>
        <v>ABR</v>
      </c>
      <c r="BN147" s="255" t="str">
        <f t="shared" si="106"/>
        <v>MAI</v>
      </c>
      <c r="BO147" s="255" t="str">
        <f t="shared" si="106"/>
        <v>JUN</v>
      </c>
      <c r="BP147" s="255" t="str">
        <f t="shared" si="106"/>
        <v>JUL</v>
      </c>
      <c r="BQ147" s="255" t="str">
        <f t="shared" si="106"/>
        <v>AGO</v>
      </c>
      <c r="BR147" s="255" t="str">
        <f t="shared" si="106"/>
        <v>SET</v>
      </c>
      <c r="BS147" s="255" t="str">
        <f t="shared" si="106"/>
        <v>OUT</v>
      </c>
      <c r="BT147" s="255" t="str">
        <f t="shared" si="106"/>
        <v>NOV</v>
      </c>
      <c r="BU147" s="255" t="str">
        <f t="shared" si="106"/>
        <v>DEZ</v>
      </c>
      <c r="BV147" s="255" t="str">
        <f t="shared" si="106"/>
        <v>JAN</v>
      </c>
      <c r="BW147" s="255" t="str">
        <f t="shared" si="106"/>
        <v>FEV</v>
      </c>
      <c r="BX147" s="255" t="str">
        <f t="shared" si="106"/>
        <v>MAR</v>
      </c>
      <c r="BY147" s="255" t="str">
        <f t="shared" si="106"/>
        <v>ABR</v>
      </c>
      <c r="BZ147" s="255" t="str">
        <f t="shared" si="106"/>
        <v>MAI</v>
      </c>
      <c r="CA147" s="255" t="str">
        <f t="shared" si="106"/>
        <v>JUN</v>
      </c>
      <c r="CB147" s="255" t="str">
        <f t="shared" si="106"/>
        <v>JUL</v>
      </c>
      <c r="CC147" s="399"/>
    </row>
    <row r="148">
      <c r="M148" s="388"/>
      <c r="AU148" s="399"/>
      <c r="AV148" s="399"/>
      <c r="AW148" s="378"/>
      <c r="AX148" s="399"/>
      <c r="AY148" s="399"/>
      <c r="AZ148" s="399"/>
      <c r="BA148" s="164"/>
      <c r="BB148" s="399"/>
      <c r="BC148" s="399"/>
      <c r="BD148" s="399"/>
      <c r="BE148" s="255" t="str">
        <f t="shared" ref="BE148:CB148" si="107">CONCAT(BE53,BE102)</f>
        <v>#DIV/0!</v>
      </c>
      <c r="BF148" s="255" t="str">
        <f t="shared" si="107"/>
        <v>#DIV/0!</v>
      </c>
      <c r="BG148" s="255" t="str">
        <f t="shared" si="107"/>
        <v>#DIV/0!</v>
      </c>
      <c r="BH148" s="255" t="str">
        <f t="shared" si="107"/>
        <v>#DIV/0!</v>
      </c>
      <c r="BI148" s="255" t="str">
        <f t="shared" si="107"/>
        <v>#DIV/0!</v>
      </c>
      <c r="BJ148" s="255" t="str">
        <f t="shared" si="107"/>
        <v>#DIV/0!</v>
      </c>
      <c r="BK148" s="255" t="str">
        <f t="shared" si="107"/>
        <v>#DIV/0!</v>
      </c>
      <c r="BL148" s="255" t="str">
        <f t="shared" si="107"/>
        <v>#DIV/0!</v>
      </c>
      <c r="BM148" s="255" t="str">
        <f t="shared" si="107"/>
        <v>#DIV/0!</v>
      </c>
      <c r="BN148" s="255" t="str">
        <f t="shared" si="107"/>
        <v>#DIV/0!</v>
      </c>
      <c r="BO148" s="255" t="str">
        <f t="shared" si="107"/>
        <v>#DIV/0!</v>
      </c>
      <c r="BP148" s="255" t="str">
        <f t="shared" si="107"/>
        <v>#DIV/0!</v>
      </c>
      <c r="BQ148" s="255" t="str">
        <f t="shared" si="107"/>
        <v>#DIV/0!</v>
      </c>
      <c r="BR148" s="255" t="str">
        <f t="shared" si="107"/>
        <v>#DIV/0!</v>
      </c>
      <c r="BS148" s="255" t="str">
        <f t="shared" si="107"/>
        <v>#DIV/0!</v>
      </c>
      <c r="BT148" s="255" t="str">
        <f t="shared" si="107"/>
        <v>#DIV/0!</v>
      </c>
      <c r="BU148" s="255" t="str">
        <f t="shared" si="107"/>
        <v>#DIV/0!</v>
      </c>
      <c r="BV148" s="255" t="str">
        <f t="shared" si="107"/>
        <v>#DIV/0!</v>
      </c>
      <c r="BW148" s="255" t="str">
        <f t="shared" si="107"/>
        <v>#DIV/0!</v>
      </c>
      <c r="BX148" s="255" t="str">
        <f t="shared" si="107"/>
        <v>#DIV/0!</v>
      </c>
      <c r="BY148" s="255" t="str">
        <f t="shared" si="107"/>
        <v>#DIV/0!</v>
      </c>
      <c r="BZ148" s="255" t="str">
        <f t="shared" si="107"/>
        <v>#DIV/0!</v>
      </c>
      <c r="CA148" s="255" t="str">
        <f t="shared" si="107"/>
        <v>#DIV/0!</v>
      </c>
      <c r="CB148" s="255" t="str">
        <f t="shared" si="107"/>
        <v>#DIV/0!</v>
      </c>
      <c r="CC148" s="399"/>
    </row>
    <row r="149">
      <c r="M149" s="388"/>
      <c r="AU149" s="399"/>
      <c r="AV149" s="399"/>
      <c r="AW149" s="378"/>
      <c r="AX149" s="399"/>
      <c r="AY149" s="399"/>
      <c r="AZ149" s="399"/>
      <c r="BA149" s="164"/>
      <c r="BB149" s="399"/>
      <c r="BC149" s="399"/>
      <c r="BD149" s="399"/>
      <c r="BE149" s="255" t="str">
        <f t="shared" ref="BE149:CB149" si="108">CONCAT(BE54,BE103)</f>
        <v/>
      </c>
      <c r="BF149" s="255" t="str">
        <f t="shared" si="108"/>
        <v/>
      </c>
      <c r="BG149" s="255" t="str">
        <f t="shared" si="108"/>
        <v/>
      </c>
      <c r="BH149" s="255" t="str">
        <f t="shared" si="108"/>
        <v/>
      </c>
      <c r="BI149" s="255" t="str">
        <f t="shared" si="108"/>
        <v/>
      </c>
      <c r="BJ149" s="255" t="str">
        <f t="shared" si="108"/>
        <v>HSI</v>
      </c>
      <c r="BK149" s="255" t="str">
        <f t="shared" si="108"/>
        <v/>
      </c>
      <c r="BL149" s="255" t="str">
        <f t="shared" si="108"/>
        <v/>
      </c>
      <c r="BM149" s="255" t="str">
        <f t="shared" si="108"/>
        <v/>
      </c>
      <c r="BN149" s="255" t="str">
        <f t="shared" si="108"/>
        <v/>
      </c>
      <c r="BO149" s="255" t="str">
        <f t="shared" si="108"/>
        <v/>
      </c>
      <c r="BP149" s="255" t="str">
        <f t="shared" si="108"/>
        <v/>
      </c>
      <c r="BQ149" s="255" t="str">
        <f t="shared" si="108"/>
        <v/>
      </c>
      <c r="BR149" s="255" t="str">
        <f t="shared" si="108"/>
        <v/>
      </c>
      <c r="BS149" s="255" t="str">
        <f t="shared" si="108"/>
        <v>TBO</v>
      </c>
      <c r="BT149" s="255" t="str">
        <f t="shared" si="108"/>
        <v/>
      </c>
      <c r="BU149" s="255" t="str">
        <f t="shared" si="108"/>
        <v/>
      </c>
      <c r="BV149" s="255" t="str">
        <f t="shared" si="108"/>
        <v/>
      </c>
      <c r="BW149" s="255" t="str">
        <f t="shared" si="108"/>
        <v/>
      </c>
      <c r="BX149" s="255" t="str">
        <f t="shared" si="108"/>
        <v/>
      </c>
      <c r="BY149" s="255" t="str">
        <f t="shared" si="108"/>
        <v/>
      </c>
      <c r="BZ149" s="255" t="str">
        <f t="shared" si="108"/>
        <v/>
      </c>
      <c r="CA149" s="255" t="str">
        <f t="shared" si="108"/>
        <v/>
      </c>
      <c r="CB149" s="255" t="str">
        <f t="shared" si="108"/>
        <v/>
      </c>
      <c r="CC149" s="399"/>
    </row>
    <row r="150">
      <c r="M150" s="388"/>
      <c r="AU150" s="399"/>
      <c r="AV150" s="399"/>
      <c r="AW150" s="378"/>
      <c r="AX150" s="399"/>
      <c r="AY150" s="399"/>
      <c r="AZ150" s="399"/>
      <c r="BA150" s="164"/>
      <c r="BB150" s="399"/>
      <c r="BC150" s="399"/>
      <c r="BD150" s="399"/>
      <c r="BE150" s="369" t="str">
        <f t="shared" ref="BE150:CB150" si="109">CONCAT(BE55,BE104)</f>
        <v/>
      </c>
      <c r="BF150" s="369" t="str">
        <f t="shared" si="109"/>
        <v/>
      </c>
      <c r="BG150" s="369" t="str">
        <f t="shared" si="109"/>
        <v/>
      </c>
      <c r="BH150" s="369" t="str">
        <f t="shared" si="109"/>
        <v/>
      </c>
      <c r="BI150" s="369" t="str">
        <f t="shared" si="109"/>
        <v/>
      </c>
      <c r="BJ150" s="369" t="str">
        <f t="shared" si="109"/>
        <v/>
      </c>
      <c r="BK150" s="255" t="str">
        <f t="shared" si="109"/>
        <v/>
      </c>
      <c r="BL150" s="369" t="str">
        <f t="shared" si="109"/>
        <v/>
      </c>
      <c r="BM150" s="369" t="str">
        <f t="shared" si="109"/>
        <v/>
      </c>
      <c r="BN150" s="369" t="str">
        <f t="shared" si="109"/>
        <v/>
      </c>
      <c r="BO150" s="369" t="str">
        <f t="shared" si="109"/>
        <v/>
      </c>
      <c r="BP150" s="369" t="str">
        <f t="shared" si="109"/>
        <v/>
      </c>
      <c r="BQ150" s="369" t="str">
        <f t="shared" si="109"/>
        <v/>
      </c>
      <c r="BR150" s="369" t="str">
        <f t="shared" si="109"/>
        <v/>
      </c>
      <c r="BS150" s="369" t="str">
        <f t="shared" si="109"/>
        <v>HSI</v>
      </c>
      <c r="BT150" s="369" t="str">
        <f t="shared" si="109"/>
        <v/>
      </c>
      <c r="BU150" s="369" t="str">
        <f t="shared" si="109"/>
        <v/>
      </c>
      <c r="BV150" s="369" t="str">
        <f t="shared" si="109"/>
        <v/>
      </c>
      <c r="BW150" s="369" t="str">
        <f t="shared" si="109"/>
        <v/>
      </c>
      <c r="BX150" s="369" t="str">
        <f t="shared" si="109"/>
        <v/>
      </c>
      <c r="BY150" s="369" t="str">
        <f t="shared" si="109"/>
        <v/>
      </c>
      <c r="BZ150" s="369" t="str">
        <f t="shared" si="109"/>
        <v/>
      </c>
      <c r="CA150" s="369" t="str">
        <f t="shared" si="109"/>
        <v/>
      </c>
      <c r="CB150" s="369" t="str">
        <f t="shared" si="109"/>
        <v/>
      </c>
      <c r="CC150" s="399"/>
    </row>
    <row r="151">
      <c r="M151" s="388"/>
      <c r="AU151" s="399"/>
      <c r="AV151" s="399"/>
      <c r="AW151" s="378"/>
      <c r="AX151" s="399"/>
      <c r="AY151" s="399"/>
      <c r="AZ151" s="399"/>
      <c r="BA151" s="164"/>
      <c r="BB151" s="399"/>
      <c r="BC151" s="399"/>
      <c r="BD151" s="399"/>
      <c r="BE151" s="369" t="str">
        <f t="shared" ref="BE151:CB151" si="110">CONCAT(BE56,BE105)</f>
        <v>#DIV/0!</v>
      </c>
      <c r="BF151" s="369" t="str">
        <f t="shared" si="110"/>
        <v>#DIV/0!</v>
      </c>
      <c r="BG151" s="369" t="str">
        <f t="shared" si="110"/>
        <v>#DIV/0!</v>
      </c>
      <c r="BH151" s="369" t="str">
        <f t="shared" si="110"/>
        <v>#DIV/0!</v>
      </c>
      <c r="BI151" s="369" t="str">
        <f t="shared" si="110"/>
        <v>#DIV/0!</v>
      </c>
      <c r="BJ151" s="369" t="str">
        <f t="shared" si="110"/>
        <v>#DIV/0!</v>
      </c>
      <c r="BK151" s="369" t="str">
        <f t="shared" si="110"/>
        <v>#DIV/0!</v>
      </c>
      <c r="BL151" s="369" t="str">
        <f t="shared" si="110"/>
        <v>#DIV/0!</v>
      </c>
      <c r="BM151" s="369" t="str">
        <f t="shared" si="110"/>
        <v>#DIV/0!</v>
      </c>
      <c r="BN151" s="369" t="str">
        <f t="shared" si="110"/>
        <v>#DIV/0!</v>
      </c>
      <c r="BO151" s="369" t="str">
        <f t="shared" si="110"/>
        <v>#DIV/0!</v>
      </c>
      <c r="BP151" s="369" t="str">
        <f t="shared" si="110"/>
        <v>#DIV/0!</v>
      </c>
      <c r="BQ151" s="369" t="str">
        <f t="shared" si="110"/>
        <v>#DIV/0!</v>
      </c>
      <c r="BR151" s="369" t="str">
        <f t="shared" si="110"/>
        <v>#DIV/0!</v>
      </c>
      <c r="BS151" s="369" t="str">
        <f t="shared" si="110"/>
        <v>#DIV/0!</v>
      </c>
      <c r="BT151" s="369" t="str">
        <f t="shared" si="110"/>
        <v>#DIV/0!</v>
      </c>
      <c r="BU151" s="369" t="str">
        <f t="shared" si="110"/>
        <v>#DIV/0!</v>
      </c>
      <c r="BV151" s="369" t="str">
        <f t="shared" si="110"/>
        <v>#DIV/0!</v>
      </c>
      <c r="BW151" s="369" t="str">
        <f t="shared" si="110"/>
        <v>#DIV/0!</v>
      </c>
      <c r="BX151" s="369" t="str">
        <f t="shared" si="110"/>
        <v>#DIV/0!</v>
      </c>
      <c r="BY151" s="369" t="str">
        <f t="shared" si="110"/>
        <v>#DIV/0!</v>
      </c>
      <c r="BZ151" s="369" t="str">
        <f t="shared" si="110"/>
        <v>#DIV/0!</v>
      </c>
      <c r="CA151" s="369" t="str">
        <f t="shared" si="110"/>
        <v>#DIV/0!</v>
      </c>
      <c r="CB151" s="369" t="str">
        <f t="shared" si="110"/>
        <v>#DIV/0!</v>
      </c>
      <c r="CC151" s="399"/>
    </row>
    <row r="152">
      <c r="M152" s="388"/>
      <c r="AU152" s="399"/>
      <c r="AV152" s="399"/>
      <c r="AW152" s="378"/>
      <c r="AX152" s="399"/>
      <c r="AY152" s="399"/>
      <c r="AZ152" s="399"/>
      <c r="BA152" s="164"/>
      <c r="BB152" s="399"/>
      <c r="BC152" s="399"/>
      <c r="BD152" s="399"/>
      <c r="BE152" s="369" t="str">
        <f t="shared" ref="BE152:CB152" si="111">CONCAT(BE57,BE106)</f>
        <v/>
      </c>
      <c r="BF152" s="369" t="str">
        <f t="shared" si="111"/>
        <v/>
      </c>
      <c r="BG152" s="369" t="str">
        <f t="shared" si="111"/>
        <v/>
      </c>
      <c r="BH152" s="369" t="str">
        <f t="shared" si="111"/>
        <v/>
      </c>
      <c r="BI152" s="369" t="str">
        <f t="shared" si="111"/>
        <v/>
      </c>
      <c r="BJ152" s="369" t="str">
        <f t="shared" si="111"/>
        <v/>
      </c>
      <c r="BK152" s="369" t="str">
        <f t="shared" si="111"/>
        <v/>
      </c>
      <c r="BL152" s="369" t="str">
        <f t="shared" si="111"/>
        <v/>
      </c>
      <c r="BM152" s="369" t="str">
        <f t="shared" si="111"/>
        <v/>
      </c>
      <c r="BN152" s="369" t="str">
        <f t="shared" si="111"/>
        <v/>
      </c>
      <c r="BO152" s="369" t="str">
        <f t="shared" si="111"/>
        <v/>
      </c>
      <c r="BP152" s="369" t="str">
        <f t="shared" si="111"/>
        <v/>
      </c>
      <c r="BQ152" s="369" t="str">
        <f t="shared" si="111"/>
        <v/>
      </c>
      <c r="BR152" s="369" t="str">
        <f t="shared" si="111"/>
        <v/>
      </c>
      <c r="BS152" s="369" t="str">
        <f t="shared" si="111"/>
        <v/>
      </c>
      <c r="BT152" s="369" t="str">
        <f t="shared" si="111"/>
        <v/>
      </c>
      <c r="BU152" s="369" t="str">
        <f t="shared" si="111"/>
        <v/>
      </c>
      <c r="BV152" s="369" t="str">
        <f t="shared" si="111"/>
        <v/>
      </c>
      <c r="BW152" s="369" t="str">
        <f t="shared" si="111"/>
        <v/>
      </c>
      <c r="BX152" s="369" t="str">
        <f t="shared" si="111"/>
        <v/>
      </c>
      <c r="BY152" s="369" t="str">
        <f t="shared" si="111"/>
        <v/>
      </c>
      <c r="BZ152" s="369" t="str">
        <f t="shared" si="111"/>
        <v/>
      </c>
      <c r="CA152" s="369" t="str">
        <f t="shared" si="111"/>
        <v/>
      </c>
      <c r="CB152" s="369" t="str">
        <f t="shared" si="111"/>
        <v/>
      </c>
      <c r="CC152" s="399"/>
    </row>
    <row r="153">
      <c r="M153" s="388"/>
      <c r="AU153" s="399"/>
      <c r="AV153" s="399"/>
      <c r="AW153" s="378"/>
      <c r="AX153" s="399"/>
      <c r="AY153" s="399"/>
      <c r="AZ153" s="399"/>
      <c r="BA153" s="164"/>
      <c r="BB153" s="399"/>
      <c r="BC153" s="399"/>
      <c r="BD153" s="399"/>
      <c r="BE153" s="369" t="str">
        <f t="shared" ref="BE153:CB153" si="112">CONCAT(BE58,BE107)</f>
        <v>#DIV/0!</v>
      </c>
      <c r="BF153" s="369" t="str">
        <f t="shared" si="112"/>
        <v>#DIV/0!</v>
      </c>
      <c r="BG153" s="369" t="str">
        <f t="shared" si="112"/>
        <v>#DIV/0!</v>
      </c>
      <c r="BH153" s="369" t="str">
        <f t="shared" si="112"/>
        <v>#DIV/0!</v>
      </c>
      <c r="BI153" s="369" t="str">
        <f t="shared" si="112"/>
        <v>#DIV/0!</v>
      </c>
      <c r="BJ153" s="369" t="str">
        <f t="shared" si="112"/>
        <v>#DIV/0!</v>
      </c>
      <c r="BK153" s="369" t="str">
        <f t="shared" si="112"/>
        <v>#DIV/0!</v>
      </c>
      <c r="BL153" s="369" t="str">
        <f t="shared" si="112"/>
        <v>#DIV/0!</v>
      </c>
      <c r="BM153" s="369" t="str">
        <f t="shared" si="112"/>
        <v>#DIV/0!</v>
      </c>
      <c r="BN153" s="369" t="str">
        <f t="shared" si="112"/>
        <v>#DIV/0!</v>
      </c>
      <c r="BO153" s="369" t="str">
        <f t="shared" si="112"/>
        <v>#DIV/0!</v>
      </c>
      <c r="BP153" s="369" t="str">
        <f t="shared" si="112"/>
        <v>#DIV/0!</v>
      </c>
      <c r="BQ153" s="369" t="str">
        <f t="shared" si="112"/>
        <v>#DIV/0!</v>
      </c>
      <c r="BR153" s="369" t="str">
        <f t="shared" si="112"/>
        <v>#DIV/0!</v>
      </c>
      <c r="BS153" s="369" t="str">
        <f t="shared" si="112"/>
        <v>#DIV/0!</v>
      </c>
      <c r="BT153" s="369" t="str">
        <f t="shared" si="112"/>
        <v>#DIV/0!</v>
      </c>
      <c r="BU153" s="369" t="str">
        <f t="shared" si="112"/>
        <v>#DIV/0!</v>
      </c>
      <c r="BV153" s="369" t="str">
        <f t="shared" si="112"/>
        <v>#DIV/0!</v>
      </c>
      <c r="BW153" s="369" t="str">
        <f t="shared" si="112"/>
        <v>#DIV/0!</v>
      </c>
      <c r="BX153" s="369" t="str">
        <f t="shared" si="112"/>
        <v>#DIV/0!</v>
      </c>
      <c r="BY153" s="369" t="str">
        <f t="shared" si="112"/>
        <v>#DIV/0!</v>
      </c>
      <c r="BZ153" s="369" t="str">
        <f t="shared" si="112"/>
        <v>#DIV/0!</v>
      </c>
      <c r="CA153" s="369" t="str">
        <f t="shared" si="112"/>
        <v>#DIV/0!</v>
      </c>
      <c r="CB153" s="369" t="str">
        <f t="shared" si="112"/>
        <v>#DIV/0!</v>
      </c>
      <c r="CC153" s="399"/>
    </row>
    <row r="154">
      <c r="M154" s="388"/>
      <c r="AU154" s="399"/>
      <c r="AV154" s="399"/>
      <c r="AW154" s="378"/>
      <c r="AX154" s="399"/>
      <c r="AY154" s="399"/>
      <c r="AZ154" s="399"/>
      <c r="BA154" s="164"/>
      <c r="BB154" s="399"/>
      <c r="BC154" s="399"/>
      <c r="BD154" s="399"/>
      <c r="BE154" s="255" t="str">
        <f t="shared" ref="BE154:CB154" si="113">CONCAT(BE59,BE108)</f>
        <v/>
      </c>
      <c r="BF154" s="255" t="str">
        <f t="shared" si="113"/>
        <v/>
      </c>
      <c r="BG154" s="255" t="str">
        <f t="shared" si="113"/>
        <v/>
      </c>
      <c r="BH154" s="255" t="str">
        <f t="shared" si="113"/>
        <v/>
      </c>
      <c r="BI154" s="255" t="str">
        <f t="shared" si="113"/>
        <v/>
      </c>
      <c r="BJ154" s="255" t="str">
        <f t="shared" si="113"/>
        <v/>
      </c>
      <c r="BK154" s="255" t="str">
        <f t="shared" si="113"/>
        <v/>
      </c>
      <c r="BL154" s="255" t="str">
        <f t="shared" si="113"/>
        <v/>
      </c>
      <c r="BM154" s="255" t="str">
        <f t="shared" si="113"/>
        <v/>
      </c>
      <c r="BN154" s="255" t="str">
        <f t="shared" si="113"/>
        <v/>
      </c>
      <c r="BO154" s="255" t="str">
        <f t="shared" si="113"/>
        <v/>
      </c>
      <c r="BP154" s="255" t="str">
        <f t="shared" si="113"/>
        <v/>
      </c>
      <c r="BQ154" s="255" t="str">
        <f t="shared" si="113"/>
        <v/>
      </c>
      <c r="BR154" s="255" t="str">
        <f t="shared" si="113"/>
        <v/>
      </c>
      <c r="BS154" s="255" t="str">
        <f t="shared" si="113"/>
        <v/>
      </c>
      <c r="BT154" s="255" t="str">
        <f t="shared" si="113"/>
        <v/>
      </c>
      <c r="BU154" s="255" t="str">
        <f t="shared" si="113"/>
        <v/>
      </c>
      <c r="BV154" s="255" t="str">
        <f t="shared" si="113"/>
        <v/>
      </c>
      <c r="BW154" s="255" t="str">
        <f t="shared" si="113"/>
        <v/>
      </c>
      <c r="BX154" s="255" t="str">
        <f t="shared" si="113"/>
        <v/>
      </c>
      <c r="BY154" s="255" t="str">
        <f t="shared" si="113"/>
        <v/>
      </c>
      <c r="BZ154" s="255" t="str">
        <f t="shared" si="113"/>
        <v/>
      </c>
      <c r="CA154" s="255" t="str">
        <f t="shared" si="113"/>
        <v/>
      </c>
      <c r="CB154" s="255" t="str">
        <f t="shared" si="113"/>
        <v/>
      </c>
      <c r="CC154" s="399"/>
    </row>
    <row r="155">
      <c r="M155" s="388"/>
      <c r="AU155" s="399"/>
      <c r="AV155" s="399"/>
      <c r="AW155" s="378"/>
      <c r="AX155" s="399"/>
      <c r="AY155" s="399"/>
      <c r="AZ155" s="399"/>
      <c r="BA155" s="164"/>
      <c r="BB155" s="399"/>
      <c r="BC155" s="399"/>
      <c r="BD155" s="399"/>
      <c r="BE155" s="369" t="str">
        <f t="shared" ref="BE155:CB155" si="114">CONCAT(BE60,BE109)</f>
        <v>#DIV/0!</v>
      </c>
      <c r="BF155" s="369" t="str">
        <f t="shared" si="114"/>
        <v>#DIV/0!</v>
      </c>
      <c r="BG155" s="369" t="str">
        <f t="shared" si="114"/>
        <v>#DIV/0!</v>
      </c>
      <c r="BH155" s="369" t="str">
        <f t="shared" si="114"/>
        <v>#DIV/0!</v>
      </c>
      <c r="BI155" s="369" t="str">
        <f t="shared" si="114"/>
        <v>#DIV/0!</v>
      </c>
      <c r="BJ155" s="369" t="str">
        <f t="shared" si="114"/>
        <v>#DIV/0!</v>
      </c>
      <c r="BK155" s="369" t="str">
        <f t="shared" si="114"/>
        <v>#DIV/0!</v>
      </c>
      <c r="BL155" s="369" t="str">
        <f t="shared" si="114"/>
        <v>#DIV/0!</v>
      </c>
      <c r="BM155" s="369" t="str">
        <f t="shared" si="114"/>
        <v>#DIV/0!</v>
      </c>
      <c r="BN155" s="369" t="str">
        <f t="shared" si="114"/>
        <v>#DIV/0!</v>
      </c>
      <c r="BO155" s="369" t="str">
        <f t="shared" si="114"/>
        <v>#DIV/0!</v>
      </c>
      <c r="BP155" s="369" t="str">
        <f t="shared" si="114"/>
        <v>#DIV/0!</v>
      </c>
      <c r="BQ155" s="369" t="str">
        <f t="shared" si="114"/>
        <v>#DIV/0!</v>
      </c>
      <c r="BR155" s="369" t="str">
        <f t="shared" si="114"/>
        <v>#DIV/0!</v>
      </c>
      <c r="BS155" s="369" t="str">
        <f t="shared" si="114"/>
        <v>#DIV/0!</v>
      </c>
      <c r="BT155" s="369" t="str">
        <f t="shared" si="114"/>
        <v>#DIV/0!</v>
      </c>
      <c r="BU155" s="369" t="str">
        <f t="shared" si="114"/>
        <v>#DIV/0!</v>
      </c>
      <c r="BV155" s="369" t="str">
        <f t="shared" si="114"/>
        <v>#DIV/0!</v>
      </c>
      <c r="BW155" s="369" t="str">
        <f t="shared" si="114"/>
        <v>#DIV/0!</v>
      </c>
      <c r="BX155" s="369" t="str">
        <f t="shared" si="114"/>
        <v>#DIV/0!</v>
      </c>
      <c r="BY155" s="369" t="str">
        <f t="shared" si="114"/>
        <v>#DIV/0!</v>
      </c>
      <c r="BZ155" s="369" t="str">
        <f t="shared" si="114"/>
        <v>#DIV/0!</v>
      </c>
      <c r="CA155" s="369" t="str">
        <f t="shared" si="114"/>
        <v>#DIV/0!</v>
      </c>
      <c r="CB155" s="369" t="str">
        <f t="shared" si="114"/>
        <v>#DIV/0!</v>
      </c>
      <c r="CC155" s="399"/>
    </row>
    <row r="156">
      <c r="M156" s="388"/>
      <c r="AU156" s="399"/>
      <c r="AV156" s="399"/>
      <c r="AW156" s="378"/>
      <c r="AX156" s="399"/>
      <c r="AY156" s="399"/>
      <c r="AZ156" s="399"/>
      <c r="BA156" s="164"/>
      <c r="BB156" s="399"/>
      <c r="BC156" s="399"/>
      <c r="BD156" s="399"/>
      <c r="BE156" s="369" t="str">
        <f t="shared" ref="BE156:CB156" si="115">CONCAT(BE61,BE110)</f>
        <v/>
      </c>
      <c r="BF156" s="369" t="str">
        <f t="shared" si="115"/>
        <v/>
      </c>
      <c r="BG156" s="369" t="str">
        <f t="shared" si="115"/>
        <v/>
      </c>
      <c r="BH156" s="369" t="str">
        <f t="shared" si="115"/>
        <v/>
      </c>
      <c r="BI156" s="369" t="str">
        <f t="shared" si="115"/>
        <v/>
      </c>
      <c r="BJ156" s="369" t="str">
        <f t="shared" si="115"/>
        <v/>
      </c>
      <c r="BK156" s="369" t="str">
        <f t="shared" si="115"/>
        <v/>
      </c>
      <c r="BL156" s="369" t="str">
        <f t="shared" si="115"/>
        <v/>
      </c>
      <c r="BM156" s="369" t="str">
        <f t="shared" si="115"/>
        <v/>
      </c>
      <c r="BN156" s="369" t="str">
        <f t="shared" si="115"/>
        <v/>
      </c>
      <c r="BO156" s="369" t="str">
        <f t="shared" si="115"/>
        <v/>
      </c>
      <c r="BP156" s="369" t="str">
        <f t="shared" si="115"/>
        <v/>
      </c>
      <c r="BQ156" s="369" t="str">
        <f t="shared" si="115"/>
        <v/>
      </c>
      <c r="BR156" s="369" t="str">
        <f t="shared" si="115"/>
        <v/>
      </c>
      <c r="BS156" s="369" t="str">
        <f t="shared" si="115"/>
        <v/>
      </c>
      <c r="BT156" s="369" t="str">
        <f t="shared" si="115"/>
        <v/>
      </c>
      <c r="BU156" s="369" t="str">
        <f t="shared" si="115"/>
        <v/>
      </c>
      <c r="BV156" s="369" t="str">
        <f t="shared" si="115"/>
        <v/>
      </c>
      <c r="BW156" s="369" t="str">
        <f t="shared" si="115"/>
        <v>HSI</v>
      </c>
      <c r="BX156" s="369" t="str">
        <f t="shared" si="115"/>
        <v/>
      </c>
      <c r="BY156" s="369" t="str">
        <f t="shared" si="115"/>
        <v/>
      </c>
      <c r="BZ156" s="369" t="str">
        <f t="shared" si="115"/>
        <v/>
      </c>
      <c r="CA156" s="369" t="str">
        <f t="shared" si="115"/>
        <v/>
      </c>
      <c r="CB156" s="369" t="str">
        <f t="shared" si="115"/>
        <v/>
      </c>
      <c r="CC156" s="399"/>
    </row>
    <row r="157">
      <c r="M157" s="388"/>
      <c r="AU157" s="399"/>
      <c r="AV157" s="399"/>
      <c r="AW157" s="378"/>
      <c r="AX157" s="399"/>
      <c r="AY157" s="399"/>
      <c r="AZ157" s="399"/>
      <c r="BA157" s="164"/>
      <c r="BB157" s="399"/>
      <c r="BC157" s="399"/>
      <c r="BD157" s="399"/>
      <c r="BE157" s="255" t="str">
        <f t="shared" ref="BE157:CB157" si="116">CONCAT(BE62,BE111)</f>
        <v>#DIV/0!</v>
      </c>
      <c r="BF157" s="255" t="str">
        <f t="shared" si="116"/>
        <v>#DIV/0!</v>
      </c>
      <c r="BG157" s="255" t="str">
        <f t="shared" si="116"/>
        <v>#DIV/0!</v>
      </c>
      <c r="BH157" s="255" t="str">
        <f t="shared" si="116"/>
        <v>#DIV/0!</v>
      </c>
      <c r="BI157" s="255" t="str">
        <f t="shared" si="116"/>
        <v>#DIV/0!</v>
      </c>
      <c r="BJ157" s="255" t="str">
        <f t="shared" si="116"/>
        <v>#DIV/0!</v>
      </c>
      <c r="BK157" s="255" t="str">
        <f t="shared" si="116"/>
        <v>#DIV/0!</v>
      </c>
      <c r="BL157" s="255" t="str">
        <f t="shared" si="116"/>
        <v>#DIV/0!</v>
      </c>
      <c r="BM157" s="255" t="str">
        <f t="shared" si="116"/>
        <v>#DIV/0!</v>
      </c>
      <c r="BN157" s="255" t="str">
        <f t="shared" si="116"/>
        <v>#DIV/0!</v>
      </c>
      <c r="BO157" s="255" t="str">
        <f t="shared" si="116"/>
        <v>#DIV/0!</v>
      </c>
      <c r="BP157" s="255" t="str">
        <f t="shared" si="116"/>
        <v>#DIV/0!</v>
      </c>
      <c r="BQ157" s="255" t="str">
        <f t="shared" si="116"/>
        <v>#DIV/0!</v>
      </c>
      <c r="BR157" s="255" t="str">
        <f t="shared" si="116"/>
        <v>#DIV/0!</v>
      </c>
      <c r="BS157" s="255" t="str">
        <f t="shared" si="116"/>
        <v>#DIV/0!</v>
      </c>
      <c r="BT157" s="255" t="str">
        <f t="shared" si="116"/>
        <v>#DIV/0!</v>
      </c>
      <c r="BU157" s="255" t="str">
        <f t="shared" si="116"/>
        <v>#DIV/0!</v>
      </c>
      <c r="BV157" s="255" t="str">
        <f t="shared" si="116"/>
        <v>#DIV/0!</v>
      </c>
      <c r="BW157" s="255" t="str">
        <f t="shared" si="116"/>
        <v>#DIV/0!</v>
      </c>
      <c r="BX157" s="255" t="str">
        <f t="shared" si="116"/>
        <v>#DIV/0!</v>
      </c>
      <c r="BY157" s="255" t="str">
        <f t="shared" si="116"/>
        <v>#DIV/0!</v>
      </c>
      <c r="BZ157" s="255" t="str">
        <f t="shared" si="116"/>
        <v>#DIV/0!</v>
      </c>
      <c r="CA157" s="255" t="str">
        <f t="shared" si="116"/>
        <v>#DIV/0!</v>
      </c>
      <c r="CB157" s="255" t="str">
        <f t="shared" si="116"/>
        <v>#DIV/0!</v>
      </c>
      <c r="CC157" s="399"/>
    </row>
    <row r="158">
      <c r="M158" s="388"/>
      <c r="AU158" s="399"/>
      <c r="AV158" s="399"/>
      <c r="AW158" s="378"/>
      <c r="AX158" s="399"/>
      <c r="AY158" s="399"/>
      <c r="AZ158" s="399"/>
      <c r="BA158" s="164"/>
      <c r="BB158" s="399"/>
      <c r="BC158" s="399"/>
      <c r="BD158" s="399"/>
      <c r="BE158" s="369" t="str">
        <f t="shared" ref="BE158:CB158" si="117">CONCAT(BE63,BE112)</f>
        <v/>
      </c>
      <c r="BF158" s="369" t="str">
        <f t="shared" si="117"/>
        <v/>
      </c>
      <c r="BG158" s="369" t="str">
        <f t="shared" si="117"/>
        <v/>
      </c>
      <c r="BH158" s="369" t="str">
        <f t="shared" si="117"/>
        <v/>
      </c>
      <c r="BI158" s="369" t="str">
        <f t="shared" si="117"/>
        <v/>
      </c>
      <c r="BJ158" s="369" t="str">
        <f t="shared" si="117"/>
        <v/>
      </c>
      <c r="BK158" s="369" t="str">
        <f t="shared" si="117"/>
        <v/>
      </c>
      <c r="BL158" s="369" t="str">
        <f t="shared" si="117"/>
        <v/>
      </c>
      <c r="BM158" s="369" t="str">
        <f t="shared" si="117"/>
        <v/>
      </c>
      <c r="BN158" s="369" t="str">
        <f t="shared" si="117"/>
        <v/>
      </c>
      <c r="BO158" s="369" t="str">
        <f t="shared" si="117"/>
        <v/>
      </c>
      <c r="BP158" s="369" t="str">
        <f t="shared" si="117"/>
        <v/>
      </c>
      <c r="BQ158" s="369" t="str">
        <f t="shared" si="117"/>
        <v/>
      </c>
      <c r="BR158" s="369" t="str">
        <f t="shared" si="117"/>
        <v/>
      </c>
      <c r="BS158" s="369" t="str">
        <f t="shared" si="117"/>
        <v/>
      </c>
      <c r="BT158" s="369" t="str">
        <f t="shared" si="117"/>
        <v/>
      </c>
      <c r="BU158" s="369" t="str">
        <f t="shared" si="117"/>
        <v/>
      </c>
      <c r="BV158" s="369" t="str">
        <f t="shared" si="117"/>
        <v/>
      </c>
      <c r="BW158" s="369" t="str">
        <f t="shared" si="117"/>
        <v/>
      </c>
      <c r="BX158" s="369" t="str">
        <f t="shared" si="117"/>
        <v/>
      </c>
      <c r="BY158" s="369" t="str">
        <f t="shared" si="117"/>
        <v/>
      </c>
      <c r="BZ158" s="369" t="str">
        <f t="shared" si="117"/>
        <v/>
      </c>
      <c r="CA158" s="369" t="str">
        <f t="shared" si="117"/>
        <v/>
      </c>
      <c r="CB158" s="369" t="str">
        <f t="shared" si="117"/>
        <v/>
      </c>
      <c r="CC158" s="399"/>
    </row>
    <row r="159">
      <c r="M159" s="388"/>
      <c r="AU159" s="399"/>
      <c r="AV159" s="399"/>
      <c r="AW159" s="378"/>
      <c r="AX159" s="399"/>
      <c r="AY159" s="399"/>
      <c r="AZ159" s="399"/>
      <c r="BA159" s="164"/>
      <c r="BB159" s="399"/>
      <c r="BC159" s="399"/>
      <c r="BD159" s="399"/>
      <c r="BE159" s="369" t="str">
        <f t="shared" ref="BE159:CB159" si="118">CONCAT(BE64,BE113)</f>
        <v/>
      </c>
      <c r="BF159" s="369" t="str">
        <f t="shared" si="118"/>
        <v/>
      </c>
      <c r="BG159" s="369" t="str">
        <f t="shared" si="118"/>
        <v/>
      </c>
      <c r="BH159" s="369" t="str">
        <f t="shared" si="118"/>
        <v/>
      </c>
      <c r="BI159" s="255" t="str">
        <f t="shared" si="118"/>
        <v/>
      </c>
      <c r="BJ159" s="369" t="str">
        <f t="shared" si="118"/>
        <v/>
      </c>
      <c r="BK159" s="369" t="str">
        <f t="shared" si="118"/>
        <v/>
      </c>
      <c r="BL159" s="369" t="str">
        <f t="shared" si="118"/>
        <v/>
      </c>
      <c r="BM159" s="369" t="str">
        <f t="shared" si="118"/>
        <v/>
      </c>
      <c r="BN159" s="369" t="str">
        <f t="shared" si="118"/>
        <v/>
      </c>
      <c r="BO159" s="369" t="str">
        <f t="shared" si="118"/>
        <v/>
      </c>
      <c r="BP159" s="369" t="str">
        <f t="shared" si="118"/>
        <v/>
      </c>
      <c r="BQ159" s="369" t="str">
        <f t="shared" si="118"/>
        <v/>
      </c>
      <c r="BR159" s="369" t="str">
        <f t="shared" si="118"/>
        <v/>
      </c>
      <c r="BS159" s="369" t="str">
        <f t="shared" si="118"/>
        <v/>
      </c>
      <c r="BT159" s="369" t="str">
        <f t="shared" si="118"/>
        <v/>
      </c>
      <c r="BU159" s="369" t="str">
        <f t="shared" si="118"/>
        <v/>
      </c>
      <c r="BV159" s="369" t="str">
        <f t="shared" si="118"/>
        <v/>
      </c>
      <c r="BW159" s="369" t="str">
        <f t="shared" si="118"/>
        <v/>
      </c>
      <c r="BX159" s="369" t="str">
        <f t="shared" si="118"/>
        <v/>
      </c>
      <c r="BY159" s="369" t="str">
        <f t="shared" si="118"/>
        <v/>
      </c>
      <c r="BZ159" s="369" t="str">
        <f t="shared" si="118"/>
        <v/>
      </c>
      <c r="CA159" s="369" t="str">
        <f t="shared" si="118"/>
        <v/>
      </c>
      <c r="CB159" s="369" t="str">
        <f t="shared" si="118"/>
        <v/>
      </c>
      <c r="CC159" s="399"/>
    </row>
    <row r="160">
      <c r="M160" s="388"/>
      <c r="AU160" s="399"/>
      <c r="AV160" s="399"/>
      <c r="AW160" s="378"/>
      <c r="AX160" s="399"/>
      <c r="AY160" s="399"/>
      <c r="AZ160" s="399"/>
      <c r="BA160" s="164"/>
      <c r="BB160" s="399"/>
      <c r="BC160" s="399"/>
      <c r="BD160" s="399"/>
      <c r="BE160" s="369" t="str">
        <f t="shared" ref="BE160:CB160" si="119">CONCAT(BE65,BE114)</f>
        <v>#DIV/0!</v>
      </c>
      <c r="BF160" s="369" t="str">
        <f t="shared" si="119"/>
        <v>#DIV/0!</v>
      </c>
      <c r="BG160" s="369" t="str">
        <f t="shared" si="119"/>
        <v>#DIV/0!</v>
      </c>
      <c r="BH160" s="369" t="str">
        <f t="shared" si="119"/>
        <v>#DIV/0!</v>
      </c>
      <c r="BI160" s="369" t="str">
        <f t="shared" si="119"/>
        <v>#DIV/0!</v>
      </c>
      <c r="BJ160" s="369" t="str">
        <f t="shared" si="119"/>
        <v>#DIV/0!</v>
      </c>
      <c r="BK160" s="369" t="str">
        <f t="shared" si="119"/>
        <v>#DIV/0!</v>
      </c>
      <c r="BL160" s="369" t="str">
        <f t="shared" si="119"/>
        <v>#DIV/0!</v>
      </c>
      <c r="BM160" s="369" t="str">
        <f t="shared" si="119"/>
        <v>#DIV/0!</v>
      </c>
      <c r="BN160" s="369" t="str">
        <f t="shared" si="119"/>
        <v>#DIV/0!</v>
      </c>
      <c r="BO160" s="369" t="str">
        <f t="shared" si="119"/>
        <v>#DIV/0!</v>
      </c>
      <c r="BP160" s="369" t="str">
        <f t="shared" si="119"/>
        <v>#DIV/0!</v>
      </c>
      <c r="BQ160" s="255" t="str">
        <f t="shared" si="119"/>
        <v>#DIV/0!</v>
      </c>
      <c r="BR160" s="369" t="str">
        <f t="shared" si="119"/>
        <v>#DIV/0!</v>
      </c>
      <c r="BS160" s="369" t="str">
        <f t="shared" si="119"/>
        <v>#DIV/0!</v>
      </c>
      <c r="BT160" s="369" t="str">
        <f t="shared" si="119"/>
        <v>#DIV/0!</v>
      </c>
      <c r="BU160" s="369" t="str">
        <f t="shared" si="119"/>
        <v>#DIV/0!</v>
      </c>
      <c r="BV160" s="369" t="str">
        <f t="shared" si="119"/>
        <v>#DIV/0!</v>
      </c>
      <c r="BW160" s="369" t="str">
        <f t="shared" si="119"/>
        <v>#DIV/0!</v>
      </c>
      <c r="BX160" s="369" t="str">
        <f t="shared" si="119"/>
        <v>#DIV/0!</v>
      </c>
      <c r="BY160" s="369" t="str">
        <f t="shared" si="119"/>
        <v>#DIV/0!</v>
      </c>
      <c r="BZ160" s="369" t="str">
        <f t="shared" si="119"/>
        <v>#DIV/0!</v>
      </c>
      <c r="CA160" s="369" t="str">
        <f t="shared" si="119"/>
        <v>#DIV/0!</v>
      </c>
      <c r="CB160" s="369" t="str">
        <f t="shared" si="119"/>
        <v>#DIV/0!</v>
      </c>
      <c r="CC160" s="399"/>
    </row>
    <row r="161">
      <c r="M161" s="388"/>
      <c r="AU161" s="399"/>
      <c r="AV161" s="399"/>
      <c r="AW161" s="378"/>
      <c r="AX161" s="399"/>
      <c r="AY161" s="399"/>
      <c r="AZ161" s="399"/>
      <c r="BA161" s="164"/>
      <c r="BB161" s="399"/>
      <c r="BC161" s="399"/>
      <c r="BD161" s="399"/>
      <c r="BE161" s="369" t="str">
        <f t="shared" ref="BE161:CB161" si="120">CONCAT(BE66,BE115)</f>
        <v/>
      </c>
      <c r="BF161" s="369" t="str">
        <f t="shared" si="120"/>
        <v/>
      </c>
      <c r="BG161" s="369" t="str">
        <f t="shared" si="120"/>
        <v/>
      </c>
      <c r="BH161" s="369" t="str">
        <f t="shared" si="120"/>
        <v/>
      </c>
      <c r="BI161" s="369" t="str">
        <f t="shared" si="120"/>
        <v/>
      </c>
      <c r="BJ161" s="369" t="str">
        <f t="shared" si="120"/>
        <v/>
      </c>
      <c r="BK161" s="369" t="str">
        <f t="shared" si="120"/>
        <v/>
      </c>
      <c r="BL161" s="369" t="str">
        <f t="shared" si="120"/>
        <v/>
      </c>
      <c r="BM161" s="369" t="str">
        <f t="shared" si="120"/>
        <v/>
      </c>
      <c r="BN161" s="369" t="str">
        <f t="shared" si="120"/>
        <v/>
      </c>
      <c r="BO161" s="369" t="str">
        <f t="shared" si="120"/>
        <v/>
      </c>
      <c r="BP161" s="369" t="str">
        <f t="shared" si="120"/>
        <v/>
      </c>
      <c r="BQ161" s="369" t="str">
        <f t="shared" si="120"/>
        <v/>
      </c>
      <c r="BR161" s="369" t="str">
        <f t="shared" si="120"/>
        <v/>
      </c>
      <c r="BS161" s="369" t="str">
        <f t="shared" si="120"/>
        <v/>
      </c>
      <c r="BT161" s="369" t="str">
        <f t="shared" si="120"/>
        <v/>
      </c>
      <c r="BU161" s="369" t="str">
        <f t="shared" si="120"/>
        <v/>
      </c>
      <c r="BV161" s="369" t="str">
        <f t="shared" si="120"/>
        <v/>
      </c>
      <c r="BW161" s="369" t="str">
        <f t="shared" si="120"/>
        <v/>
      </c>
      <c r="BX161" s="369" t="str">
        <f t="shared" si="120"/>
        <v/>
      </c>
      <c r="BY161" s="369" t="str">
        <f t="shared" si="120"/>
        <v/>
      </c>
      <c r="BZ161" s="369" t="str">
        <f t="shared" si="120"/>
        <v/>
      </c>
      <c r="CA161" s="369" t="str">
        <f t="shared" si="120"/>
        <v/>
      </c>
      <c r="CB161" s="369" t="str">
        <f t="shared" si="120"/>
        <v/>
      </c>
      <c r="CC161" s="399"/>
    </row>
    <row r="162">
      <c r="M162" s="388"/>
      <c r="AU162" s="399"/>
      <c r="AV162" s="399"/>
      <c r="AW162" s="378"/>
      <c r="AX162" s="399"/>
      <c r="AY162" s="399"/>
      <c r="AZ162" s="399"/>
      <c r="BA162" s="164"/>
      <c r="BB162" s="399"/>
      <c r="BC162" s="399"/>
      <c r="BD162" s="399"/>
      <c r="BE162" s="255" t="str">
        <f t="shared" ref="BE162:CB162" si="121">CONCAT(BE67,BE116)</f>
        <v>#DIV/0!</v>
      </c>
      <c r="BF162" s="255" t="str">
        <f t="shared" si="121"/>
        <v>#DIV/0!</v>
      </c>
      <c r="BG162" s="255" t="str">
        <f t="shared" si="121"/>
        <v>#DIV/0!</v>
      </c>
      <c r="BH162" s="255" t="str">
        <f t="shared" si="121"/>
        <v>#DIV/0!</v>
      </c>
      <c r="BI162" s="255" t="str">
        <f t="shared" si="121"/>
        <v>#DIV/0!</v>
      </c>
      <c r="BJ162" s="255" t="str">
        <f t="shared" si="121"/>
        <v>#DIV/0!</v>
      </c>
      <c r="BK162" s="255" t="str">
        <f t="shared" si="121"/>
        <v>#DIV/0!</v>
      </c>
      <c r="BL162" s="255" t="str">
        <f t="shared" si="121"/>
        <v>#DIV/0!</v>
      </c>
      <c r="BM162" s="255" t="str">
        <f t="shared" si="121"/>
        <v>#DIV/0!</v>
      </c>
      <c r="BN162" s="255" t="str">
        <f t="shared" si="121"/>
        <v>#DIV/0!</v>
      </c>
      <c r="BO162" s="255" t="str">
        <f t="shared" si="121"/>
        <v>#DIV/0!</v>
      </c>
      <c r="BP162" s="255" t="str">
        <f t="shared" si="121"/>
        <v>#DIV/0!</v>
      </c>
      <c r="BQ162" s="255" t="str">
        <f t="shared" si="121"/>
        <v>#DIV/0!</v>
      </c>
      <c r="BR162" s="255" t="str">
        <f t="shared" si="121"/>
        <v>#DIV/0!</v>
      </c>
      <c r="BS162" s="255" t="str">
        <f t="shared" si="121"/>
        <v>#DIV/0!</v>
      </c>
      <c r="BT162" s="255" t="str">
        <f t="shared" si="121"/>
        <v>#DIV/0!</v>
      </c>
      <c r="BU162" s="255" t="str">
        <f t="shared" si="121"/>
        <v>#DIV/0!</v>
      </c>
      <c r="BV162" s="255" t="str">
        <f t="shared" si="121"/>
        <v>#DIV/0!</v>
      </c>
      <c r="BW162" s="255" t="str">
        <f t="shared" si="121"/>
        <v>#DIV/0!</v>
      </c>
      <c r="BX162" s="255" t="str">
        <f t="shared" si="121"/>
        <v>#DIV/0!</v>
      </c>
      <c r="BY162" s="255" t="str">
        <f t="shared" si="121"/>
        <v>#DIV/0!</v>
      </c>
      <c r="BZ162" s="255" t="str">
        <f t="shared" si="121"/>
        <v>#DIV/0!</v>
      </c>
      <c r="CA162" s="255" t="str">
        <f t="shared" si="121"/>
        <v>#DIV/0!</v>
      </c>
      <c r="CB162" s="255" t="str">
        <f t="shared" si="121"/>
        <v>#DIV/0!</v>
      </c>
      <c r="CC162" s="399"/>
    </row>
    <row r="163">
      <c r="M163" s="388"/>
      <c r="AU163" s="399"/>
      <c r="AV163" s="399"/>
      <c r="AW163" s="378"/>
      <c r="AX163" s="399"/>
      <c r="AY163" s="399"/>
      <c r="AZ163" s="399"/>
      <c r="BA163" s="164"/>
      <c r="BB163" s="399"/>
      <c r="BC163" s="399"/>
      <c r="BD163" s="399"/>
      <c r="BE163" s="369" t="str">
        <f t="shared" ref="BE163:CB163" si="122">CONCAT(BE68,BE117)</f>
        <v/>
      </c>
      <c r="BF163" s="369" t="str">
        <f t="shared" si="122"/>
        <v/>
      </c>
      <c r="BG163" s="255" t="str">
        <f t="shared" si="122"/>
        <v/>
      </c>
      <c r="BH163" s="369" t="str">
        <f t="shared" si="122"/>
        <v/>
      </c>
      <c r="BI163" s="369" t="str">
        <f t="shared" si="122"/>
        <v/>
      </c>
      <c r="BJ163" s="369" t="str">
        <f t="shared" si="122"/>
        <v/>
      </c>
      <c r="BK163" s="369" t="str">
        <f t="shared" si="122"/>
        <v/>
      </c>
      <c r="BL163" s="369" t="str">
        <f t="shared" si="122"/>
        <v/>
      </c>
      <c r="BM163" s="369" t="str">
        <f t="shared" si="122"/>
        <v/>
      </c>
      <c r="BN163" s="369" t="str">
        <f t="shared" si="122"/>
        <v/>
      </c>
      <c r="BO163" s="369" t="str">
        <f t="shared" si="122"/>
        <v/>
      </c>
      <c r="BP163" s="369" t="str">
        <f t="shared" si="122"/>
        <v/>
      </c>
      <c r="BQ163" s="369" t="str">
        <f t="shared" si="122"/>
        <v/>
      </c>
      <c r="BR163" s="369" t="str">
        <f t="shared" si="122"/>
        <v/>
      </c>
      <c r="BS163" s="369" t="str">
        <f t="shared" si="122"/>
        <v/>
      </c>
      <c r="BT163" s="369" t="str">
        <f t="shared" si="122"/>
        <v/>
      </c>
      <c r="BU163" s="369" t="str">
        <f t="shared" si="122"/>
        <v/>
      </c>
      <c r="BV163" s="369" t="str">
        <f t="shared" si="122"/>
        <v/>
      </c>
      <c r="BW163" s="369" t="str">
        <f t="shared" si="122"/>
        <v/>
      </c>
      <c r="BX163" s="369" t="str">
        <f t="shared" si="122"/>
        <v/>
      </c>
      <c r="BY163" s="369" t="str">
        <f t="shared" si="122"/>
        <v/>
      </c>
      <c r="BZ163" s="369" t="str">
        <f t="shared" si="122"/>
        <v/>
      </c>
      <c r="CA163" s="369" t="str">
        <f t="shared" si="122"/>
        <v/>
      </c>
      <c r="CB163" s="369" t="str">
        <f t="shared" si="122"/>
        <v/>
      </c>
      <c r="CC163" s="399"/>
    </row>
    <row r="164">
      <c r="M164" s="388"/>
      <c r="AU164" s="399"/>
      <c r="AV164" s="399"/>
      <c r="AW164" s="378"/>
      <c r="AX164" s="399"/>
      <c r="AY164" s="399"/>
      <c r="AZ164" s="399"/>
      <c r="BA164" s="164"/>
      <c r="BB164" s="399"/>
      <c r="BC164" s="399"/>
      <c r="BD164" s="399"/>
      <c r="BE164" s="369" t="str">
        <f t="shared" ref="BE164:CB164" si="123">CONCAT(BE69,BE118)</f>
        <v>#DIV/0!</v>
      </c>
      <c r="BF164" s="369" t="str">
        <f t="shared" si="123"/>
        <v>#DIV/0!</v>
      </c>
      <c r="BG164" s="369" t="str">
        <f t="shared" si="123"/>
        <v>#DIV/0!</v>
      </c>
      <c r="BH164" s="369" t="str">
        <f t="shared" si="123"/>
        <v>#DIV/0!</v>
      </c>
      <c r="BI164" s="369" t="str">
        <f t="shared" si="123"/>
        <v>#DIV/0!</v>
      </c>
      <c r="BJ164" s="369" t="str">
        <f t="shared" si="123"/>
        <v>#DIV/0!</v>
      </c>
      <c r="BK164" s="369" t="str">
        <f t="shared" si="123"/>
        <v>#DIV/0!</v>
      </c>
      <c r="BL164" s="369" t="str">
        <f t="shared" si="123"/>
        <v>#DIV/0!</v>
      </c>
      <c r="BM164" s="369" t="str">
        <f t="shared" si="123"/>
        <v>#DIV/0!</v>
      </c>
      <c r="BN164" s="369" t="str">
        <f t="shared" si="123"/>
        <v>#DIV/0!</v>
      </c>
      <c r="BO164" s="369" t="str">
        <f t="shared" si="123"/>
        <v>#DIV/0!</v>
      </c>
      <c r="BP164" s="369" t="str">
        <f t="shared" si="123"/>
        <v>#DIV/0!</v>
      </c>
      <c r="BQ164" s="369" t="str">
        <f t="shared" si="123"/>
        <v>#DIV/0!</v>
      </c>
      <c r="BR164" s="369" t="str">
        <f t="shared" si="123"/>
        <v>#DIV/0!</v>
      </c>
      <c r="BS164" s="369" t="str">
        <f t="shared" si="123"/>
        <v>#DIV/0!</v>
      </c>
      <c r="BT164" s="369" t="str">
        <f t="shared" si="123"/>
        <v>#DIV/0!</v>
      </c>
      <c r="BU164" s="369" t="str">
        <f t="shared" si="123"/>
        <v>#DIV/0!</v>
      </c>
      <c r="BV164" s="369" t="str">
        <f t="shared" si="123"/>
        <v>#DIV/0!</v>
      </c>
      <c r="BW164" s="369" t="str">
        <f t="shared" si="123"/>
        <v>#DIV/0!</v>
      </c>
      <c r="BX164" s="369" t="str">
        <f t="shared" si="123"/>
        <v>#DIV/0!</v>
      </c>
      <c r="BY164" s="369" t="str">
        <f t="shared" si="123"/>
        <v>#DIV/0!</v>
      </c>
      <c r="BZ164" s="369" t="str">
        <f t="shared" si="123"/>
        <v>#DIV/0!</v>
      </c>
      <c r="CA164" s="369" t="str">
        <f t="shared" si="123"/>
        <v>#DIV/0!</v>
      </c>
      <c r="CB164" s="369" t="str">
        <f t="shared" si="123"/>
        <v>#DIV/0!</v>
      </c>
      <c r="CC164" s="399"/>
    </row>
    <row r="165">
      <c r="M165" s="388"/>
      <c r="AU165" s="399"/>
      <c r="AV165" s="399"/>
      <c r="AW165" s="378"/>
      <c r="AX165" s="399"/>
      <c r="AY165" s="399"/>
      <c r="AZ165" s="399"/>
      <c r="BA165" s="164"/>
      <c r="BB165" s="399"/>
      <c r="BC165" s="399"/>
      <c r="BD165" s="399"/>
      <c r="BE165" s="369" t="str">
        <f t="shared" ref="BE165:CB165" si="124">CONCAT(BE70,BE119)</f>
        <v>#DIV/0!</v>
      </c>
      <c r="BF165" s="369" t="str">
        <f t="shared" si="124"/>
        <v>#DIV/0!</v>
      </c>
      <c r="BG165" s="369" t="str">
        <f t="shared" si="124"/>
        <v>#DIV/0!</v>
      </c>
      <c r="BH165" s="369" t="str">
        <f t="shared" si="124"/>
        <v>#DIV/0!</v>
      </c>
      <c r="BI165" s="369" t="str">
        <f t="shared" si="124"/>
        <v>#DIV/0!</v>
      </c>
      <c r="BJ165" s="369" t="str">
        <f t="shared" si="124"/>
        <v>#DIV/0!</v>
      </c>
      <c r="BK165" s="369" t="str">
        <f t="shared" si="124"/>
        <v>#DIV/0!</v>
      </c>
      <c r="BL165" s="369" t="str">
        <f t="shared" si="124"/>
        <v>#DIV/0!</v>
      </c>
      <c r="BM165" s="369" t="str">
        <f t="shared" si="124"/>
        <v>#DIV/0!</v>
      </c>
      <c r="BN165" s="369" t="str">
        <f t="shared" si="124"/>
        <v>#DIV/0!</v>
      </c>
      <c r="BO165" s="369" t="str">
        <f t="shared" si="124"/>
        <v>#DIV/0!</v>
      </c>
      <c r="BP165" s="369" t="str">
        <f t="shared" si="124"/>
        <v>#DIV/0!</v>
      </c>
      <c r="BQ165" s="369" t="str">
        <f t="shared" si="124"/>
        <v>#DIV/0!</v>
      </c>
      <c r="BR165" s="369" t="str">
        <f t="shared" si="124"/>
        <v>#DIV/0!</v>
      </c>
      <c r="BS165" s="369" t="str">
        <f t="shared" si="124"/>
        <v>#DIV/0!</v>
      </c>
      <c r="BT165" s="369" t="str">
        <f t="shared" si="124"/>
        <v>#DIV/0!</v>
      </c>
      <c r="BU165" s="369" t="str">
        <f t="shared" si="124"/>
        <v>#DIV/0!</v>
      </c>
      <c r="BV165" s="369" t="str">
        <f t="shared" si="124"/>
        <v>#DIV/0!</v>
      </c>
      <c r="BW165" s="369" t="str">
        <f t="shared" si="124"/>
        <v>#DIV/0!</v>
      </c>
      <c r="BX165" s="369" t="str">
        <f t="shared" si="124"/>
        <v>#DIV/0!</v>
      </c>
      <c r="BY165" s="369" t="str">
        <f t="shared" si="124"/>
        <v>#DIV/0!</v>
      </c>
      <c r="BZ165" s="369" t="str">
        <f t="shared" si="124"/>
        <v>#DIV/0!</v>
      </c>
      <c r="CA165" s="369" t="str">
        <f t="shared" si="124"/>
        <v>#DIV/0!</v>
      </c>
      <c r="CB165" s="369" t="str">
        <f t="shared" si="124"/>
        <v>#DIV/0!</v>
      </c>
      <c r="CC165" s="399"/>
    </row>
    <row r="166">
      <c r="M166" s="388"/>
      <c r="AU166" s="399"/>
      <c r="AV166" s="399"/>
      <c r="AW166" s="378"/>
      <c r="AX166" s="399"/>
      <c r="AY166" s="399"/>
      <c r="AZ166" s="399"/>
      <c r="BA166" s="164"/>
      <c r="BB166" s="399"/>
      <c r="BC166" s="399"/>
      <c r="BD166" s="399"/>
      <c r="BE166" s="369" t="str">
        <f t="shared" ref="BE166:CB166" si="125">CONCAT(BE71,BE120)</f>
        <v>#DIV/0!</v>
      </c>
      <c r="BF166" s="369" t="str">
        <f t="shared" si="125"/>
        <v>#DIV/0!</v>
      </c>
      <c r="BG166" s="369" t="str">
        <f t="shared" si="125"/>
        <v>#DIV/0!</v>
      </c>
      <c r="BH166" s="369" t="str">
        <f t="shared" si="125"/>
        <v>#DIV/0!</v>
      </c>
      <c r="BI166" s="369" t="str">
        <f t="shared" si="125"/>
        <v>#DIV/0!</v>
      </c>
      <c r="BJ166" s="369" t="str">
        <f t="shared" si="125"/>
        <v>#DIV/0!</v>
      </c>
      <c r="BK166" s="369" t="str">
        <f t="shared" si="125"/>
        <v>#DIV/0!</v>
      </c>
      <c r="BL166" s="369" t="str">
        <f t="shared" si="125"/>
        <v>#DIV/0!</v>
      </c>
      <c r="BM166" s="369" t="str">
        <f t="shared" si="125"/>
        <v>#DIV/0!</v>
      </c>
      <c r="BN166" s="255" t="str">
        <f t="shared" si="125"/>
        <v>#DIV/0!</v>
      </c>
      <c r="BO166" s="369" t="str">
        <f t="shared" si="125"/>
        <v>#DIV/0!</v>
      </c>
      <c r="BP166" s="369" t="str">
        <f t="shared" si="125"/>
        <v>#DIV/0!</v>
      </c>
      <c r="BQ166" s="369" t="str">
        <f t="shared" si="125"/>
        <v>#DIV/0!</v>
      </c>
      <c r="BR166" s="369" t="str">
        <f t="shared" si="125"/>
        <v>#DIV/0!</v>
      </c>
      <c r="BS166" s="369" t="str">
        <f t="shared" si="125"/>
        <v>#DIV/0!</v>
      </c>
      <c r="BT166" s="369" t="str">
        <f t="shared" si="125"/>
        <v>#DIV/0!</v>
      </c>
      <c r="BU166" s="369" t="str">
        <f t="shared" si="125"/>
        <v>#DIV/0!</v>
      </c>
      <c r="BV166" s="369" t="str">
        <f t="shared" si="125"/>
        <v>#DIV/0!</v>
      </c>
      <c r="BW166" s="369" t="str">
        <f t="shared" si="125"/>
        <v>#DIV/0!</v>
      </c>
      <c r="BX166" s="369" t="str">
        <f t="shared" si="125"/>
        <v>#DIV/0!</v>
      </c>
      <c r="BY166" s="369" t="str">
        <f t="shared" si="125"/>
        <v>#DIV/0!</v>
      </c>
      <c r="BZ166" s="369" t="str">
        <f t="shared" si="125"/>
        <v>#DIV/0!</v>
      </c>
      <c r="CA166" s="369" t="str">
        <f t="shared" si="125"/>
        <v>#DIV/0!</v>
      </c>
      <c r="CB166" s="369" t="str">
        <f t="shared" si="125"/>
        <v>#DIV/0!</v>
      </c>
      <c r="CC166" s="399"/>
    </row>
    <row r="167">
      <c r="M167" s="388"/>
      <c r="AU167" s="399"/>
      <c r="AV167" s="399"/>
      <c r="AW167" s="378"/>
      <c r="AX167" s="399"/>
      <c r="AY167" s="399"/>
      <c r="AZ167" s="399"/>
      <c r="BA167" s="164"/>
      <c r="BB167" s="399"/>
      <c r="BC167" s="399"/>
      <c r="BD167" s="399"/>
      <c r="BE167" s="369" t="str">
        <f t="shared" ref="BE167:CB167" si="126">CONCAT(BE72,BE121)</f>
        <v/>
      </c>
      <c r="BF167" s="369" t="str">
        <f t="shared" si="126"/>
        <v/>
      </c>
      <c r="BG167" s="369" t="str">
        <f t="shared" si="126"/>
        <v/>
      </c>
      <c r="BH167" s="255" t="str">
        <f t="shared" si="126"/>
        <v/>
      </c>
      <c r="BI167" s="369" t="str">
        <f t="shared" si="126"/>
        <v/>
      </c>
      <c r="BJ167" s="369" t="str">
        <f t="shared" si="126"/>
        <v/>
      </c>
      <c r="BK167" s="369" t="str">
        <f t="shared" si="126"/>
        <v/>
      </c>
      <c r="BL167" s="369" t="str">
        <f t="shared" si="126"/>
        <v/>
      </c>
      <c r="BM167" s="369" t="str">
        <f t="shared" si="126"/>
        <v/>
      </c>
      <c r="BN167" s="369" t="str">
        <f t="shared" si="126"/>
        <v/>
      </c>
      <c r="BO167" s="369" t="str">
        <f t="shared" si="126"/>
        <v/>
      </c>
      <c r="BP167" s="369" t="str">
        <f t="shared" si="126"/>
        <v/>
      </c>
      <c r="BQ167" s="369" t="str">
        <f t="shared" si="126"/>
        <v/>
      </c>
      <c r="BR167" s="369" t="str">
        <f t="shared" si="126"/>
        <v/>
      </c>
      <c r="BS167" s="369" t="str">
        <f t="shared" si="126"/>
        <v/>
      </c>
      <c r="BT167" s="369" t="str">
        <f t="shared" si="126"/>
        <v/>
      </c>
      <c r="BU167" s="369" t="str">
        <f t="shared" si="126"/>
        <v/>
      </c>
      <c r="BV167" s="369" t="str">
        <f t="shared" si="126"/>
        <v/>
      </c>
      <c r="BW167" s="369" t="str">
        <f t="shared" si="126"/>
        <v/>
      </c>
      <c r="BX167" s="369" t="str">
        <f t="shared" si="126"/>
        <v/>
      </c>
      <c r="BY167" s="369" t="str">
        <f t="shared" si="126"/>
        <v/>
      </c>
      <c r="BZ167" s="369" t="str">
        <f t="shared" si="126"/>
        <v/>
      </c>
      <c r="CA167" s="369" t="str">
        <f t="shared" si="126"/>
        <v/>
      </c>
      <c r="CB167" s="369" t="str">
        <f t="shared" si="126"/>
        <v/>
      </c>
      <c r="CC167" s="399"/>
    </row>
    <row r="168">
      <c r="M168" s="388"/>
      <c r="AU168" s="399"/>
      <c r="AV168" s="399"/>
      <c r="AW168" s="378"/>
      <c r="AX168" s="399"/>
      <c r="AY168" s="399"/>
      <c r="AZ168" s="399"/>
      <c r="BA168" s="164"/>
      <c r="BB168" s="399"/>
      <c r="BC168" s="399"/>
      <c r="BD168" s="399"/>
      <c r="BE168" s="369" t="str">
        <f t="shared" ref="BE168:CB168" si="127">CONCAT(BE73,BE122)</f>
        <v>#DIV/0!</v>
      </c>
      <c r="BF168" s="369" t="str">
        <f t="shared" si="127"/>
        <v>#DIV/0!</v>
      </c>
      <c r="BG168" s="369" t="str">
        <f t="shared" si="127"/>
        <v>#DIV/0!</v>
      </c>
      <c r="BH168" s="369" t="str">
        <f t="shared" si="127"/>
        <v>#DIV/0!</v>
      </c>
      <c r="BI168" s="255" t="str">
        <f t="shared" si="127"/>
        <v>#DIV/0!</v>
      </c>
      <c r="BJ168" s="369" t="str">
        <f t="shared" si="127"/>
        <v>#DIV/0!</v>
      </c>
      <c r="BK168" s="369" t="str">
        <f t="shared" si="127"/>
        <v>#DIV/0!</v>
      </c>
      <c r="BL168" s="369" t="str">
        <f t="shared" si="127"/>
        <v>#DIV/0!</v>
      </c>
      <c r="BM168" s="369" t="str">
        <f t="shared" si="127"/>
        <v>#DIV/0!</v>
      </c>
      <c r="BN168" s="369" t="str">
        <f t="shared" si="127"/>
        <v>#DIV/0!</v>
      </c>
      <c r="BO168" s="369" t="str">
        <f t="shared" si="127"/>
        <v>#DIV/0!</v>
      </c>
      <c r="BP168" s="369" t="str">
        <f t="shared" si="127"/>
        <v>#DIV/0!</v>
      </c>
      <c r="BQ168" s="369" t="str">
        <f t="shared" si="127"/>
        <v>#DIV/0!</v>
      </c>
      <c r="BR168" s="369" t="str">
        <f t="shared" si="127"/>
        <v>#DIV/0!</v>
      </c>
      <c r="BS168" s="369" t="str">
        <f t="shared" si="127"/>
        <v>#DIV/0!</v>
      </c>
      <c r="BT168" s="369" t="str">
        <f t="shared" si="127"/>
        <v>#DIV/0!</v>
      </c>
      <c r="BU168" s="369" t="str">
        <f t="shared" si="127"/>
        <v>#DIV/0!</v>
      </c>
      <c r="BV168" s="369" t="str">
        <f t="shared" si="127"/>
        <v>#DIV/0!</v>
      </c>
      <c r="BW168" s="369" t="str">
        <f t="shared" si="127"/>
        <v>#DIV/0!</v>
      </c>
      <c r="BX168" s="369" t="str">
        <f t="shared" si="127"/>
        <v>#DIV/0!</v>
      </c>
      <c r="BY168" s="369" t="str">
        <f t="shared" si="127"/>
        <v>#DIV/0!</v>
      </c>
      <c r="BZ168" s="369" t="str">
        <f t="shared" si="127"/>
        <v>#DIV/0!</v>
      </c>
      <c r="CA168" s="369" t="str">
        <f t="shared" si="127"/>
        <v>#DIV/0!</v>
      </c>
      <c r="CB168" s="369" t="str">
        <f t="shared" si="127"/>
        <v>#DIV/0!</v>
      </c>
      <c r="CC168" s="399"/>
    </row>
    <row r="169">
      <c r="M169" s="388"/>
      <c r="AU169" s="399"/>
      <c r="AV169" s="399"/>
      <c r="AW169" s="378"/>
      <c r="AX169" s="399"/>
      <c r="AY169" s="399"/>
      <c r="AZ169" s="399"/>
      <c r="BA169" s="164"/>
      <c r="BB169" s="399"/>
      <c r="BC169" s="399"/>
      <c r="BD169" s="399"/>
      <c r="BE169" s="255" t="str">
        <f t="shared" ref="BE169:CB169" si="128">CONCAT(BE74,BE123)</f>
        <v>#DIV/0!</v>
      </c>
      <c r="BF169" s="369" t="str">
        <f t="shared" si="128"/>
        <v>#DIV/0!</v>
      </c>
      <c r="BG169" s="369" t="str">
        <f t="shared" si="128"/>
        <v>#DIV/0!</v>
      </c>
      <c r="BH169" s="369" t="str">
        <f t="shared" si="128"/>
        <v>#DIV/0!</v>
      </c>
      <c r="BI169" s="369" t="str">
        <f t="shared" si="128"/>
        <v>#DIV/0!</v>
      </c>
      <c r="BJ169" s="369" t="str">
        <f t="shared" si="128"/>
        <v>#DIV/0!</v>
      </c>
      <c r="BK169" s="369" t="str">
        <f t="shared" si="128"/>
        <v>#DIV/0!</v>
      </c>
      <c r="BL169" s="369" t="str">
        <f t="shared" si="128"/>
        <v>#DIV/0!</v>
      </c>
      <c r="BM169" s="369" t="str">
        <f t="shared" si="128"/>
        <v>#DIV/0!</v>
      </c>
      <c r="BN169" s="369" t="str">
        <f t="shared" si="128"/>
        <v>#DIV/0!</v>
      </c>
      <c r="BO169" s="369" t="str">
        <f t="shared" si="128"/>
        <v>#DIV/0!</v>
      </c>
      <c r="BP169" s="369" t="str">
        <f t="shared" si="128"/>
        <v>#DIV/0!</v>
      </c>
      <c r="BQ169" s="369" t="str">
        <f t="shared" si="128"/>
        <v>#DIV/0!</v>
      </c>
      <c r="BR169" s="369" t="str">
        <f t="shared" si="128"/>
        <v>#DIV/0!</v>
      </c>
      <c r="BS169" s="369" t="str">
        <f t="shared" si="128"/>
        <v>#DIV/0!</v>
      </c>
      <c r="BT169" s="369" t="str">
        <f t="shared" si="128"/>
        <v>#DIV/0!</v>
      </c>
      <c r="BU169" s="369" t="str">
        <f t="shared" si="128"/>
        <v>#DIV/0!</v>
      </c>
      <c r="BV169" s="369" t="str">
        <f t="shared" si="128"/>
        <v>#DIV/0!</v>
      </c>
      <c r="BW169" s="369" t="str">
        <f t="shared" si="128"/>
        <v>#DIV/0!</v>
      </c>
      <c r="BX169" s="369" t="str">
        <f t="shared" si="128"/>
        <v>#DIV/0!</v>
      </c>
      <c r="BY169" s="369" t="str">
        <f t="shared" si="128"/>
        <v>#DIV/0!</v>
      </c>
      <c r="BZ169" s="369" t="str">
        <f t="shared" si="128"/>
        <v>#DIV/0!</v>
      </c>
      <c r="CA169" s="369" t="str">
        <f t="shared" si="128"/>
        <v>#DIV/0!</v>
      </c>
      <c r="CB169" s="369" t="str">
        <f t="shared" si="128"/>
        <v>#DIV/0!</v>
      </c>
      <c r="CC169" s="399"/>
    </row>
    <row r="170">
      <c r="M170" s="388"/>
      <c r="AU170" s="399"/>
      <c r="AV170" s="399"/>
      <c r="AW170" s="378"/>
      <c r="AX170" s="399"/>
      <c r="AY170" s="399"/>
      <c r="AZ170" s="399"/>
      <c r="BA170" s="164"/>
      <c r="BB170" s="399"/>
      <c r="BC170" s="399"/>
      <c r="BD170" s="399"/>
      <c r="BE170" s="255" t="str">
        <f t="shared" ref="BE170:CB170" si="129">CONCAT(BE75,BE124)</f>
        <v/>
      </c>
      <c r="BF170" s="369" t="str">
        <f t="shared" si="129"/>
        <v/>
      </c>
      <c r="BG170" s="369" t="str">
        <f t="shared" si="129"/>
        <v/>
      </c>
      <c r="BH170" s="369" t="str">
        <f t="shared" si="129"/>
        <v/>
      </c>
      <c r="BI170" s="369" t="str">
        <f t="shared" si="129"/>
        <v/>
      </c>
      <c r="BJ170" s="369" t="str">
        <f t="shared" si="129"/>
        <v/>
      </c>
      <c r="BK170" s="369" t="str">
        <f t="shared" si="129"/>
        <v/>
      </c>
      <c r="BL170" s="369" t="str">
        <f t="shared" si="129"/>
        <v/>
      </c>
      <c r="BM170" s="369" t="str">
        <f t="shared" si="129"/>
        <v/>
      </c>
      <c r="BN170" s="369" t="str">
        <f t="shared" si="129"/>
        <v/>
      </c>
      <c r="BO170" s="369" t="str">
        <f t="shared" si="129"/>
        <v/>
      </c>
      <c r="BP170" s="369" t="str">
        <f t="shared" si="129"/>
        <v/>
      </c>
      <c r="BQ170" s="369" t="str">
        <f t="shared" si="129"/>
        <v/>
      </c>
      <c r="BR170" s="369" t="str">
        <f t="shared" si="129"/>
        <v/>
      </c>
      <c r="BS170" s="369" t="str">
        <f t="shared" si="129"/>
        <v/>
      </c>
      <c r="BT170" s="369" t="str">
        <f t="shared" si="129"/>
        <v/>
      </c>
      <c r="BU170" s="369" t="str">
        <f t="shared" si="129"/>
        <v/>
      </c>
      <c r="BV170" s="369" t="str">
        <f t="shared" si="129"/>
        <v/>
      </c>
      <c r="BW170" s="369" t="str">
        <f t="shared" si="129"/>
        <v/>
      </c>
      <c r="BX170" s="369" t="str">
        <f t="shared" si="129"/>
        <v/>
      </c>
      <c r="BY170" s="369" t="str">
        <f t="shared" si="129"/>
        <v/>
      </c>
      <c r="BZ170" s="369" t="str">
        <f t="shared" si="129"/>
        <v/>
      </c>
      <c r="CA170" s="369" t="str">
        <f t="shared" si="129"/>
        <v/>
      </c>
      <c r="CB170" s="369" t="str">
        <f t="shared" si="129"/>
        <v/>
      </c>
      <c r="CC170" s="399"/>
    </row>
    <row r="171">
      <c r="M171" s="388"/>
      <c r="AU171" s="399"/>
      <c r="AV171" s="399"/>
      <c r="AW171" s="378"/>
      <c r="AX171" s="399"/>
      <c r="AY171" s="399"/>
      <c r="AZ171" s="399"/>
      <c r="BA171" s="164"/>
      <c r="BB171" s="399"/>
      <c r="BC171" s="399"/>
      <c r="BD171" s="399"/>
      <c r="BE171" s="255" t="str">
        <f t="shared" ref="BE171:CB171" si="130">CONCAT(BE76,BE125)</f>
        <v>#DIV/0!</v>
      </c>
      <c r="BF171" s="255" t="str">
        <f t="shared" si="130"/>
        <v>#DIV/0!</v>
      </c>
      <c r="BG171" s="255" t="str">
        <f t="shared" si="130"/>
        <v>#DIV/0!</v>
      </c>
      <c r="BH171" s="255" t="str">
        <f t="shared" si="130"/>
        <v>#DIV/0!</v>
      </c>
      <c r="BI171" s="255" t="str">
        <f t="shared" si="130"/>
        <v>#DIV/0!</v>
      </c>
      <c r="BJ171" s="255" t="str">
        <f t="shared" si="130"/>
        <v>#DIV/0!</v>
      </c>
      <c r="BK171" s="255" t="str">
        <f t="shared" si="130"/>
        <v>#DIV/0!</v>
      </c>
      <c r="BL171" s="255" t="str">
        <f t="shared" si="130"/>
        <v>#DIV/0!</v>
      </c>
      <c r="BM171" s="255" t="str">
        <f t="shared" si="130"/>
        <v>#DIV/0!</v>
      </c>
      <c r="BN171" s="255" t="str">
        <f t="shared" si="130"/>
        <v>#DIV/0!</v>
      </c>
      <c r="BO171" s="255" t="str">
        <f t="shared" si="130"/>
        <v>#DIV/0!</v>
      </c>
      <c r="BP171" s="255" t="str">
        <f t="shared" si="130"/>
        <v>#DIV/0!</v>
      </c>
      <c r="BQ171" s="255" t="str">
        <f t="shared" si="130"/>
        <v>#DIV/0!</v>
      </c>
      <c r="BR171" s="255" t="str">
        <f t="shared" si="130"/>
        <v>#DIV/0!</v>
      </c>
      <c r="BS171" s="255" t="str">
        <f t="shared" si="130"/>
        <v>#DIV/0!</v>
      </c>
      <c r="BT171" s="255" t="str">
        <f t="shared" si="130"/>
        <v>#DIV/0!</v>
      </c>
      <c r="BU171" s="255" t="str">
        <f t="shared" si="130"/>
        <v>#DIV/0!</v>
      </c>
      <c r="BV171" s="255" t="str">
        <f t="shared" si="130"/>
        <v>#DIV/0!</v>
      </c>
      <c r="BW171" s="255" t="str">
        <f t="shared" si="130"/>
        <v>#DIV/0!</v>
      </c>
      <c r="BX171" s="255" t="str">
        <f t="shared" si="130"/>
        <v>#DIV/0!</v>
      </c>
      <c r="BY171" s="255" t="str">
        <f t="shared" si="130"/>
        <v>#DIV/0!</v>
      </c>
      <c r="BZ171" s="255" t="str">
        <f t="shared" si="130"/>
        <v>#DIV/0!</v>
      </c>
      <c r="CA171" s="255" t="str">
        <f t="shared" si="130"/>
        <v>#DIV/0!</v>
      </c>
      <c r="CB171" s="255" t="str">
        <f t="shared" si="130"/>
        <v>#DIV/0!</v>
      </c>
      <c r="CC171" s="399"/>
    </row>
    <row r="172">
      <c r="M172" s="388"/>
      <c r="AU172" s="399"/>
      <c r="AV172" s="399"/>
      <c r="AW172" s="378"/>
      <c r="AX172" s="399"/>
      <c r="AY172" s="399"/>
      <c r="AZ172" s="399"/>
      <c r="BA172" s="164"/>
      <c r="BB172" s="399"/>
      <c r="BC172" s="399"/>
      <c r="BD172" s="399"/>
      <c r="BE172" s="255" t="str">
        <f t="shared" ref="BE172:CB172" si="131">CONCAT(BE77,BE126)</f>
        <v>#DIV/0!</v>
      </c>
      <c r="BF172" s="369" t="str">
        <f t="shared" si="131"/>
        <v>#DIV/0!</v>
      </c>
      <c r="BG172" s="369" t="str">
        <f t="shared" si="131"/>
        <v>#DIV/0!</v>
      </c>
      <c r="BH172" s="369" t="str">
        <f t="shared" si="131"/>
        <v>#DIV/0!</v>
      </c>
      <c r="BI172" s="369" t="str">
        <f t="shared" si="131"/>
        <v>#DIV/0!</v>
      </c>
      <c r="BJ172" s="369" t="str">
        <f t="shared" si="131"/>
        <v>#DIV/0!</v>
      </c>
      <c r="BK172" s="369" t="str">
        <f t="shared" si="131"/>
        <v>#DIV/0!</v>
      </c>
      <c r="BL172" s="369" t="str">
        <f t="shared" si="131"/>
        <v>#DIV/0!</v>
      </c>
      <c r="BM172" s="369" t="str">
        <f t="shared" si="131"/>
        <v>#DIV/0!</v>
      </c>
      <c r="BN172" s="369" t="str">
        <f t="shared" si="131"/>
        <v>#DIV/0!</v>
      </c>
      <c r="BO172" s="369" t="str">
        <f t="shared" si="131"/>
        <v>#DIV/0!</v>
      </c>
      <c r="BP172" s="369" t="str">
        <f t="shared" si="131"/>
        <v>#DIV/0!</v>
      </c>
      <c r="BQ172" s="369" t="str">
        <f t="shared" si="131"/>
        <v>#DIV/0!</v>
      </c>
      <c r="BR172" s="369" t="str">
        <f t="shared" si="131"/>
        <v>#DIV/0!</v>
      </c>
      <c r="BS172" s="369" t="str">
        <f t="shared" si="131"/>
        <v>#DIV/0!</v>
      </c>
      <c r="BT172" s="369" t="str">
        <f t="shared" si="131"/>
        <v>#DIV/0!</v>
      </c>
      <c r="BU172" s="369" t="str">
        <f t="shared" si="131"/>
        <v>#DIV/0!</v>
      </c>
      <c r="BV172" s="369" t="str">
        <f t="shared" si="131"/>
        <v>#DIV/0!</v>
      </c>
      <c r="BW172" s="369" t="str">
        <f t="shared" si="131"/>
        <v>#DIV/0!</v>
      </c>
      <c r="BX172" s="369" t="str">
        <f t="shared" si="131"/>
        <v>#DIV/0!</v>
      </c>
      <c r="BY172" s="369" t="str">
        <f t="shared" si="131"/>
        <v>#DIV/0!</v>
      </c>
      <c r="BZ172" s="369" t="str">
        <f t="shared" si="131"/>
        <v>#DIV/0!</v>
      </c>
      <c r="CA172" s="369" t="str">
        <f t="shared" si="131"/>
        <v>#DIV/0!</v>
      </c>
      <c r="CB172" s="369" t="str">
        <f t="shared" si="131"/>
        <v>#DIV/0!</v>
      </c>
      <c r="CC172" s="399"/>
    </row>
    <row r="173">
      <c r="M173" s="388"/>
      <c r="AU173" s="399"/>
      <c r="AV173" s="399"/>
      <c r="AW173" s="378"/>
      <c r="AX173" s="399"/>
      <c r="AY173" s="399"/>
      <c r="AZ173" s="399"/>
      <c r="BA173" s="164"/>
      <c r="BB173" s="399"/>
      <c r="BC173" s="399"/>
      <c r="BD173" s="399"/>
      <c r="BE173" s="255" t="str">
        <f t="shared" ref="BE173:CB173" si="132">CONCAT(BE78,BE127)</f>
        <v/>
      </c>
      <c r="BF173" s="255" t="str">
        <f t="shared" si="132"/>
        <v/>
      </c>
      <c r="BG173" s="255" t="str">
        <f t="shared" si="132"/>
        <v/>
      </c>
      <c r="BH173" s="255" t="str">
        <f t="shared" si="132"/>
        <v/>
      </c>
      <c r="BI173" s="255" t="str">
        <f t="shared" si="132"/>
        <v/>
      </c>
      <c r="BJ173" s="255" t="str">
        <f t="shared" si="132"/>
        <v/>
      </c>
      <c r="BK173" s="255" t="str">
        <f t="shared" si="132"/>
        <v/>
      </c>
      <c r="BL173" s="255" t="str">
        <f t="shared" si="132"/>
        <v/>
      </c>
      <c r="BM173" s="255" t="str">
        <f t="shared" si="132"/>
        <v/>
      </c>
      <c r="BN173" s="255" t="str">
        <f t="shared" si="132"/>
        <v/>
      </c>
      <c r="BO173" s="255" t="str">
        <f t="shared" si="132"/>
        <v/>
      </c>
      <c r="BP173" s="255" t="str">
        <f t="shared" si="132"/>
        <v/>
      </c>
      <c r="BQ173" s="255" t="str">
        <f t="shared" si="132"/>
        <v>HSI</v>
      </c>
      <c r="BR173" s="255" t="str">
        <f t="shared" si="132"/>
        <v/>
      </c>
      <c r="BS173" s="255" t="str">
        <f t="shared" si="132"/>
        <v/>
      </c>
      <c r="BT173" s="255" t="str">
        <f t="shared" si="132"/>
        <v/>
      </c>
      <c r="BU173" s="255" t="str">
        <f t="shared" si="132"/>
        <v/>
      </c>
      <c r="BV173" s="255" t="str">
        <f t="shared" si="132"/>
        <v/>
      </c>
      <c r="BW173" s="255" t="str">
        <f t="shared" si="132"/>
        <v/>
      </c>
      <c r="BX173" s="255" t="str">
        <f t="shared" si="132"/>
        <v/>
      </c>
      <c r="BY173" s="255" t="str">
        <f t="shared" si="132"/>
        <v/>
      </c>
      <c r="BZ173" s="255" t="str">
        <f t="shared" si="132"/>
        <v/>
      </c>
      <c r="CA173" s="255" t="str">
        <f t="shared" si="132"/>
        <v/>
      </c>
      <c r="CB173" s="255" t="str">
        <f t="shared" si="132"/>
        <v/>
      </c>
      <c r="CC173" s="399"/>
    </row>
    <row r="174">
      <c r="M174" s="388"/>
      <c r="AU174" s="399"/>
      <c r="AV174" s="399"/>
      <c r="AW174" s="378"/>
      <c r="AX174" s="399"/>
      <c r="AY174" s="399"/>
      <c r="AZ174" s="399"/>
      <c r="BA174" s="164"/>
      <c r="BB174" s="399"/>
      <c r="BC174" s="399"/>
      <c r="BD174" s="399"/>
      <c r="BE174" s="255" t="str">
        <f t="shared" ref="BE174:CB174" si="133">CONCAT(BE79,BE128)</f>
        <v/>
      </c>
      <c r="BF174" s="255" t="str">
        <f t="shared" si="133"/>
        <v/>
      </c>
      <c r="BG174" s="255" t="str">
        <f t="shared" si="133"/>
        <v/>
      </c>
      <c r="BH174" s="255" t="str">
        <f t="shared" si="133"/>
        <v/>
      </c>
      <c r="BI174" s="255" t="str">
        <f t="shared" si="133"/>
        <v/>
      </c>
      <c r="BJ174" s="255" t="str">
        <f t="shared" si="133"/>
        <v/>
      </c>
      <c r="BK174" s="255" t="str">
        <f t="shared" si="133"/>
        <v/>
      </c>
      <c r="BL174" s="255" t="str">
        <f t="shared" si="133"/>
        <v/>
      </c>
      <c r="BM174" s="255" t="str">
        <f t="shared" si="133"/>
        <v/>
      </c>
      <c r="BN174" s="255" t="str">
        <f t="shared" si="133"/>
        <v/>
      </c>
      <c r="BO174" s="255" t="str">
        <f t="shared" si="133"/>
        <v/>
      </c>
      <c r="BP174" s="255" t="str">
        <f t="shared" si="133"/>
        <v/>
      </c>
      <c r="BQ174" s="255" t="str">
        <f t="shared" si="133"/>
        <v/>
      </c>
      <c r="BR174" s="255" t="str">
        <f t="shared" si="133"/>
        <v/>
      </c>
      <c r="BS174" s="255" t="str">
        <f t="shared" si="133"/>
        <v/>
      </c>
      <c r="BT174" s="255" t="str">
        <f t="shared" si="133"/>
        <v/>
      </c>
      <c r="BU174" s="255" t="str">
        <f t="shared" si="133"/>
        <v/>
      </c>
      <c r="BV174" s="255" t="str">
        <f t="shared" si="133"/>
        <v>HSI</v>
      </c>
      <c r="BW174" s="255" t="str">
        <f t="shared" si="133"/>
        <v/>
      </c>
      <c r="BX174" s="255" t="str">
        <f t="shared" si="133"/>
        <v/>
      </c>
      <c r="BY174" s="255" t="str">
        <f t="shared" si="133"/>
        <v/>
      </c>
      <c r="BZ174" s="255" t="str">
        <f t="shared" si="133"/>
        <v/>
      </c>
      <c r="CA174" s="255" t="str">
        <f t="shared" si="133"/>
        <v/>
      </c>
      <c r="CB174" s="255" t="str">
        <f t="shared" si="133"/>
        <v/>
      </c>
      <c r="CC174" s="399"/>
    </row>
    <row r="175">
      <c r="M175" s="388"/>
      <c r="AU175" s="399"/>
      <c r="AV175" s="399"/>
      <c r="AW175" s="378"/>
      <c r="AX175" s="399"/>
      <c r="AY175" s="399"/>
      <c r="AZ175" s="399"/>
      <c r="BA175" s="164"/>
      <c r="BB175" s="399"/>
      <c r="BC175" s="399"/>
      <c r="BD175" s="399"/>
      <c r="BE175" s="369" t="str">
        <f t="shared" ref="BE175:CB175" si="134">CONCAT(BE80,BE129)</f>
        <v/>
      </c>
      <c r="BF175" s="369" t="str">
        <f t="shared" si="134"/>
        <v/>
      </c>
      <c r="BG175" s="369" t="str">
        <f t="shared" si="134"/>
        <v/>
      </c>
      <c r="BH175" s="369" t="str">
        <f t="shared" si="134"/>
        <v/>
      </c>
      <c r="BI175" s="369" t="str">
        <f t="shared" si="134"/>
        <v/>
      </c>
      <c r="BJ175" s="369" t="str">
        <f t="shared" si="134"/>
        <v/>
      </c>
      <c r="BK175" s="369" t="str">
        <f t="shared" si="134"/>
        <v/>
      </c>
      <c r="BL175" s="369" t="str">
        <f t="shared" si="134"/>
        <v/>
      </c>
      <c r="BM175" s="369" t="str">
        <f t="shared" si="134"/>
        <v/>
      </c>
      <c r="BN175" s="369" t="str">
        <f t="shared" si="134"/>
        <v/>
      </c>
      <c r="BO175" s="369" t="str">
        <f t="shared" si="134"/>
        <v/>
      </c>
      <c r="BP175" s="369" t="str">
        <f t="shared" si="134"/>
        <v/>
      </c>
      <c r="BQ175" s="369" t="str">
        <f t="shared" si="134"/>
        <v/>
      </c>
      <c r="BR175" s="369" t="str">
        <f t="shared" si="134"/>
        <v/>
      </c>
      <c r="BS175" s="369" t="str">
        <f t="shared" si="134"/>
        <v/>
      </c>
      <c r="BT175" s="369" t="str">
        <f t="shared" si="134"/>
        <v/>
      </c>
      <c r="BU175" s="369" t="str">
        <f t="shared" si="134"/>
        <v/>
      </c>
      <c r="BV175" s="369" t="str">
        <f t="shared" si="134"/>
        <v/>
      </c>
      <c r="BW175" s="369" t="str">
        <f t="shared" si="134"/>
        <v/>
      </c>
      <c r="BX175" s="369" t="str">
        <f t="shared" si="134"/>
        <v/>
      </c>
      <c r="BY175" s="369" t="str">
        <f t="shared" si="134"/>
        <v/>
      </c>
      <c r="BZ175" s="369" t="str">
        <f t="shared" si="134"/>
        <v/>
      </c>
      <c r="CA175" s="369" t="str">
        <f t="shared" si="134"/>
        <v/>
      </c>
      <c r="CB175" s="369" t="str">
        <f t="shared" si="134"/>
        <v/>
      </c>
      <c r="CC175" s="399"/>
    </row>
    <row r="176">
      <c r="M176" s="388"/>
      <c r="AU176" s="399"/>
      <c r="AV176" s="399"/>
      <c r="AW176" s="378"/>
      <c r="AX176" s="399"/>
      <c r="AY176" s="399"/>
      <c r="AZ176" s="399"/>
      <c r="BA176" s="164"/>
      <c r="BB176" s="399"/>
      <c r="BC176" s="399"/>
      <c r="BD176" s="399"/>
      <c r="BE176" s="255" t="str">
        <f t="shared" ref="BE176:CB176" si="135">CONCAT(BE81,BE130)</f>
        <v>#DIV/0!</v>
      </c>
      <c r="BF176" s="255" t="str">
        <f t="shared" si="135"/>
        <v>#DIV/0!</v>
      </c>
      <c r="BG176" s="255" t="str">
        <f t="shared" si="135"/>
        <v>#DIV/0!</v>
      </c>
      <c r="BH176" s="255" t="str">
        <f t="shared" si="135"/>
        <v>#DIV/0!</v>
      </c>
      <c r="BI176" s="255" t="str">
        <f t="shared" si="135"/>
        <v>#DIV/0!</v>
      </c>
      <c r="BJ176" s="255" t="str">
        <f t="shared" si="135"/>
        <v>#DIV/0!</v>
      </c>
      <c r="BK176" s="255" t="str">
        <f t="shared" si="135"/>
        <v>#DIV/0!</v>
      </c>
      <c r="BL176" s="255" t="str">
        <f t="shared" si="135"/>
        <v>#DIV/0!</v>
      </c>
      <c r="BM176" s="255" t="str">
        <f t="shared" si="135"/>
        <v>#DIV/0!</v>
      </c>
      <c r="BN176" s="255" t="str">
        <f t="shared" si="135"/>
        <v>#DIV/0!</v>
      </c>
      <c r="BO176" s="255" t="str">
        <f t="shared" si="135"/>
        <v>#DIV/0!</v>
      </c>
      <c r="BP176" s="255" t="str">
        <f t="shared" si="135"/>
        <v>#DIV/0!</v>
      </c>
      <c r="BQ176" s="255" t="str">
        <f t="shared" si="135"/>
        <v>#DIV/0!</v>
      </c>
      <c r="BR176" s="255" t="str">
        <f t="shared" si="135"/>
        <v>#DIV/0!</v>
      </c>
      <c r="BS176" s="255" t="str">
        <f t="shared" si="135"/>
        <v>#DIV/0!</v>
      </c>
      <c r="BT176" s="255" t="str">
        <f t="shared" si="135"/>
        <v>#DIV/0!</v>
      </c>
      <c r="BU176" s="255" t="str">
        <f t="shared" si="135"/>
        <v>#DIV/0!</v>
      </c>
      <c r="BV176" s="255" t="str">
        <f t="shared" si="135"/>
        <v>#DIV/0!</v>
      </c>
      <c r="BW176" s="255" t="str">
        <f t="shared" si="135"/>
        <v>#DIV/0!</v>
      </c>
      <c r="BX176" s="255" t="str">
        <f t="shared" si="135"/>
        <v>#DIV/0!</v>
      </c>
      <c r="BY176" s="255" t="str">
        <f t="shared" si="135"/>
        <v>#DIV/0!</v>
      </c>
      <c r="BZ176" s="255" t="str">
        <f t="shared" si="135"/>
        <v>#DIV/0!</v>
      </c>
      <c r="CA176" s="255" t="str">
        <f t="shared" si="135"/>
        <v>#DIV/0!</v>
      </c>
      <c r="CB176" s="255" t="str">
        <f t="shared" si="135"/>
        <v>#DIV/0!</v>
      </c>
      <c r="CC176" s="399"/>
    </row>
    <row r="177">
      <c r="M177" s="388"/>
      <c r="AU177" s="399"/>
      <c r="AV177" s="399"/>
      <c r="AW177" s="378"/>
      <c r="AX177" s="399"/>
      <c r="AY177" s="399"/>
      <c r="AZ177" s="399"/>
      <c r="BA177" s="164"/>
      <c r="BB177" s="399"/>
      <c r="BC177" s="399"/>
      <c r="BD177" s="399"/>
      <c r="BE177" s="255" t="str">
        <f t="shared" ref="BE177:CB177" si="136">CONCAT(BE82,BE131)</f>
        <v/>
      </c>
      <c r="BF177" s="255" t="str">
        <f t="shared" si="136"/>
        <v/>
      </c>
      <c r="BG177" s="255" t="str">
        <f t="shared" si="136"/>
        <v/>
      </c>
      <c r="BH177" s="255" t="str">
        <f t="shared" si="136"/>
        <v/>
      </c>
      <c r="BI177" s="255" t="str">
        <f t="shared" si="136"/>
        <v/>
      </c>
      <c r="BJ177" s="255" t="str">
        <f t="shared" si="136"/>
        <v/>
      </c>
      <c r="BK177" s="255" t="str">
        <f t="shared" si="136"/>
        <v/>
      </c>
      <c r="BL177" s="255" t="str">
        <f t="shared" si="136"/>
        <v/>
      </c>
      <c r="BM177" s="255" t="str">
        <f t="shared" si="136"/>
        <v/>
      </c>
      <c r="BN177" s="255" t="str">
        <f t="shared" si="136"/>
        <v/>
      </c>
      <c r="BO177" s="255" t="str">
        <f t="shared" si="136"/>
        <v/>
      </c>
      <c r="BP177" s="255" t="str">
        <f t="shared" si="136"/>
        <v/>
      </c>
      <c r="BQ177" s="255" t="str">
        <f t="shared" si="136"/>
        <v/>
      </c>
      <c r="BR177" s="255" t="str">
        <f t="shared" si="136"/>
        <v/>
      </c>
      <c r="BS177" s="255" t="str">
        <f t="shared" si="136"/>
        <v/>
      </c>
      <c r="BT177" s="255" t="str">
        <f t="shared" si="136"/>
        <v/>
      </c>
      <c r="BU177" s="255" t="str">
        <f t="shared" si="136"/>
        <v/>
      </c>
      <c r="BV177" s="255" t="str">
        <f t="shared" si="136"/>
        <v/>
      </c>
      <c r="BW177" s="255" t="str">
        <f t="shared" si="136"/>
        <v/>
      </c>
      <c r="BX177" s="255" t="str">
        <f t="shared" si="136"/>
        <v/>
      </c>
      <c r="BY177" s="255" t="str">
        <f t="shared" si="136"/>
        <v/>
      </c>
      <c r="BZ177" s="255" t="str">
        <f t="shared" si="136"/>
        <v/>
      </c>
      <c r="CA177" s="255" t="str">
        <f t="shared" si="136"/>
        <v/>
      </c>
      <c r="CB177" s="255" t="str">
        <f t="shared" si="136"/>
        <v/>
      </c>
      <c r="CC177" s="399"/>
    </row>
    <row r="178">
      <c r="M178" s="388"/>
      <c r="AU178" s="399"/>
      <c r="AV178" s="399"/>
      <c r="AW178" s="378"/>
      <c r="AX178" s="399"/>
      <c r="AY178" s="399"/>
      <c r="AZ178" s="399"/>
      <c r="BA178" s="164"/>
      <c r="BB178" s="399"/>
      <c r="BC178" s="399"/>
      <c r="BD178" s="399"/>
      <c r="BE178" s="255" t="str">
        <f t="shared" ref="BE178:CB178" si="137">CONCAT(BE83,BE132)</f>
        <v/>
      </c>
      <c r="BF178" s="255" t="str">
        <f t="shared" si="137"/>
        <v/>
      </c>
      <c r="BG178" s="255" t="str">
        <f t="shared" si="137"/>
        <v/>
      </c>
      <c r="BH178" s="255" t="str">
        <f t="shared" si="137"/>
        <v/>
      </c>
      <c r="BI178" s="255" t="str">
        <f t="shared" si="137"/>
        <v/>
      </c>
      <c r="BJ178" s="255" t="str">
        <f t="shared" si="137"/>
        <v/>
      </c>
      <c r="BK178" s="255" t="str">
        <f t="shared" si="137"/>
        <v>HSI</v>
      </c>
      <c r="BL178" s="255" t="str">
        <f t="shared" si="137"/>
        <v/>
      </c>
      <c r="BM178" s="255" t="str">
        <f t="shared" si="137"/>
        <v/>
      </c>
      <c r="BN178" s="255" t="str">
        <f t="shared" si="137"/>
        <v/>
      </c>
      <c r="BO178" s="255" t="str">
        <f t="shared" si="137"/>
        <v/>
      </c>
      <c r="BP178" s="255" t="str">
        <f t="shared" si="137"/>
        <v/>
      </c>
      <c r="BQ178" s="255" t="str">
        <f t="shared" si="137"/>
        <v/>
      </c>
      <c r="BR178" s="255" t="str">
        <f t="shared" si="137"/>
        <v/>
      </c>
      <c r="BS178" s="255" t="str">
        <f t="shared" si="137"/>
        <v/>
      </c>
      <c r="BT178" s="255" t="str">
        <f t="shared" si="137"/>
        <v/>
      </c>
      <c r="BU178" s="255" t="str">
        <f t="shared" si="137"/>
        <v/>
      </c>
      <c r="BV178" s="255" t="str">
        <f t="shared" si="137"/>
        <v/>
      </c>
      <c r="BW178" s="255" t="str">
        <f t="shared" si="137"/>
        <v/>
      </c>
      <c r="BX178" s="255" t="str">
        <f t="shared" si="137"/>
        <v/>
      </c>
      <c r="BY178" s="255" t="str">
        <f t="shared" si="137"/>
        <v/>
      </c>
      <c r="BZ178" s="255" t="str">
        <f t="shared" si="137"/>
        <v/>
      </c>
      <c r="CA178" s="255" t="str">
        <f t="shared" si="137"/>
        <v/>
      </c>
      <c r="CB178" s="255" t="str">
        <f t="shared" si="137"/>
        <v/>
      </c>
      <c r="CC178" s="399"/>
    </row>
    <row r="179">
      <c r="M179" s="388"/>
      <c r="AU179" s="399"/>
      <c r="AV179" s="399"/>
      <c r="AW179" s="378"/>
      <c r="AX179" s="399"/>
      <c r="AY179" s="399"/>
      <c r="AZ179" s="399"/>
      <c r="BA179" s="164"/>
      <c r="BB179" s="399"/>
      <c r="BC179" s="399"/>
      <c r="BD179" s="399"/>
      <c r="BE179" s="369" t="str">
        <f t="shared" ref="BE179:CB179" si="138">CONCAT(BE84,BE133)</f>
        <v>#DIV/0!</v>
      </c>
      <c r="BF179" s="369" t="str">
        <f t="shared" si="138"/>
        <v>#DIV/0!</v>
      </c>
      <c r="BG179" s="369" t="str">
        <f t="shared" si="138"/>
        <v>#DIV/0!</v>
      </c>
      <c r="BH179" s="369" t="str">
        <f t="shared" si="138"/>
        <v>#DIV/0!</v>
      </c>
      <c r="BI179" s="369" t="str">
        <f t="shared" si="138"/>
        <v>#DIV/0!</v>
      </c>
      <c r="BJ179" s="369" t="str">
        <f t="shared" si="138"/>
        <v>#DIV/0!</v>
      </c>
      <c r="BK179" s="369" t="str">
        <f t="shared" si="138"/>
        <v>#DIV/0!</v>
      </c>
      <c r="BL179" s="369" t="str">
        <f t="shared" si="138"/>
        <v>#DIV/0!</v>
      </c>
      <c r="BM179" s="369" t="str">
        <f t="shared" si="138"/>
        <v>#DIV/0!</v>
      </c>
      <c r="BN179" s="369" t="str">
        <f t="shared" si="138"/>
        <v>#DIV/0!</v>
      </c>
      <c r="BO179" s="369" t="str">
        <f t="shared" si="138"/>
        <v>#DIV/0!</v>
      </c>
      <c r="BP179" s="369" t="str">
        <f t="shared" si="138"/>
        <v>#DIV/0!</v>
      </c>
      <c r="BQ179" s="369" t="str">
        <f t="shared" si="138"/>
        <v>#DIV/0!</v>
      </c>
      <c r="BR179" s="369" t="str">
        <f t="shared" si="138"/>
        <v>#DIV/0!</v>
      </c>
      <c r="BS179" s="369" t="str">
        <f t="shared" si="138"/>
        <v>#DIV/0!</v>
      </c>
      <c r="BT179" s="369" t="str">
        <f t="shared" si="138"/>
        <v>#DIV/0!</v>
      </c>
      <c r="BU179" s="369" t="str">
        <f t="shared" si="138"/>
        <v>#DIV/0!</v>
      </c>
      <c r="BV179" s="369" t="str">
        <f t="shared" si="138"/>
        <v>#DIV/0!</v>
      </c>
      <c r="BW179" s="369" t="str">
        <f t="shared" si="138"/>
        <v>#DIV/0!</v>
      </c>
      <c r="BX179" s="369" t="str">
        <f t="shared" si="138"/>
        <v>#DIV/0!</v>
      </c>
      <c r="BY179" s="369" t="str">
        <f t="shared" si="138"/>
        <v>#DIV/0!</v>
      </c>
      <c r="BZ179" s="369" t="str">
        <f t="shared" si="138"/>
        <v>#DIV/0!</v>
      </c>
      <c r="CA179" s="369" t="str">
        <f t="shared" si="138"/>
        <v>#DIV/0!</v>
      </c>
      <c r="CB179" s="369" t="str">
        <f t="shared" si="138"/>
        <v>#DIV/0!</v>
      </c>
      <c r="CC179" s="399"/>
    </row>
    <row r="180">
      <c r="M180" s="388"/>
      <c r="AU180" s="399"/>
      <c r="AV180" s="399"/>
      <c r="AW180" s="378"/>
      <c r="AX180" s="399"/>
      <c r="AY180" s="399"/>
      <c r="AZ180" s="399"/>
      <c r="BA180" s="164"/>
      <c r="BB180" s="399"/>
      <c r="BC180" s="399"/>
      <c r="BD180" s="399"/>
      <c r="BE180" s="255" t="str">
        <f t="shared" ref="BE180:CB180" si="139">CONCAT(BE85,BE134)</f>
        <v/>
      </c>
      <c r="BF180" s="255" t="str">
        <f t="shared" si="139"/>
        <v/>
      </c>
      <c r="BG180" s="255" t="str">
        <f t="shared" si="139"/>
        <v/>
      </c>
      <c r="BH180" s="255" t="str">
        <f t="shared" si="139"/>
        <v/>
      </c>
      <c r="BI180" s="255" t="str">
        <f t="shared" si="139"/>
        <v/>
      </c>
      <c r="BJ180" s="255" t="str">
        <f t="shared" si="139"/>
        <v/>
      </c>
      <c r="BK180" s="255" t="str">
        <f t="shared" si="139"/>
        <v/>
      </c>
      <c r="BL180" s="255" t="str">
        <f t="shared" si="139"/>
        <v/>
      </c>
      <c r="BM180" s="255" t="str">
        <f t="shared" si="139"/>
        <v/>
      </c>
      <c r="BN180" s="255" t="str">
        <f t="shared" si="139"/>
        <v/>
      </c>
      <c r="BO180" s="255" t="str">
        <f t="shared" si="139"/>
        <v/>
      </c>
      <c r="BP180" s="255" t="str">
        <f t="shared" si="139"/>
        <v/>
      </c>
      <c r="BQ180" s="255" t="str">
        <f t="shared" si="139"/>
        <v/>
      </c>
      <c r="BR180" s="255" t="str">
        <f t="shared" si="139"/>
        <v/>
      </c>
      <c r="BS180" s="255" t="str">
        <f t="shared" si="139"/>
        <v/>
      </c>
      <c r="BT180" s="255" t="str">
        <f t="shared" si="139"/>
        <v/>
      </c>
      <c r="BU180" s="255" t="str">
        <f t="shared" si="139"/>
        <v/>
      </c>
      <c r="BV180" s="255" t="str">
        <f t="shared" si="139"/>
        <v/>
      </c>
      <c r="BW180" s="255" t="str">
        <f t="shared" si="139"/>
        <v/>
      </c>
      <c r="BX180" s="255" t="str">
        <f t="shared" si="139"/>
        <v/>
      </c>
      <c r="BY180" s="255" t="str">
        <f t="shared" si="139"/>
        <v/>
      </c>
      <c r="BZ180" s="255" t="str">
        <f t="shared" si="139"/>
        <v/>
      </c>
      <c r="CA180" s="255" t="str">
        <f t="shared" si="139"/>
        <v/>
      </c>
      <c r="CB180" s="255" t="str">
        <f t="shared" si="139"/>
        <v/>
      </c>
      <c r="CC180" s="399"/>
    </row>
    <row r="181">
      <c r="M181" s="388"/>
      <c r="AU181" s="399"/>
      <c r="AV181" s="399"/>
      <c r="AW181" s="378"/>
      <c r="AX181" s="399"/>
      <c r="AY181" s="399"/>
      <c r="AZ181" s="399"/>
      <c r="BA181" s="164"/>
      <c r="BB181" s="399"/>
      <c r="BC181" s="399"/>
      <c r="BD181" s="399"/>
      <c r="BE181" s="255" t="str">
        <f t="shared" ref="BE181:CB181" si="140">CONCAT(BE86,BE135)</f>
        <v/>
      </c>
      <c r="BF181" s="255" t="str">
        <f t="shared" si="140"/>
        <v/>
      </c>
      <c r="BG181" s="255" t="str">
        <f t="shared" si="140"/>
        <v/>
      </c>
      <c r="BH181" s="255" t="str">
        <f t="shared" si="140"/>
        <v/>
      </c>
      <c r="BI181" s="255" t="str">
        <f t="shared" si="140"/>
        <v/>
      </c>
      <c r="BJ181" s="255" t="str">
        <f t="shared" si="140"/>
        <v/>
      </c>
      <c r="BK181" s="255" t="str">
        <f t="shared" si="140"/>
        <v/>
      </c>
      <c r="BL181" s="255" t="str">
        <f t="shared" si="140"/>
        <v/>
      </c>
      <c r="BM181" s="255" t="str">
        <f t="shared" si="140"/>
        <v/>
      </c>
      <c r="BN181" s="255" t="str">
        <f t="shared" si="140"/>
        <v/>
      </c>
      <c r="BO181" s="255" t="str">
        <f t="shared" si="140"/>
        <v/>
      </c>
      <c r="BP181" s="255" t="str">
        <f t="shared" si="140"/>
        <v/>
      </c>
      <c r="BQ181" s="255" t="str">
        <f t="shared" si="140"/>
        <v/>
      </c>
      <c r="BR181" s="255" t="str">
        <f t="shared" si="140"/>
        <v/>
      </c>
      <c r="BS181" s="255" t="str">
        <f t="shared" si="140"/>
        <v/>
      </c>
      <c r="BT181" s="255" t="str">
        <f t="shared" si="140"/>
        <v/>
      </c>
      <c r="BU181" s="255" t="str">
        <f t="shared" si="140"/>
        <v/>
      </c>
      <c r="BV181" s="255" t="str">
        <f t="shared" si="140"/>
        <v/>
      </c>
      <c r="BW181" s="255" t="str">
        <f t="shared" si="140"/>
        <v/>
      </c>
      <c r="BX181" s="255" t="str">
        <f t="shared" si="140"/>
        <v/>
      </c>
      <c r="BY181" s="255" t="str">
        <f t="shared" si="140"/>
        <v/>
      </c>
      <c r="BZ181" s="255" t="str">
        <f t="shared" si="140"/>
        <v/>
      </c>
      <c r="CA181" s="255" t="str">
        <f t="shared" si="140"/>
        <v/>
      </c>
      <c r="CB181" s="255" t="str">
        <f t="shared" si="140"/>
        <v/>
      </c>
      <c r="CC181" s="399"/>
    </row>
    <row r="182">
      <c r="M182" s="388"/>
      <c r="AU182" s="399"/>
      <c r="AV182" s="399"/>
      <c r="AW182" s="378"/>
      <c r="AX182" s="399"/>
      <c r="AY182" s="399"/>
      <c r="AZ182" s="399"/>
      <c r="BA182" s="164"/>
      <c r="BB182" s="399"/>
      <c r="BC182" s="399"/>
      <c r="BD182" s="399"/>
      <c r="BE182" s="369" t="str">
        <f t="shared" ref="BE182:CB182" si="141">CONCAT(BE87,BE136)</f>
        <v/>
      </c>
      <c r="BF182" s="369" t="str">
        <f t="shared" si="141"/>
        <v/>
      </c>
      <c r="BG182" s="369" t="str">
        <f t="shared" si="141"/>
        <v/>
      </c>
      <c r="BH182" s="369" t="str">
        <f t="shared" si="141"/>
        <v/>
      </c>
      <c r="BI182" s="369" t="str">
        <f t="shared" si="141"/>
        <v/>
      </c>
      <c r="BJ182" s="255" t="str">
        <f t="shared" si="141"/>
        <v/>
      </c>
      <c r="BK182" s="369" t="str">
        <f t="shared" si="141"/>
        <v/>
      </c>
      <c r="BL182" s="369" t="str">
        <f t="shared" si="141"/>
        <v/>
      </c>
      <c r="BM182" s="369" t="str">
        <f t="shared" si="141"/>
        <v/>
      </c>
      <c r="BN182" s="369" t="str">
        <f t="shared" si="141"/>
        <v/>
      </c>
      <c r="BO182" s="369" t="str">
        <f t="shared" si="141"/>
        <v/>
      </c>
      <c r="BP182" s="369" t="str">
        <f t="shared" si="141"/>
        <v/>
      </c>
      <c r="BQ182" s="369" t="str">
        <f t="shared" si="141"/>
        <v/>
      </c>
      <c r="BR182" s="369" t="str">
        <f t="shared" si="141"/>
        <v/>
      </c>
      <c r="BS182" s="369" t="str">
        <f t="shared" si="141"/>
        <v/>
      </c>
      <c r="BT182" s="369" t="str">
        <f t="shared" si="141"/>
        <v/>
      </c>
      <c r="BU182" s="369" t="str">
        <f t="shared" si="141"/>
        <v/>
      </c>
      <c r="BV182" s="369" t="str">
        <f t="shared" si="141"/>
        <v/>
      </c>
      <c r="BW182" s="369" t="str">
        <f t="shared" si="141"/>
        <v/>
      </c>
      <c r="BX182" s="369" t="str">
        <f t="shared" si="141"/>
        <v/>
      </c>
      <c r="BY182" s="369" t="str">
        <f t="shared" si="141"/>
        <v/>
      </c>
      <c r="BZ182" s="369" t="str">
        <f t="shared" si="141"/>
        <v/>
      </c>
      <c r="CA182" s="369" t="str">
        <f t="shared" si="141"/>
        <v/>
      </c>
      <c r="CB182" s="369" t="str">
        <f t="shared" si="141"/>
        <v/>
      </c>
      <c r="CC182" s="399"/>
    </row>
    <row r="183">
      <c r="M183" s="388"/>
      <c r="AU183" s="399"/>
      <c r="AV183" s="399"/>
      <c r="AW183" s="378"/>
      <c r="AX183" s="399"/>
      <c r="AY183" s="399"/>
      <c r="AZ183" s="399"/>
      <c r="BA183" s="164"/>
      <c r="BB183" s="399"/>
      <c r="BC183" s="399"/>
      <c r="BD183" s="399"/>
      <c r="BE183" s="369" t="str">
        <f t="shared" ref="BE183:CB183" si="142">CONCAT(BE88,BE137)</f>
        <v>#DIV/0!</v>
      </c>
      <c r="BF183" s="255" t="str">
        <f t="shared" si="142"/>
        <v>#DIV/0!</v>
      </c>
      <c r="BG183" s="369" t="str">
        <f t="shared" si="142"/>
        <v>#DIV/0!</v>
      </c>
      <c r="BH183" s="369" t="str">
        <f t="shared" si="142"/>
        <v>#DIV/0!</v>
      </c>
      <c r="BI183" s="369" t="str">
        <f t="shared" si="142"/>
        <v>#DIV/0!</v>
      </c>
      <c r="BJ183" s="369" t="str">
        <f t="shared" si="142"/>
        <v>#DIV/0!</v>
      </c>
      <c r="BK183" s="369" t="str">
        <f t="shared" si="142"/>
        <v>#DIV/0!</v>
      </c>
      <c r="BL183" s="369" t="str">
        <f t="shared" si="142"/>
        <v>#DIV/0!</v>
      </c>
      <c r="BM183" s="369" t="str">
        <f t="shared" si="142"/>
        <v>#DIV/0!</v>
      </c>
      <c r="BN183" s="369" t="str">
        <f t="shared" si="142"/>
        <v>#DIV/0!</v>
      </c>
      <c r="BO183" s="369" t="str">
        <f t="shared" si="142"/>
        <v>#DIV/0!</v>
      </c>
      <c r="BP183" s="369" t="str">
        <f t="shared" si="142"/>
        <v>#DIV/0!</v>
      </c>
      <c r="BQ183" s="369" t="str">
        <f t="shared" si="142"/>
        <v>#DIV/0!</v>
      </c>
      <c r="BR183" s="369" t="str">
        <f t="shared" si="142"/>
        <v>#DIV/0!</v>
      </c>
      <c r="BS183" s="369" t="str">
        <f t="shared" si="142"/>
        <v>#DIV/0!</v>
      </c>
      <c r="BT183" s="369" t="str">
        <f t="shared" si="142"/>
        <v>#DIV/0!</v>
      </c>
      <c r="BU183" s="369" t="str">
        <f t="shared" si="142"/>
        <v>#DIV/0!</v>
      </c>
      <c r="BV183" s="369" t="str">
        <f t="shared" si="142"/>
        <v>#DIV/0!</v>
      </c>
      <c r="BW183" s="369" t="str">
        <f t="shared" si="142"/>
        <v>#DIV/0!</v>
      </c>
      <c r="BX183" s="369" t="str">
        <f t="shared" si="142"/>
        <v>#DIV/0!</v>
      </c>
      <c r="BY183" s="369" t="str">
        <f t="shared" si="142"/>
        <v>#DIV/0!</v>
      </c>
      <c r="BZ183" s="369" t="str">
        <f t="shared" si="142"/>
        <v>#DIV/0!</v>
      </c>
      <c r="CA183" s="369" t="str">
        <f t="shared" si="142"/>
        <v>#DIV/0!</v>
      </c>
      <c r="CB183" s="369" t="str">
        <f t="shared" si="142"/>
        <v>#DIV/0!</v>
      </c>
      <c r="CC183" s="399"/>
    </row>
    <row r="184">
      <c r="M184" s="388"/>
      <c r="AU184" s="399"/>
      <c r="AV184" s="399"/>
      <c r="AW184" s="378"/>
      <c r="AX184" s="399"/>
      <c r="AY184" s="399"/>
      <c r="AZ184" s="399"/>
      <c r="BA184" s="164"/>
      <c r="BB184" s="399"/>
      <c r="BC184" s="399"/>
      <c r="BD184" s="399"/>
      <c r="BE184" s="255" t="str">
        <f t="shared" ref="BE184:CB184" si="143">CONCAT(BE89,BE138)</f>
        <v/>
      </c>
      <c r="BF184" s="255" t="str">
        <f t="shared" si="143"/>
        <v/>
      </c>
      <c r="BG184" s="255" t="str">
        <f t="shared" si="143"/>
        <v/>
      </c>
      <c r="BH184" s="255" t="str">
        <f t="shared" si="143"/>
        <v>HSI</v>
      </c>
      <c r="BI184" s="255" t="str">
        <f t="shared" si="143"/>
        <v/>
      </c>
      <c r="BJ184" s="255" t="str">
        <f t="shared" si="143"/>
        <v/>
      </c>
      <c r="BK184" s="255" t="str">
        <f t="shared" si="143"/>
        <v/>
      </c>
      <c r="BL184" s="255" t="str">
        <f t="shared" si="143"/>
        <v/>
      </c>
      <c r="BM184" s="255" t="str">
        <f t="shared" si="143"/>
        <v/>
      </c>
      <c r="BN184" s="255" t="str">
        <f t="shared" si="143"/>
        <v/>
      </c>
      <c r="BO184" s="255" t="str">
        <f t="shared" si="143"/>
        <v/>
      </c>
      <c r="BP184" s="255" t="str">
        <f t="shared" si="143"/>
        <v/>
      </c>
      <c r="BQ184" s="255" t="str">
        <f t="shared" si="143"/>
        <v/>
      </c>
      <c r="BR184" s="255" t="str">
        <f t="shared" si="143"/>
        <v/>
      </c>
      <c r="BS184" s="255" t="str">
        <f t="shared" si="143"/>
        <v/>
      </c>
      <c r="BT184" s="255" t="str">
        <f t="shared" si="143"/>
        <v/>
      </c>
      <c r="BU184" s="255" t="str">
        <f t="shared" si="143"/>
        <v/>
      </c>
      <c r="BV184" s="255" t="str">
        <f t="shared" si="143"/>
        <v/>
      </c>
      <c r="BW184" s="255" t="str">
        <f t="shared" si="143"/>
        <v/>
      </c>
      <c r="BX184" s="255" t="str">
        <f t="shared" si="143"/>
        <v/>
      </c>
      <c r="BY184" s="255" t="str">
        <f t="shared" si="143"/>
        <v/>
      </c>
      <c r="BZ184" s="255" t="str">
        <f t="shared" si="143"/>
        <v/>
      </c>
      <c r="CA184" s="255" t="str">
        <f t="shared" si="143"/>
        <v/>
      </c>
      <c r="CB184" s="255" t="str">
        <f t="shared" si="143"/>
        <v/>
      </c>
      <c r="CC184" s="399"/>
    </row>
    <row r="185">
      <c r="M185" s="388"/>
      <c r="AU185" s="399"/>
      <c r="AV185" s="399"/>
      <c r="AW185" s="378"/>
      <c r="AX185" s="399"/>
      <c r="AY185" s="399"/>
      <c r="AZ185" s="399"/>
      <c r="BA185" s="164"/>
      <c r="BB185" s="399"/>
      <c r="BC185" s="399"/>
      <c r="BD185" s="399"/>
      <c r="BE185" s="255" t="str">
        <f t="shared" ref="BE185:CB185" si="144">CONCAT(BE90,BE139)</f>
        <v/>
      </c>
      <c r="BF185" s="255" t="str">
        <f t="shared" si="144"/>
        <v/>
      </c>
      <c r="BG185" s="255" t="str">
        <f t="shared" si="144"/>
        <v/>
      </c>
      <c r="BH185" s="255" t="str">
        <f t="shared" si="144"/>
        <v/>
      </c>
      <c r="BI185" s="255" t="str">
        <f t="shared" si="144"/>
        <v/>
      </c>
      <c r="BJ185" s="255" t="str">
        <f t="shared" si="144"/>
        <v/>
      </c>
      <c r="BK185" s="255" t="str">
        <f t="shared" si="144"/>
        <v/>
      </c>
      <c r="BL185" s="255" t="str">
        <f t="shared" si="144"/>
        <v/>
      </c>
      <c r="BM185" s="255" t="str">
        <f t="shared" si="144"/>
        <v/>
      </c>
      <c r="BN185" s="255" t="str">
        <f t="shared" si="144"/>
        <v/>
      </c>
      <c r="BO185" s="255" t="str">
        <f t="shared" si="144"/>
        <v/>
      </c>
      <c r="BP185" s="255" t="str">
        <f t="shared" si="144"/>
        <v/>
      </c>
      <c r="BQ185" s="255" t="str">
        <f t="shared" si="144"/>
        <v/>
      </c>
      <c r="BR185" s="255" t="str">
        <f t="shared" si="144"/>
        <v/>
      </c>
      <c r="BS185" s="255" t="str">
        <f t="shared" si="144"/>
        <v/>
      </c>
      <c r="BT185" s="255" t="str">
        <f t="shared" si="144"/>
        <v/>
      </c>
      <c r="BU185" s="255" t="str">
        <f t="shared" si="144"/>
        <v/>
      </c>
      <c r="BV185" s="255" t="str">
        <f t="shared" si="144"/>
        <v/>
      </c>
      <c r="BW185" s="255" t="str">
        <f t="shared" si="144"/>
        <v/>
      </c>
      <c r="BX185" s="255" t="str">
        <f t="shared" si="144"/>
        <v/>
      </c>
      <c r="BY185" s="255" t="str">
        <f t="shared" si="144"/>
        <v/>
      </c>
      <c r="BZ185" s="255" t="str">
        <f t="shared" si="144"/>
        <v/>
      </c>
      <c r="CA185" s="255" t="str">
        <f t="shared" si="144"/>
        <v/>
      </c>
      <c r="CB185" s="255" t="str">
        <f t="shared" si="144"/>
        <v/>
      </c>
      <c r="CC185" s="399"/>
    </row>
    <row r="186">
      <c r="M186" s="388"/>
      <c r="AU186" s="399"/>
      <c r="AV186" s="399"/>
      <c r="AW186" s="378"/>
      <c r="AX186" s="399"/>
      <c r="AY186" s="399"/>
      <c r="AZ186" s="399"/>
      <c r="BA186" s="164"/>
      <c r="BB186" s="399"/>
      <c r="BC186" s="399"/>
      <c r="BD186" s="399"/>
      <c r="BE186" s="369" t="str">
        <f t="shared" ref="BE186:CB186" si="145">CONCAT(BE91,BE140)</f>
        <v/>
      </c>
      <c r="BF186" s="369" t="str">
        <f t="shared" si="145"/>
        <v/>
      </c>
      <c r="BG186" s="369" t="str">
        <f t="shared" si="145"/>
        <v/>
      </c>
      <c r="BH186" s="369" t="str">
        <f t="shared" si="145"/>
        <v/>
      </c>
      <c r="BI186" s="369" t="str">
        <f t="shared" si="145"/>
        <v/>
      </c>
      <c r="BJ186" s="369" t="str">
        <f t="shared" si="145"/>
        <v/>
      </c>
      <c r="BK186" s="369" t="str">
        <f t="shared" si="145"/>
        <v/>
      </c>
      <c r="BL186" s="369" t="str">
        <f t="shared" si="145"/>
        <v/>
      </c>
      <c r="BM186" s="369" t="str">
        <f t="shared" si="145"/>
        <v/>
      </c>
      <c r="BN186" s="369" t="str">
        <f t="shared" si="145"/>
        <v/>
      </c>
      <c r="BO186" s="369" t="str">
        <f t="shared" si="145"/>
        <v/>
      </c>
      <c r="BP186" s="369" t="str">
        <f t="shared" si="145"/>
        <v/>
      </c>
      <c r="BQ186" s="369" t="str">
        <f t="shared" si="145"/>
        <v>HSI</v>
      </c>
      <c r="BR186" s="369" t="str">
        <f t="shared" si="145"/>
        <v/>
      </c>
      <c r="BS186" s="369" t="str">
        <f t="shared" si="145"/>
        <v/>
      </c>
      <c r="BT186" s="369" t="str">
        <f t="shared" si="145"/>
        <v/>
      </c>
      <c r="BU186" s="369" t="str">
        <f t="shared" si="145"/>
        <v/>
      </c>
      <c r="BV186" s="369" t="str">
        <f t="shared" si="145"/>
        <v/>
      </c>
      <c r="BW186" s="369" t="str">
        <f t="shared" si="145"/>
        <v/>
      </c>
      <c r="BX186" s="369" t="str">
        <f t="shared" si="145"/>
        <v/>
      </c>
      <c r="BY186" s="369" t="str">
        <f t="shared" si="145"/>
        <v/>
      </c>
      <c r="BZ186" s="369" t="str">
        <f t="shared" si="145"/>
        <v/>
      </c>
      <c r="CA186" s="369" t="str">
        <f t="shared" si="145"/>
        <v/>
      </c>
      <c r="CB186" s="369" t="str">
        <f t="shared" si="145"/>
        <v/>
      </c>
      <c r="CC186" s="399"/>
    </row>
    <row r="187">
      <c r="M187" s="388"/>
      <c r="AU187" s="399"/>
      <c r="AV187" s="399"/>
      <c r="AW187" s="378"/>
      <c r="AX187" s="399"/>
      <c r="AY187" s="399"/>
      <c r="AZ187" s="399"/>
      <c r="BA187" s="164"/>
      <c r="BB187" s="399"/>
      <c r="BC187" s="399"/>
      <c r="BD187" s="399"/>
      <c r="BE187" s="369" t="str">
        <f t="shared" ref="BE187:CB187" si="146">CONCAT(BE92,#REF!)</f>
        <v>#DIV/0!</v>
      </c>
      <c r="BF187" s="369" t="str">
        <f t="shared" si="146"/>
        <v>#DIV/0!</v>
      </c>
      <c r="BG187" s="369" t="str">
        <f t="shared" si="146"/>
        <v>#DIV/0!</v>
      </c>
      <c r="BH187" s="369" t="str">
        <f t="shared" si="146"/>
        <v>#DIV/0!</v>
      </c>
      <c r="BI187" s="369" t="str">
        <f t="shared" si="146"/>
        <v>#DIV/0!</v>
      </c>
      <c r="BJ187" s="369" t="str">
        <f t="shared" si="146"/>
        <v>#DIV/0!</v>
      </c>
      <c r="BK187" s="369" t="str">
        <f t="shared" si="146"/>
        <v>#DIV/0!</v>
      </c>
      <c r="BL187" s="369" t="str">
        <f t="shared" si="146"/>
        <v>#DIV/0!</v>
      </c>
      <c r="BM187" s="369" t="str">
        <f t="shared" si="146"/>
        <v>#DIV/0!</v>
      </c>
      <c r="BN187" s="369" t="str">
        <f t="shared" si="146"/>
        <v>#DIV/0!</v>
      </c>
      <c r="BO187" s="369" t="str">
        <f t="shared" si="146"/>
        <v>#DIV/0!</v>
      </c>
      <c r="BP187" s="369" t="str">
        <f t="shared" si="146"/>
        <v>#DIV/0!</v>
      </c>
      <c r="BQ187" s="369" t="str">
        <f t="shared" si="146"/>
        <v>#DIV/0!</v>
      </c>
      <c r="BR187" s="369" t="str">
        <f t="shared" si="146"/>
        <v>#DIV/0!</v>
      </c>
      <c r="BS187" s="369" t="str">
        <f t="shared" si="146"/>
        <v>#DIV/0!</v>
      </c>
      <c r="BT187" s="369" t="str">
        <f t="shared" si="146"/>
        <v>#DIV/0!</v>
      </c>
      <c r="BU187" s="369" t="str">
        <f t="shared" si="146"/>
        <v>#DIV/0!</v>
      </c>
      <c r="BV187" s="369" t="str">
        <f t="shared" si="146"/>
        <v>#DIV/0!</v>
      </c>
      <c r="BW187" s="369" t="str">
        <f t="shared" si="146"/>
        <v>#DIV/0!</v>
      </c>
      <c r="BX187" s="369" t="str">
        <f t="shared" si="146"/>
        <v>#DIV/0!</v>
      </c>
      <c r="BY187" s="369" t="str">
        <f t="shared" si="146"/>
        <v>#DIV/0!</v>
      </c>
      <c r="BZ187" s="369" t="str">
        <f t="shared" si="146"/>
        <v>#DIV/0!</v>
      </c>
      <c r="CA187" s="369" t="str">
        <f t="shared" si="146"/>
        <v>#DIV/0!</v>
      </c>
      <c r="CB187" s="369" t="str">
        <f t="shared" si="146"/>
        <v>#DIV/0!</v>
      </c>
      <c r="CC187" s="399"/>
    </row>
    <row r="188">
      <c r="M188" s="388"/>
      <c r="AU188" s="399"/>
      <c r="AV188" s="399"/>
      <c r="AW188" s="378"/>
      <c r="AX188" s="399"/>
      <c r="AY188" s="399"/>
      <c r="AZ188" s="399"/>
      <c r="BA188" s="164"/>
      <c r="BB188" s="399"/>
      <c r="BC188" s="399"/>
      <c r="BD188" s="399"/>
      <c r="BE188" s="369" t="str">
        <f t="shared" ref="BE188:CB188" si="147">CONCAT(#REF!,#REF!)</f>
        <v>#REF!</v>
      </c>
      <c r="BF188" s="369" t="str">
        <f t="shared" si="147"/>
        <v>#REF!</v>
      </c>
      <c r="BG188" s="369" t="str">
        <f t="shared" si="147"/>
        <v>#REF!</v>
      </c>
      <c r="BH188" s="369" t="str">
        <f t="shared" si="147"/>
        <v>#REF!</v>
      </c>
      <c r="BI188" s="369" t="str">
        <f t="shared" si="147"/>
        <v>#REF!</v>
      </c>
      <c r="BJ188" s="369" t="str">
        <f t="shared" si="147"/>
        <v>#REF!</v>
      </c>
      <c r="BK188" s="369" t="str">
        <f t="shared" si="147"/>
        <v>#REF!</v>
      </c>
      <c r="BL188" s="369" t="str">
        <f t="shared" si="147"/>
        <v>#REF!</v>
      </c>
      <c r="BM188" s="369" t="str">
        <f t="shared" si="147"/>
        <v>#REF!</v>
      </c>
      <c r="BN188" s="369" t="str">
        <f t="shared" si="147"/>
        <v>#REF!</v>
      </c>
      <c r="BO188" s="369" t="str">
        <f t="shared" si="147"/>
        <v>#REF!</v>
      </c>
      <c r="BP188" s="369" t="str">
        <f t="shared" si="147"/>
        <v>#REF!</v>
      </c>
      <c r="BQ188" s="369" t="str">
        <f t="shared" si="147"/>
        <v>#REF!</v>
      </c>
      <c r="BR188" s="369" t="str">
        <f t="shared" si="147"/>
        <v>#REF!</v>
      </c>
      <c r="BS188" s="369" t="str">
        <f t="shared" si="147"/>
        <v>#REF!</v>
      </c>
      <c r="BT188" s="369" t="str">
        <f t="shared" si="147"/>
        <v>#REF!</v>
      </c>
      <c r="BU188" s="369" t="str">
        <f t="shared" si="147"/>
        <v>#REF!</v>
      </c>
      <c r="BV188" s="369" t="str">
        <f t="shared" si="147"/>
        <v>#REF!</v>
      </c>
      <c r="BW188" s="369" t="str">
        <f t="shared" si="147"/>
        <v>#REF!</v>
      </c>
      <c r="BX188" s="369" t="str">
        <f t="shared" si="147"/>
        <v>#REF!</v>
      </c>
      <c r="BY188" s="369" t="str">
        <f t="shared" si="147"/>
        <v>#REF!</v>
      </c>
      <c r="BZ188" s="369" t="str">
        <f t="shared" si="147"/>
        <v>#REF!</v>
      </c>
      <c r="CA188" s="255" t="str">
        <f t="shared" si="147"/>
        <v>#REF!</v>
      </c>
      <c r="CB188" s="369" t="str">
        <f t="shared" si="147"/>
        <v>#REF!</v>
      </c>
      <c r="CC188" s="399"/>
    </row>
    <row r="189">
      <c r="M189" s="388"/>
      <c r="AU189" s="399"/>
      <c r="AV189" s="399"/>
      <c r="AW189" s="378"/>
      <c r="AX189" s="399"/>
      <c r="AY189" s="399"/>
      <c r="AZ189" s="399"/>
      <c r="BA189" s="164"/>
      <c r="BB189" s="399"/>
      <c r="BC189" s="399"/>
      <c r="BD189" s="399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99"/>
    </row>
    <row r="190">
      <c r="M190" s="388"/>
      <c r="AU190" s="399"/>
      <c r="AV190" s="399"/>
      <c r="AW190" s="378"/>
      <c r="AX190" s="399"/>
      <c r="AY190" s="399"/>
      <c r="AZ190" s="399"/>
      <c r="BA190" s="164"/>
      <c r="BB190" s="399"/>
      <c r="BC190" s="399"/>
      <c r="BD190" s="399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99"/>
    </row>
    <row r="191">
      <c r="M191" s="388"/>
      <c r="AU191" s="399"/>
      <c r="AV191" s="399"/>
      <c r="AW191" s="378"/>
      <c r="AX191" s="399"/>
      <c r="AY191" s="399"/>
      <c r="AZ191" s="399"/>
      <c r="BA191" s="164"/>
      <c r="BB191" s="399"/>
      <c r="BC191" s="399"/>
      <c r="BD191" s="399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99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60" t="s">
        <v>327</v>
      </c>
      <c r="B1" s="9"/>
      <c r="C1" s="361"/>
      <c r="AA1" s="244"/>
      <c r="AB1" s="244"/>
    </row>
    <row r="2">
      <c r="A2" s="27"/>
      <c r="B2" s="28"/>
      <c r="C2" s="361">
        <v>2025.0</v>
      </c>
      <c r="O2" s="362">
        <v>2026.0</v>
      </c>
      <c r="AA2" s="244"/>
      <c r="AB2" s="244"/>
    </row>
    <row r="3">
      <c r="A3" s="363" t="s">
        <v>16</v>
      </c>
      <c r="B3" s="363" t="s">
        <v>2</v>
      </c>
      <c r="C3" s="363" t="s">
        <v>23</v>
      </c>
      <c r="D3" s="363" t="s">
        <v>24</v>
      </c>
      <c r="E3" s="363" t="s">
        <v>25</v>
      </c>
      <c r="F3" s="363" t="s">
        <v>28</v>
      </c>
      <c r="G3" s="363" t="s">
        <v>30</v>
      </c>
      <c r="H3" s="363" t="s">
        <v>33</v>
      </c>
      <c r="I3" s="363" t="s">
        <v>36</v>
      </c>
      <c r="J3" s="363" t="s">
        <v>39</v>
      </c>
      <c r="K3" s="363" t="s">
        <v>42</v>
      </c>
      <c r="L3" s="363" t="s">
        <v>44</v>
      </c>
      <c r="M3" s="363" t="s">
        <v>46</v>
      </c>
      <c r="N3" s="363" t="s">
        <v>49</v>
      </c>
      <c r="O3" s="363" t="s">
        <v>23</v>
      </c>
      <c r="P3" s="363" t="s">
        <v>24</v>
      </c>
      <c r="Q3" s="363" t="s">
        <v>25</v>
      </c>
      <c r="R3" s="363" t="s">
        <v>28</v>
      </c>
      <c r="S3" s="363" t="s">
        <v>30</v>
      </c>
      <c r="T3" s="363" t="s">
        <v>33</v>
      </c>
      <c r="U3" s="363" t="s">
        <v>36</v>
      </c>
      <c r="V3" s="363" t="s">
        <v>39</v>
      </c>
      <c r="W3" s="363" t="s">
        <v>42</v>
      </c>
      <c r="X3" s="363" t="s">
        <v>44</v>
      </c>
      <c r="Y3" s="363" t="s">
        <v>46</v>
      </c>
      <c r="Z3" s="363" t="s">
        <v>49</v>
      </c>
      <c r="AA3" s="364" t="s">
        <v>58</v>
      </c>
      <c r="AB3" s="365"/>
    </row>
    <row r="4">
      <c r="A4" s="311" t="s">
        <v>65</v>
      </c>
      <c r="B4" s="306">
        <v>2702.0</v>
      </c>
      <c r="C4" s="161">
        <v>1.0</v>
      </c>
      <c r="D4" s="161">
        <v>1.0</v>
      </c>
      <c r="E4" s="161">
        <v>1.0</v>
      </c>
      <c r="F4" s="161">
        <v>1.0</v>
      </c>
      <c r="G4" s="366" t="s">
        <v>51</v>
      </c>
      <c r="H4" s="161" t="s">
        <v>77</v>
      </c>
      <c r="I4" s="161" t="s">
        <v>77</v>
      </c>
      <c r="J4" s="161" t="s">
        <v>77</v>
      </c>
      <c r="K4" s="161" t="s">
        <v>77</v>
      </c>
      <c r="L4" s="161" t="s">
        <v>77</v>
      </c>
      <c r="M4" s="161" t="s">
        <v>77</v>
      </c>
      <c r="N4" s="161" t="s">
        <v>77</v>
      </c>
      <c r="O4" s="161" t="s">
        <v>77</v>
      </c>
      <c r="P4" s="161" t="s">
        <v>77</v>
      </c>
      <c r="Q4" s="161" t="s">
        <v>77</v>
      </c>
      <c r="R4" s="161" t="s">
        <v>77</v>
      </c>
      <c r="S4" s="161" t="s">
        <v>77</v>
      </c>
      <c r="T4" s="161" t="s">
        <v>77</v>
      </c>
      <c r="U4" s="161" t="s">
        <v>77</v>
      </c>
      <c r="V4" s="161" t="s">
        <v>77</v>
      </c>
      <c r="W4" s="161" t="s">
        <v>77</v>
      </c>
      <c r="X4" s="161" t="s">
        <v>77</v>
      </c>
      <c r="Y4" s="161" t="s">
        <v>77</v>
      </c>
      <c r="Z4" s="161" t="s">
        <v>77</v>
      </c>
      <c r="AA4" s="368" t="s">
        <v>328</v>
      </c>
      <c r="AB4" s="370" t="s">
        <v>329</v>
      </c>
    </row>
    <row r="5">
      <c r="A5" s="311" t="s">
        <v>74</v>
      </c>
      <c r="B5" s="306">
        <v>2703.0</v>
      </c>
      <c r="C5" s="161">
        <v>1.0</v>
      </c>
      <c r="D5" s="161">
        <v>1.0</v>
      </c>
      <c r="E5" s="161">
        <v>1.0</v>
      </c>
      <c r="F5" s="161">
        <v>1.0</v>
      </c>
      <c r="G5" s="161">
        <v>1.0</v>
      </c>
      <c r="H5" s="161">
        <v>1.0</v>
      </c>
      <c r="I5" s="161">
        <v>1.0</v>
      </c>
      <c r="J5" s="161">
        <v>1.0</v>
      </c>
      <c r="K5" s="161">
        <v>1.0</v>
      </c>
      <c r="L5" s="161">
        <v>1.0</v>
      </c>
      <c r="M5" s="161">
        <v>1.0</v>
      </c>
      <c r="N5" s="161">
        <v>1.0</v>
      </c>
      <c r="O5" s="161">
        <v>1.0</v>
      </c>
      <c r="P5" s="161">
        <v>1.0</v>
      </c>
      <c r="Q5" s="161">
        <v>1.0</v>
      </c>
      <c r="R5" s="161">
        <v>1.0</v>
      </c>
      <c r="S5" s="161">
        <v>1.0</v>
      </c>
      <c r="T5" s="161">
        <v>1.0</v>
      </c>
      <c r="U5" s="161">
        <v>1.0</v>
      </c>
      <c r="V5" s="161">
        <v>1.0</v>
      </c>
      <c r="W5" s="161">
        <v>1.0</v>
      </c>
      <c r="X5" s="161">
        <v>1.0</v>
      </c>
      <c r="Y5" s="161">
        <v>1.0</v>
      </c>
      <c r="Z5" s="161">
        <v>1.0</v>
      </c>
      <c r="AA5" s="225"/>
      <c r="AB5" s="370" t="s">
        <v>330</v>
      </c>
    </row>
    <row r="6">
      <c r="A6" s="306" t="s">
        <v>81</v>
      </c>
      <c r="B6" s="306">
        <v>2719.0</v>
      </c>
      <c r="C6" s="161">
        <v>1.0</v>
      </c>
      <c r="D6" s="161">
        <v>1.0</v>
      </c>
      <c r="E6" s="161">
        <v>1.0</v>
      </c>
      <c r="F6" s="161">
        <v>1.0</v>
      </c>
      <c r="G6" s="161">
        <v>1.0</v>
      </c>
      <c r="H6" s="161">
        <v>1.0</v>
      </c>
      <c r="I6" s="161">
        <v>1.0</v>
      </c>
      <c r="J6" s="161">
        <v>1.0</v>
      </c>
      <c r="K6" s="161">
        <v>1.0</v>
      </c>
      <c r="L6" s="161">
        <v>1.0</v>
      </c>
      <c r="M6" s="377" t="s">
        <v>139</v>
      </c>
      <c r="N6" s="161">
        <v>1.0</v>
      </c>
      <c r="O6" s="161">
        <v>1.0</v>
      </c>
      <c r="P6" s="161">
        <v>1.0</v>
      </c>
      <c r="Q6" s="161">
        <v>1.0</v>
      </c>
      <c r="R6" s="161">
        <v>1.0</v>
      </c>
      <c r="S6" s="161">
        <v>1.0</v>
      </c>
      <c r="T6" s="161">
        <v>1.0</v>
      </c>
      <c r="U6" s="161">
        <v>1.0</v>
      </c>
      <c r="V6" s="161">
        <v>1.0</v>
      </c>
      <c r="W6" s="161">
        <v>1.0</v>
      </c>
      <c r="X6" s="161">
        <v>1.0</v>
      </c>
      <c r="Y6" s="161">
        <v>1.0</v>
      </c>
      <c r="Z6" s="161">
        <v>1.0</v>
      </c>
      <c r="AA6" s="379"/>
      <c r="AB6" s="201"/>
    </row>
    <row r="7">
      <c r="A7" s="306" t="s">
        <v>82</v>
      </c>
      <c r="B7" s="306"/>
      <c r="C7" s="161" t="s">
        <v>77</v>
      </c>
      <c r="D7" s="161" t="s">
        <v>77</v>
      </c>
      <c r="E7" s="161" t="s">
        <v>77</v>
      </c>
      <c r="F7" s="161" t="s">
        <v>77</v>
      </c>
      <c r="G7" s="161" t="s">
        <v>77</v>
      </c>
      <c r="H7" s="161" t="s">
        <v>77</v>
      </c>
      <c r="I7" s="161" t="s">
        <v>77</v>
      </c>
      <c r="J7" s="161" t="s">
        <v>77</v>
      </c>
      <c r="K7" s="161" t="s">
        <v>77</v>
      </c>
      <c r="L7" s="161" t="s">
        <v>77</v>
      </c>
      <c r="M7" s="161" t="s">
        <v>77</v>
      </c>
      <c r="N7" s="161" t="s">
        <v>77</v>
      </c>
      <c r="O7" s="161" t="s">
        <v>77</v>
      </c>
      <c r="P7" s="161" t="s">
        <v>77</v>
      </c>
      <c r="Q7" s="161" t="s">
        <v>77</v>
      </c>
      <c r="R7" s="161" t="s">
        <v>77</v>
      </c>
      <c r="S7" s="161" t="s">
        <v>77</v>
      </c>
      <c r="T7" s="161" t="s">
        <v>77</v>
      </c>
      <c r="U7" s="161" t="s">
        <v>77</v>
      </c>
      <c r="V7" s="161" t="s">
        <v>77</v>
      </c>
      <c r="W7" s="161" t="s">
        <v>77</v>
      </c>
      <c r="X7" s="161" t="s">
        <v>77</v>
      </c>
      <c r="Y7" s="161" t="s">
        <v>77</v>
      </c>
      <c r="Z7" s="161" t="s">
        <v>77</v>
      </c>
      <c r="AA7" s="383" t="s">
        <v>332</v>
      </c>
      <c r="AB7" s="118"/>
    </row>
    <row r="8">
      <c r="A8" s="306" t="s">
        <v>92</v>
      </c>
      <c r="B8" s="306"/>
      <c r="C8" s="161" t="s">
        <v>77</v>
      </c>
      <c r="D8" s="161" t="s">
        <v>77</v>
      </c>
      <c r="E8" s="161" t="s">
        <v>77</v>
      </c>
      <c r="F8" s="161" t="s">
        <v>77</v>
      </c>
      <c r="G8" s="161" t="s">
        <v>77</v>
      </c>
      <c r="H8" s="161" t="s">
        <v>77</v>
      </c>
      <c r="I8" s="161" t="s">
        <v>77</v>
      </c>
      <c r="J8" s="161" t="s">
        <v>77</v>
      </c>
      <c r="K8" s="161" t="s">
        <v>77</v>
      </c>
      <c r="L8" s="161" t="s">
        <v>77</v>
      </c>
      <c r="M8" s="161" t="s">
        <v>77</v>
      </c>
      <c r="N8" s="161" t="s">
        <v>77</v>
      </c>
      <c r="O8" s="161" t="s">
        <v>77</v>
      </c>
      <c r="P8" s="161" t="s">
        <v>77</v>
      </c>
      <c r="Q8" s="161" t="s">
        <v>77</v>
      </c>
      <c r="R8" s="161" t="s">
        <v>77</v>
      </c>
      <c r="S8" s="161" t="s">
        <v>77</v>
      </c>
      <c r="T8" s="161" t="s">
        <v>77</v>
      </c>
      <c r="U8" s="161" t="s">
        <v>77</v>
      </c>
      <c r="V8" s="161" t="s">
        <v>77</v>
      </c>
      <c r="W8" s="161" t="s">
        <v>77</v>
      </c>
      <c r="X8" s="161" t="s">
        <v>77</v>
      </c>
      <c r="Y8" s="161" t="s">
        <v>77</v>
      </c>
      <c r="Z8" s="161" t="s">
        <v>77</v>
      </c>
      <c r="AA8" s="383" t="s">
        <v>333</v>
      </c>
      <c r="AB8" s="118"/>
    </row>
    <row r="9">
      <c r="A9" s="311" t="s">
        <v>98</v>
      </c>
      <c r="B9" s="311">
        <v>2740.0</v>
      </c>
      <c r="C9" s="161">
        <v>1.0</v>
      </c>
      <c r="D9" s="161">
        <v>1.0</v>
      </c>
      <c r="E9" s="161">
        <v>1.0</v>
      </c>
      <c r="F9" s="161">
        <v>1.0</v>
      </c>
      <c r="G9" s="161">
        <v>1.0</v>
      </c>
      <c r="H9" s="161">
        <v>1.0</v>
      </c>
      <c r="I9" s="161">
        <v>1.0</v>
      </c>
      <c r="J9" s="161">
        <v>1.0</v>
      </c>
      <c r="K9" s="161">
        <v>1.0</v>
      </c>
      <c r="L9" s="161">
        <v>1.0</v>
      </c>
      <c r="M9" s="377" t="s">
        <v>139</v>
      </c>
      <c r="N9" s="161">
        <v>1.0</v>
      </c>
      <c r="O9" s="161">
        <v>1.0</v>
      </c>
      <c r="P9" s="161">
        <v>1.0</v>
      </c>
      <c r="Q9" s="161">
        <v>1.0</v>
      </c>
      <c r="R9" s="161">
        <v>1.0</v>
      </c>
      <c r="S9" s="161">
        <v>1.0</v>
      </c>
      <c r="T9" s="161">
        <v>1.0</v>
      </c>
      <c r="U9" s="161">
        <v>1.0</v>
      </c>
      <c r="V9" s="161">
        <v>1.0</v>
      </c>
      <c r="W9" s="161">
        <v>1.0</v>
      </c>
      <c r="X9" s="161">
        <v>1.0</v>
      </c>
      <c r="Y9" s="161">
        <v>1.0</v>
      </c>
      <c r="Z9" s="161">
        <v>1.0</v>
      </c>
      <c r="AA9" s="225"/>
      <c r="AB9" s="370" t="s">
        <v>334</v>
      </c>
    </row>
    <row r="10">
      <c r="A10" s="311" t="s">
        <v>104</v>
      </c>
      <c r="B10" s="311"/>
      <c r="C10" s="161" t="s">
        <v>77</v>
      </c>
      <c r="D10" s="161" t="s">
        <v>77</v>
      </c>
      <c r="E10" s="161" t="s">
        <v>77</v>
      </c>
      <c r="F10" s="161" t="s">
        <v>77</v>
      </c>
      <c r="G10" s="161" t="s">
        <v>77</v>
      </c>
      <c r="H10" s="161" t="s">
        <v>77</v>
      </c>
      <c r="I10" s="161" t="s">
        <v>77</v>
      </c>
      <c r="J10" s="161" t="s">
        <v>77</v>
      </c>
      <c r="K10" s="161" t="s">
        <v>77</v>
      </c>
      <c r="L10" s="161" t="s">
        <v>77</v>
      </c>
      <c r="M10" s="161" t="s">
        <v>77</v>
      </c>
      <c r="N10" s="161" t="s">
        <v>77</v>
      </c>
      <c r="O10" s="161" t="s">
        <v>77</v>
      </c>
      <c r="P10" s="161" t="s">
        <v>77</v>
      </c>
      <c r="Q10" s="161" t="s">
        <v>77</v>
      </c>
      <c r="R10" s="161" t="s">
        <v>77</v>
      </c>
      <c r="S10" s="161" t="s">
        <v>77</v>
      </c>
      <c r="T10" s="161" t="s">
        <v>77</v>
      </c>
      <c r="U10" s="161" t="s">
        <v>77</v>
      </c>
      <c r="V10" s="161" t="s">
        <v>77</v>
      </c>
      <c r="W10" s="161" t="s">
        <v>77</v>
      </c>
      <c r="X10" s="161" t="s">
        <v>77</v>
      </c>
      <c r="Y10" s="161" t="s">
        <v>77</v>
      </c>
      <c r="Z10" s="161" t="s">
        <v>77</v>
      </c>
      <c r="AA10" s="179" t="s">
        <v>335</v>
      </c>
      <c r="AB10" s="118"/>
    </row>
    <row r="11">
      <c r="A11" s="306" t="s">
        <v>90</v>
      </c>
      <c r="B11" s="306">
        <v>2733.0</v>
      </c>
      <c r="C11" s="161">
        <v>1.0</v>
      </c>
      <c r="D11" s="161">
        <v>1.0</v>
      </c>
      <c r="E11" s="161">
        <v>1.0</v>
      </c>
      <c r="F11" s="161">
        <v>1.0</v>
      </c>
      <c r="G11" s="161">
        <v>1.0</v>
      </c>
      <c r="H11" s="161">
        <v>1.0</v>
      </c>
      <c r="I11" s="161">
        <v>1.0</v>
      </c>
      <c r="J11" s="161">
        <v>1.0</v>
      </c>
      <c r="K11" s="161">
        <v>1.0</v>
      </c>
      <c r="L11" s="161">
        <v>1.0</v>
      </c>
      <c r="M11" s="161">
        <v>1.0</v>
      </c>
      <c r="N11" s="161">
        <v>1.0</v>
      </c>
      <c r="O11" s="161">
        <v>1.0</v>
      </c>
      <c r="P11" s="161">
        <v>1.0</v>
      </c>
      <c r="Q11" s="161">
        <v>1.0</v>
      </c>
      <c r="R11" s="161">
        <v>1.0</v>
      </c>
      <c r="S11" s="161">
        <v>1.0</v>
      </c>
      <c r="T11" s="377" t="s">
        <v>139</v>
      </c>
      <c r="U11" s="161">
        <v>1.0</v>
      </c>
      <c r="V11" s="161">
        <v>1.0</v>
      </c>
      <c r="W11" s="161">
        <v>1.0</v>
      </c>
      <c r="X11" s="161">
        <v>1.0</v>
      </c>
      <c r="Y11" s="161">
        <v>1.0</v>
      </c>
      <c r="Z11" s="161">
        <v>1.0</v>
      </c>
      <c r="AA11" s="379"/>
      <c r="AB11" s="201"/>
    </row>
    <row r="12">
      <c r="A12" s="306" t="s">
        <v>57</v>
      </c>
      <c r="B12" s="306"/>
      <c r="C12" s="161" t="s">
        <v>77</v>
      </c>
      <c r="D12" s="161" t="s">
        <v>77</v>
      </c>
      <c r="E12" s="161" t="s">
        <v>77</v>
      </c>
      <c r="F12" s="161" t="s">
        <v>77</v>
      </c>
      <c r="G12" s="161" t="s">
        <v>77</v>
      </c>
      <c r="H12" s="161" t="s">
        <v>77</v>
      </c>
      <c r="I12" s="161" t="s">
        <v>77</v>
      </c>
      <c r="J12" s="161" t="s">
        <v>77</v>
      </c>
      <c r="K12" s="161" t="s">
        <v>77</v>
      </c>
      <c r="L12" s="161" t="s">
        <v>77</v>
      </c>
      <c r="M12" s="161" t="s">
        <v>77</v>
      </c>
      <c r="N12" s="161" t="s">
        <v>77</v>
      </c>
      <c r="O12" s="161" t="s">
        <v>77</v>
      </c>
      <c r="P12" s="161" t="s">
        <v>77</v>
      </c>
      <c r="Q12" s="161" t="s">
        <v>77</v>
      </c>
      <c r="R12" s="161" t="s">
        <v>77</v>
      </c>
      <c r="S12" s="161" t="s">
        <v>77</v>
      </c>
      <c r="T12" s="161" t="s">
        <v>77</v>
      </c>
      <c r="U12" s="161" t="s">
        <v>77</v>
      </c>
      <c r="V12" s="161" t="s">
        <v>77</v>
      </c>
      <c r="W12" s="161" t="s">
        <v>77</v>
      </c>
      <c r="X12" s="161" t="s">
        <v>77</v>
      </c>
      <c r="Y12" s="161" t="s">
        <v>77</v>
      </c>
      <c r="Z12" s="161" t="s">
        <v>77</v>
      </c>
      <c r="AA12" s="383" t="s">
        <v>333</v>
      </c>
      <c r="AB12" s="118"/>
    </row>
    <row r="13">
      <c r="A13" s="306" t="s">
        <v>126</v>
      </c>
      <c r="B13" s="306">
        <v>2728.0</v>
      </c>
      <c r="C13" s="161">
        <v>1.0</v>
      </c>
      <c r="D13" s="161">
        <v>1.0</v>
      </c>
      <c r="E13" s="161">
        <v>1.0</v>
      </c>
      <c r="F13" s="161">
        <v>1.0</v>
      </c>
      <c r="G13" s="161">
        <v>1.0</v>
      </c>
      <c r="H13" s="161">
        <v>1.0</v>
      </c>
      <c r="I13" s="161">
        <v>1.0</v>
      </c>
      <c r="J13" s="161">
        <v>1.0</v>
      </c>
      <c r="K13" s="161">
        <v>1.0</v>
      </c>
      <c r="L13" s="161">
        <v>1.0</v>
      </c>
      <c r="M13" s="161">
        <v>1.0</v>
      </c>
      <c r="N13" s="161">
        <v>1.0</v>
      </c>
      <c r="O13" s="161">
        <v>1.0</v>
      </c>
      <c r="P13" s="161">
        <v>1.0</v>
      </c>
      <c r="Q13" s="161">
        <v>1.0</v>
      </c>
      <c r="R13" s="161">
        <v>1.0</v>
      </c>
      <c r="S13" s="161">
        <v>1.0</v>
      </c>
      <c r="T13" s="161">
        <v>1.0</v>
      </c>
      <c r="U13" s="161">
        <v>1.0</v>
      </c>
      <c r="V13" s="161">
        <v>1.0</v>
      </c>
      <c r="W13" s="161">
        <v>1.0</v>
      </c>
      <c r="X13" s="161">
        <v>1.0</v>
      </c>
      <c r="Y13" s="161">
        <v>1.0</v>
      </c>
      <c r="Z13" s="161">
        <v>1.0</v>
      </c>
      <c r="AA13" s="225"/>
      <c r="AB13" s="154"/>
    </row>
    <row r="14">
      <c r="A14" s="306" t="s">
        <v>252</v>
      </c>
      <c r="B14" s="306"/>
      <c r="C14" s="161" t="s">
        <v>77</v>
      </c>
      <c r="D14" s="161" t="s">
        <v>77</v>
      </c>
      <c r="E14" s="161" t="s">
        <v>77</v>
      </c>
      <c r="F14" s="161" t="s">
        <v>77</v>
      </c>
      <c r="G14" s="161" t="s">
        <v>77</v>
      </c>
      <c r="H14" s="161" t="s">
        <v>77</v>
      </c>
      <c r="I14" s="161" t="s">
        <v>77</v>
      </c>
      <c r="J14" s="161" t="s">
        <v>77</v>
      </c>
      <c r="K14" s="161" t="s">
        <v>77</v>
      </c>
      <c r="L14" s="161" t="s">
        <v>77</v>
      </c>
      <c r="M14" s="161" t="s">
        <v>77</v>
      </c>
      <c r="N14" s="161" t="s">
        <v>77</v>
      </c>
      <c r="O14" s="161" t="s">
        <v>77</v>
      </c>
      <c r="P14" s="161" t="s">
        <v>77</v>
      </c>
      <c r="Q14" s="161" t="s">
        <v>77</v>
      </c>
      <c r="R14" s="161" t="s">
        <v>77</v>
      </c>
      <c r="S14" s="161" t="s">
        <v>77</v>
      </c>
      <c r="T14" s="161" t="s">
        <v>77</v>
      </c>
      <c r="U14" s="161" t="s">
        <v>77</v>
      </c>
      <c r="V14" s="161" t="s">
        <v>77</v>
      </c>
      <c r="W14" s="161" t="s">
        <v>77</v>
      </c>
      <c r="X14" s="161" t="s">
        <v>77</v>
      </c>
      <c r="Y14" s="161" t="s">
        <v>77</v>
      </c>
      <c r="Z14" s="161" t="s">
        <v>77</v>
      </c>
      <c r="AA14" s="383" t="s">
        <v>337</v>
      </c>
      <c r="AB14" s="118"/>
    </row>
    <row r="15">
      <c r="A15" s="306" t="s">
        <v>130</v>
      </c>
      <c r="B15" s="306"/>
      <c r="C15" s="161" t="s">
        <v>77</v>
      </c>
      <c r="D15" s="161" t="s">
        <v>77</v>
      </c>
      <c r="E15" s="161" t="s">
        <v>77</v>
      </c>
      <c r="F15" s="161" t="s">
        <v>77</v>
      </c>
      <c r="G15" s="161" t="s">
        <v>77</v>
      </c>
      <c r="H15" s="161" t="s">
        <v>77</v>
      </c>
      <c r="I15" s="161" t="s">
        <v>77</v>
      </c>
      <c r="J15" s="161" t="s">
        <v>77</v>
      </c>
      <c r="K15" s="161" t="s">
        <v>77</v>
      </c>
      <c r="L15" s="161" t="s">
        <v>77</v>
      </c>
      <c r="M15" s="161" t="s">
        <v>77</v>
      </c>
      <c r="N15" s="161" t="s">
        <v>77</v>
      </c>
      <c r="O15" s="161" t="s">
        <v>77</v>
      </c>
      <c r="P15" s="161" t="s">
        <v>77</v>
      </c>
      <c r="Q15" s="161" t="s">
        <v>77</v>
      </c>
      <c r="R15" s="161" t="s">
        <v>77</v>
      </c>
      <c r="S15" s="161" t="s">
        <v>77</v>
      </c>
      <c r="T15" s="161" t="s">
        <v>77</v>
      </c>
      <c r="U15" s="161" t="s">
        <v>77</v>
      </c>
      <c r="V15" s="161" t="s">
        <v>77</v>
      </c>
      <c r="W15" s="161" t="s">
        <v>77</v>
      </c>
      <c r="X15" s="161" t="s">
        <v>77</v>
      </c>
      <c r="Y15" s="161" t="s">
        <v>77</v>
      </c>
      <c r="Z15" s="161" t="s">
        <v>77</v>
      </c>
      <c r="AA15" s="383" t="s">
        <v>337</v>
      </c>
      <c r="AB15" s="118"/>
    </row>
    <row r="16">
      <c r="A16" s="306" t="s">
        <v>338</v>
      </c>
      <c r="B16" s="306"/>
      <c r="C16" s="161" t="s">
        <v>77</v>
      </c>
      <c r="D16" s="161" t="s">
        <v>77</v>
      </c>
      <c r="E16" s="161" t="s">
        <v>77</v>
      </c>
      <c r="F16" s="161" t="s">
        <v>77</v>
      </c>
      <c r="G16" s="161" t="s">
        <v>77</v>
      </c>
      <c r="H16" s="161" t="s">
        <v>77</v>
      </c>
      <c r="I16" s="161" t="s">
        <v>77</v>
      </c>
      <c r="J16" s="161" t="s">
        <v>77</v>
      </c>
      <c r="K16" s="161" t="s">
        <v>77</v>
      </c>
      <c r="L16" s="161" t="s">
        <v>77</v>
      </c>
      <c r="M16" s="161" t="s">
        <v>77</v>
      </c>
      <c r="N16" s="161" t="s">
        <v>77</v>
      </c>
      <c r="O16" s="161" t="s">
        <v>77</v>
      </c>
      <c r="P16" s="161" t="s">
        <v>77</v>
      </c>
      <c r="Q16" s="161" t="s">
        <v>77</v>
      </c>
      <c r="R16" s="161" t="s">
        <v>77</v>
      </c>
      <c r="S16" s="161" t="s">
        <v>77</v>
      </c>
      <c r="T16" s="161" t="s">
        <v>77</v>
      </c>
      <c r="U16" s="161" t="s">
        <v>77</v>
      </c>
      <c r="V16" s="161" t="s">
        <v>77</v>
      </c>
      <c r="W16" s="161" t="s">
        <v>77</v>
      </c>
      <c r="X16" s="161" t="s">
        <v>77</v>
      </c>
      <c r="Y16" s="161" t="s">
        <v>77</v>
      </c>
      <c r="Z16" s="161" t="s">
        <v>77</v>
      </c>
      <c r="AA16" s="383" t="s">
        <v>339</v>
      </c>
      <c r="AB16" s="118"/>
    </row>
    <row r="17">
      <c r="A17" s="306" t="s">
        <v>253</v>
      </c>
      <c r="B17" s="306"/>
      <c r="C17" s="161" t="s">
        <v>77</v>
      </c>
      <c r="D17" s="161" t="s">
        <v>77</v>
      </c>
      <c r="E17" s="161" t="s">
        <v>77</v>
      </c>
      <c r="F17" s="161" t="s">
        <v>77</v>
      </c>
      <c r="G17" s="161" t="s">
        <v>77</v>
      </c>
      <c r="H17" s="161" t="s">
        <v>77</v>
      </c>
      <c r="I17" s="161" t="s">
        <v>77</v>
      </c>
      <c r="J17" s="161" t="s">
        <v>77</v>
      </c>
      <c r="K17" s="161" t="s">
        <v>77</v>
      </c>
      <c r="L17" s="161" t="s">
        <v>77</v>
      </c>
      <c r="M17" s="161" t="s">
        <v>77</v>
      </c>
      <c r="N17" s="161" t="s">
        <v>77</v>
      </c>
      <c r="O17" s="161" t="s">
        <v>77</v>
      </c>
      <c r="P17" s="161" t="s">
        <v>77</v>
      </c>
      <c r="Q17" s="161" t="s">
        <v>77</v>
      </c>
      <c r="R17" s="161" t="s">
        <v>77</v>
      </c>
      <c r="S17" s="161" t="s">
        <v>77</v>
      </c>
      <c r="T17" s="161" t="s">
        <v>77</v>
      </c>
      <c r="U17" s="161" t="s">
        <v>77</v>
      </c>
      <c r="V17" s="161" t="s">
        <v>77</v>
      </c>
      <c r="W17" s="161" t="s">
        <v>77</v>
      </c>
      <c r="X17" s="161" t="s">
        <v>77</v>
      </c>
      <c r="Y17" s="161" t="s">
        <v>77</v>
      </c>
      <c r="Z17" s="161" t="s">
        <v>77</v>
      </c>
      <c r="AA17" s="383" t="s">
        <v>339</v>
      </c>
      <c r="AB17" s="118"/>
    </row>
    <row r="18">
      <c r="A18" s="306" t="s">
        <v>134</v>
      </c>
      <c r="B18" s="306"/>
      <c r="C18" s="161" t="s">
        <v>77</v>
      </c>
      <c r="D18" s="161" t="s">
        <v>77</v>
      </c>
      <c r="E18" s="161" t="s">
        <v>77</v>
      </c>
      <c r="F18" s="161" t="s">
        <v>77</v>
      </c>
      <c r="G18" s="161" t="s">
        <v>77</v>
      </c>
      <c r="H18" s="161" t="s">
        <v>77</v>
      </c>
      <c r="I18" s="161" t="s">
        <v>77</v>
      </c>
      <c r="J18" s="161" t="s">
        <v>77</v>
      </c>
      <c r="K18" s="161" t="s">
        <v>77</v>
      </c>
      <c r="L18" s="161" t="s">
        <v>77</v>
      </c>
      <c r="M18" s="161" t="s">
        <v>77</v>
      </c>
      <c r="N18" s="161" t="s">
        <v>77</v>
      </c>
      <c r="O18" s="161" t="s">
        <v>77</v>
      </c>
      <c r="P18" s="161" t="s">
        <v>77</v>
      </c>
      <c r="Q18" s="161" t="s">
        <v>77</v>
      </c>
      <c r="R18" s="161" t="s">
        <v>77</v>
      </c>
      <c r="S18" s="161" t="s">
        <v>77</v>
      </c>
      <c r="T18" s="161" t="s">
        <v>77</v>
      </c>
      <c r="U18" s="161" t="s">
        <v>77</v>
      </c>
      <c r="V18" s="161" t="s">
        <v>77</v>
      </c>
      <c r="W18" s="161" t="s">
        <v>77</v>
      </c>
      <c r="X18" s="161" t="s">
        <v>77</v>
      </c>
      <c r="Y18" s="161" t="s">
        <v>77</v>
      </c>
      <c r="Z18" s="161" t="s">
        <v>77</v>
      </c>
      <c r="AA18" s="383" t="s">
        <v>337</v>
      </c>
      <c r="AB18" s="118"/>
    </row>
    <row r="19">
      <c r="A19" s="306" t="s">
        <v>100</v>
      </c>
      <c r="B19" s="306"/>
      <c r="C19" s="161" t="s">
        <v>77</v>
      </c>
      <c r="D19" s="161" t="s">
        <v>77</v>
      </c>
      <c r="E19" s="161" t="s">
        <v>77</v>
      </c>
      <c r="F19" s="161" t="s">
        <v>77</v>
      </c>
      <c r="G19" s="161" t="s">
        <v>77</v>
      </c>
      <c r="H19" s="161" t="s">
        <v>77</v>
      </c>
      <c r="I19" s="161" t="s">
        <v>77</v>
      </c>
      <c r="J19" s="161" t="s">
        <v>77</v>
      </c>
      <c r="K19" s="161" t="s">
        <v>77</v>
      </c>
      <c r="L19" s="161" t="s">
        <v>77</v>
      </c>
      <c r="M19" s="161" t="s">
        <v>77</v>
      </c>
      <c r="N19" s="161" t="s">
        <v>77</v>
      </c>
      <c r="O19" s="161" t="s">
        <v>77</v>
      </c>
      <c r="P19" s="161" t="s">
        <v>77</v>
      </c>
      <c r="Q19" s="161" t="s">
        <v>77</v>
      </c>
      <c r="R19" s="161" t="s">
        <v>77</v>
      </c>
      <c r="S19" s="161" t="s">
        <v>77</v>
      </c>
      <c r="T19" s="161" t="s">
        <v>77</v>
      </c>
      <c r="U19" s="161" t="s">
        <v>77</v>
      </c>
      <c r="V19" s="161" t="s">
        <v>77</v>
      </c>
      <c r="W19" s="161" t="s">
        <v>77</v>
      </c>
      <c r="X19" s="161" t="s">
        <v>77</v>
      </c>
      <c r="Y19" s="161" t="s">
        <v>77</v>
      </c>
      <c r="Z19" s="161" t="s">
        <v>77</v>
      </c>
      <c r="AA19" s="383" t="s">
        <v>337</v>
      </c>
      <c r="AB19" s="154"/>
    </row>
    <row r="20">
      <c r="A20" s="306" t="s">
        <v>137</v>
      </c>
      <c r="B20" s="306"/>
      <c r="C20" s="398" t="s">
        <v>77</v>
      </c>
      <c r="D20" s="398" t="s">
        <v>77</v>
      </c>
      <c r="E20" s="398" t="s">
        <v>77</v>
      </c>
      <c r="F20" s="398" t="s">
        <v>77</v>
      </c>
      <c r="G20" s="398" t="s">
        <v>77</v>
      </c>
      <c r="H20" s="398" t="s">
        <v>77</v>
      </c>
      <c r="I20" s="398" t="s">
        <v>77</v>
      </c>
      <c r="J20" s="398" t="s">
        <v>77</v>
      </c>
      <c r="K20" s="398" t="s">
        <v>77</v>
      </c>
      <c r="L20" s="398" t="s">
        <v>77</v>
      </c>
      <c r="M20" s="398" t="s">
        <v>77</v>
      </c>
      <c r="N20" s="398" t="s">
        <v>77</v>
      </c>
      <c r="O20" s="398" t="s">
        <v>77</v>
      </c>
      <c r="P20" s="398" t="s">
        <v>77</v>
      </c>
      <c r="Q20" s="398" t="s">
        <v>77</v>
      </c>
      <c r="R20" s="398" t="s">
        <v>77</v>
      </c>
      <c r="S20" s="398" t="s">
        <v>77</v>
      </c>
      <c r="T20" s="398" t="s">
        <v>77</v>
      </c>
      <c r="U20" s="398" t="s">
        <v>77</v>
      </c>
      <c r="V20" s="398" t="s">
        <v>77</v>
      </c>
      <c r="W20" s="398" t="s">
        <v>77</v>
      </c>
      <c r="X20" s="398" t="s">
        <v>77</v>
      </c>
      <c r="Y20" s="398" t="s">
        <v>77</v>
      </c>
      <c r="Z20" s="398" t="s">
        <v>77</v>
      </c>
      <c r="AA20" s="400" t="s">
        <v>343</v>
      </c>
      <c r="AB20" s="118"/>
    </row>
    <row r="21">
      <c r="A21" s="311" t="s">
        <v>140</v>
      </c>
      <c r="B21" s="306">
        <v>2727.0</v>
      </c>
      <c r="C21" s="161">
        <v>1.0</v>
      </c>
      <c r="D21" s="161">
        <v>1.0</v>
      </c>
      <c r="E21" s="161">
        <v>1.0</v>
      </c>
      <c r="F21" s="161">
        <v>1.0</v>
      </c>
      <c r="G21" s="161">
        <v>1.0</v>
      </c>
      <c r="H21" s="161">
        <v>1.0</v>
      </c>
      <c r="I21" s="161">
        <v>1.0</v>
      </c>
      <c r="J21" s="366" t="s">
        <v>51</v>
      </c>
      <c r="K21" s="161" t="s">
        <v>77</v>
      </c>
      <c r="L21" s="161" t="s">
        <v>77</v>
      </c>
      <c r="M21" s="161" t="s">
        <v>77</v>
      </c>
      <c r="N21" s="161" t="s">
        <v>77</v>
      </c>
      <c r="O21" s="161" t="s">
        <v>77</v>
      </c>
      <c r="P21" s="161" t="s">
        <v>77</v>
      </c>
      <c r="Q21" s="161" t="s">
        <v>77</v>
      </c>
      <c r="R21" s="161" t="s">
        <v>77</v>
      </c>
      <c r="S21" s="161" t="s">
        <v>77</v>
      </c>
      <c r="T21" s="161" t="s">
        <v>77</v>
      </c>
      <c r="U21" s="161" t="s">
        <v>77</v>
      </c>
      <c r="V21" s="161" t="s">
        <v>77</v>
      </c>
      <c r="W21" s="161" t="s">
        <v>77</v>
      </c>
      <c r="X21" s="161" t="s">
        <v>77</v>
      </c>
      <c r="Y21" s="161" t="s">
        <v>77</v>
      </c>
      <c r="Z21" s="161" t="s">
        <v>77</v>
      </c>
      <c r="AA21" s="402" t="s">
        <v>344</v>
      </c>
      <c r="AB21" s="370" t="s">
        <v>345</v>
      </c>
    </row>
    <row r="22">
      <c r="A22" s="306" t="s">
        <v>145</v>
      </c>
      <c r="B22" s="306"/>
      <c r="C22" s="161" t="s">
        <v>77</v>
      </c>
      <c r="D22" s="161" t="s">
        <v>77</v>
      </c>
      <c r="E22" s="161" t="s">
        <v>77</v>
      </c>
      <c r="F22" s="161" t="s">
        <v>77</v>
      </c>
      <c r="G22" s="161" t="s">
        <v>77</v>
      </c>
      <c r="H22" s="161" t="s">
        <v>77</v>
      </c>
      <c r="I22" s="161" t="s">
        <v>77</v>
      </c>
      <c r="J22" s="161" t="s">
        <v>77</v>
      </c>
      <c r="K22" s="161" t="s">
        <v>77</v>
      </c>
      <c r="L22" s="161" t="s">
        <v>77</v>
      </c>
      <c r="M22" s="161" t="s">
        <v>77</v>
      </c>
      <c r="N22" s="161" t="s">
        <v>77</v>
      </c>
      <c r="O22" s="161" t="s">
        <v>77</v>
      </c>
      <c r="P22" s="161" t="s">
        <v>77</v>
      </c>
      <c r="Q22" s="161" t="s">
        <v>77</v>
      </c>
      <c r="R22" s="161" t="s">
        <v>77</v>
      </c>
      <c r="S22" s="161" t="s">
        <v>77</v>
      </c>
      <c r="T22" s="161" t="s">
        <v>77</v>
      </c>
      <c r="U22" s="161" t="s">
        <v>77</v>
      </c>
      <c r="V22" s="161" t="s">
        <v>77</v>
      </c>
      <c r="W22" s="161" t="s">
        <v>77</v>
      </c>
      <c r="X22" s="161" t="s">
        <v>77</v>
      </c>
      <c r="Y22" s="161" t="s">
        <v>77</v>
      </c>
      <c r="Z22" s="161" t="s">
        <v>77</v>
      </c>
      <c r="AA22" s="383" t="s">
        <v>337</v>
      </c>
      <c r="AB22" s="118"/>
    </row>
    <row r="23">
      <c r="A23" s="311" t="s">
        <v>59</v>
      </c>
      <c r="B23" s="306">
        <v>2738.0</v>
      </c>
      <c r="C23" s="161">
        <v>1.0</v>
      </c>
      <c r="D23" s="161">
        <v>1.0</v>
      </c>
      <c r="E23" s="161">
        <v>1.0</v>
      </c>
      <c r="F23" s="161">
        <v>1.0</v>
      </c>
      <c r="G23" s="161">
        <v>1.0</v>
      </c>
      <c r="H23" s="161">
        <v>1.0</v>
      </c>
      <c r="I23" s="161">
        <v>1.0</v>
      </c>
      <c r="J23" s="161">
        <v>1.0</v>
      </c>
      <c r="K23" s="161">
        <v>1.0</v>
      </c>
      <c r="L23" s="161">
        <v>1.0</v>
      </c>
      <c r="M23" s="161">
        <v>1.0</v>
      </c>
      <c r="N23" s="161">
        <v>1.0</v>
      </c>
      <c r="O23" s="161">
        <v>1.0</v>
      </c>
      <c r="P23" s="161">
        <v>1.0</v>
      </c>
      <c r="Q23" s="161">
        <v>1.0</v>
      </c>
      <c r="R23" s="161">
        <v>1.0</v>
      </c>
      <c r="S23" s="161">
        <v>1.0</v>
      </c>
      <c r="T23" s="161">
        <v>1.0</v>
      </c>
      <c r="U23" s="161">
        <v>1.0</v>
      </c>
      <c r="V23" s="161">
        <v>1.0</v>
      </c>
      <c r="W23" s="161">
        <v>1.0</v>
      </c>
      <c r="X23" s="377" t="s">
        <v>139</v>
      </c>
      <c r="Y23" s="161">
        <v>1.0</v>
      </c>
      <c r="Z23" s="161">
        <v>1.0</v>
      </c>
      <c r="AA23" s="225"/>
      <c r="AB23" s="370" t="s">
        <v>346</v>
      </c>
    </row>
    <row r="24">
      <c r="A24" s="306" t="s">
        <v>152</v>
      </c>
      <c r="B24" s="306">
        <v>2731.0</v>
      </c>
      <c r="C24" s="161">
        <v>1.0</v>
      </c>
      <c r="D24" s="161">
        <v>1.0</v>
      </c>
      <c r="E24" s="161">
        <v>1.0</v>
      </c>
      <c r="F24" s="161">
        <v>1.0</v>
      </c>
      <c r="G24" s="161">
        <v>1.0</v>
      </c>
      <c r="H24" s="161">
        <v>1.0</v>
      </c>
      <c r="I24" s="161">
        <v>1.0</v>
      </c>
      <c r="J24" s="161">
        <v>1.0</v>
      </c>
      <c r="K24" s="161">
        <v>1.0</v>
      </c>
      <c r="L24" s="161">
        <v>1.0</v>
      </c>
      <c r="M24" s="161">
        <v>1.0</v>
      </c>
      <c r="N24" s="161">
        <v>1.0</v>
      </c>
      <c r="O24" s="366" t="s">
        <v>51</v>
      </c>
      <c r="P24" s="161" t="s">
        <v>77</v>
      </c>
      <c r="Q24" s="161" t="s">
        <v>77</v>
      </c>
      <c r="R24" s="161" t="s">
        <v>77</v>
      </c>
      <c r="S24" s="161" t="s">
        <v>77</v>
      </c>
      <c r="T24" s="161" t="s">
        <v>77</v>
      </c>
      <c r="U24" s="161" t="s">
        <v>77</v>
      </c>
      <c r="V24" s="161" t="s">
        <v>77</v>
      </c>
      <c r="W24" s="161" t="s">
        <v>77</v>
      </c>
      <c r="X24" s="161" t="s">
        <v>77</v>
      </c>
      <c r="Y24" s="161" t="s">
        <v>77</v>
      </c>
      <c r="Z24" s="161" t="s">
        <v>77</v>
      </c>
      <c r="AA24" s="225"/>
      <c r="AB24" s="154"/>
    </row>
    <row r="25">
      <c r="A25" s="311" t="s">
        <v>158</v>
      </c>
      <c r="B25" s="306">
        <v>2737.0</v>
      </c>
      <c r="C25" s="161">
        <v>1.0</v>
      </c>
      <c r="D25" s="161">
        <v>1.0</v>
      </c>
      <c r="E25" s="161">
        <v>1.0</v>
      </c>
      <c r="F25" s="161">
        <v>1.0</v>
      </c>
      <c r="G25" s="161">
        <v>1.0</v>
      </c>
      <c r="H25" s="366" t="s">
        <v>51</v>
      </c>
      <c r="I25" s="161" t="s">
        <v>77</v>
      </c>
      <c r="J25" s="161" t="s">
        <v>77</v>
      </c>
      <c r="K25" s="161" t="s">
        <v>77</v>
      </c>
      <c r="L25" s="161" t="s">
        <v>77</v>
      </c>
      <c r="M25" s="161" t="s">
        <v>77</v>
      </c>
      <c r="N25" s="161" t="s">
        <v>77</v>
      </c>
      <c r="O25" s="161" t="s">
        <v>77</v>
      </c>
      <c r="P25" s="161" t="s">
        <v>77</v>
      </c>
      <c r="Q25" s="161" t="s">
        <v>77</v>
      </c>
      <c r="R25" s="161" t="s">
        <v>77</v>
      </c>
      <c r="S25" s="161" t="s">
        <v>77</v>
      </c>
      <c r="T25" s="161" t="s">
        <v>77</v>
      </c>
      <c r="U25" s="161" t="s">
        <v>77</v>
      </c>
      <c r="V25" s="161" t="s">
        <v>77</v>
      </c>
      <c r="W25" s="161" t="s">
        <v>77</v>
      </c>
      <c r="X25" s="161" t="s">
        <v>77</v>
      </c>
      <c r="Y25" s="161" t="s">
        <v>77</v>
      </c>
      <c r="Z25" s="161" t="s">
        <v>77</v>
      </c>
      <c r="AA25" s="402" t="s">
        <v>348</v>
      </c>
      <c r="AB25" s="370" t="s">
        <v>349</v>
      </c>
    </row>
    <row r="26">
      <c r="A26" s="311" t="s">
        <v>160</v>
      </c>
      <c r="B26" s="306">
        <v>2741.0</v>
      </c>
      <c r="C26" s="161">
        <v>1.0</v>
      </c>
      <c r="D26" s="161">
        <v>1.0</v>
      </c>
      <c r="E26" s="161">
        <v>1.0</v>
      </c>
      <c r="F26" s="161">
        <v>1.0</v>
      </c>
      <c r="G26" s="377" t="s">
        <v>139</v>
      </c>
      <c r="H26" s="161">
        <v>1.0</v>
      </c>
      <c r="I26" s="161">
        <v>1.0</v>
      </c>
      <c r="J26" s="161">
        <v>1.0</v>
      </c>
      <c r="K26" s="161">
        <v>1.0</v>
      </c>
      <c r="L26" s="161">
        <v>1.0</v>
      </c>
      <c r="M26" s="161">
        <v>1.0</v>
      </c>
      <c r="N26" s="161">
        <v>1.0</v>
      </c>
      <c r="O26" s="161">
        <v>1.0</v>
      </c>
      <c r="P26" s="161">
        <v>1.0</v>
      </c>
      <c r="Q26" s="161">
        <v>1.0</v>
      </c>
      <c r="R26" s="161">
        <v>1.0</v>
      </c>
      <c r="S26" s="161">
        <v>1.0</v>
      </c>
      <c r="T26" s="161">
        <v>1.0</v>
      </c>
      <c r="U26" s="161">
        <v>1.0</v>
      </c>
      <c r="V26" s="161">
        <v>1.0</v>
      </c>
      <c r="W26" s="161">
        <v>1.0</v>
      </c>
      <c r="X26" s="161">
        <v>1.0</v>
      </c>
      <c r="Y26" s="161">
        <v>1.0</v>
      </c>
      <c r="Z26" s="161">
        <v>1.0</v>
      </c>
      <c r="AA26" s="225"/>
      <c r="AB26" s="370" t="s">
        <v>334</v>
      </c>
    </row>
    <row r="27">
      <c r="A27" s="311" t="s">
        <v>95</v>
      </c>
      <c r="B27" s="306">
        <v>2704.0</v>
      </c>
      <c r="C27" s="161">
        <v>1.0</v>
      </c>
      <c r="D27" s="377" t="s">
        <v>139</v>
      </c>
      <c r="E27" s="161">
        <v>1.0</v>
      </c>
      <c r="F27" s="161">
        <v>1.0</v>
      </c>
      <c r="G27" s="161">
        <v>1.0</v>
      </c>
      <c r="H27" s="161">
        <v>1.0</v>
      </c>
      <c r="I27" s="161">
        <v>1.0</v>
      </c>
      <c r="J27" s="161">
        <v>1.0</v>
      </c>
      <c r="K27" s="161">
        <v>1.0</v>
      </c>
      <c r="L27" s="161">
        <v>1.0</v>
      </c>
      <c r="M27" s="161">
        <v>1.0</v>
      </c>
      <c r="N27" s="161">
        <v>1.0</v>
      </c>
      <c r="O27" s="161">
        <v>1.0</v>
      </c>
      <c r="P27" s="161">
        <v>1.0</v>
      </c>
      <c r="Q27" s="161">
        <v>1.0</v>
      </c>
      <c r="R27" s="161">
        <v>1.0</v>
      </c>
      <c r="S27" s="161">
        <v>1.0</v>
      </c>
      <c r="T27" s="161">
        <v>1.0</v>
      </c>
      <c r="U27" s="161">
        <v>1.0</v>
      </c>
      <c r="V27" s="161">
        <v>1.0</v>
      </c>
      <c r="W27" s="161">
        <v>1.0</v>
      </c>
      <c r="X27" s="161">
        <v>1.0</v>
      </c>
      <c r="Y27" s="161">
        <v>1.0</v>
      </c>
      <c r="Z27" s="161">
        <v>1.0</v>
      </c>
      <c r="AA27" s="225"/>
      <c r="AB27" s="201"/>
    </row>
    <row r="28">
      <c r="A28" s="311" t="s">
        <v>163</v>
      </c>
      <c r="B28" s="306">
        <v>2742.0</v>
      </c>
      <c r="C28" s="161">
        <v>1.0</v>
      </c>
      <c r="D28" s="161">
        <v>1.0</v>
      </c>
      <c r="E28" s="161">
        <v>1.0</v>
      </c>
      <c r="F28" s="161">
        <v>1.0</v>
      </c>
      <c r="G28" s="161">
        <v>1.0</v>
      </c>
      <c r="H28" s="161">
        <v>1.0</v>
      </c>
      <c r="I28" s="161">
        <v>1.0</v>
      </c>
      <c r="J28" s="366" t="s">
        <v>51</v>
      </c>
      <c r="K28" s="161" t="s">
        <v>77</v>
      </c>
      <c r="L28" s="161" t="s">
        <v>77</v>
      </c>
      <c r="M28" s="161" t="s">
        <v>77</v>
      </c>
      <c r="N28" s="161" t="s">
        <v>77</v>
      </c>
      <c r="O28" s="161" t="s">
        <v>77</v>
      </c>
      <c r="P28" s="161" t="s">
        <v>77</v>
      </c>
      <c r="Q28" s="161" t="s">
        <v>77</v>
      </c>
      <c r="R28" s="161" t="s">
        <v>77</v>
      </c>
      <c r="S28" s="161" t="s">
        <v>77</v>
      </c>
      <c r="T28" s="161" t="s">
        <v>77</v>
      </c>
      <c r="U28" s="161" t="s">
        <v>77</v>
      </c>
      <c r="V28" s="161" t="s">
        <v>77</v>
      </c>
      <c r="W28" s="161" t="s">
        <v>77</v>
      </c>
      <c r="X28" s="161" t="s">
        <v>77</v>
      </c>
      <c r="Y28" s="161" t="s">
        <v>77</v>
      </c>
      <c r="Z28" s="161" t="s">
        <v>77</v>
      </c>
      <c r="AA28" s="278" t="s">
        <v>350</v>
      </c>
      <c r="AB28" s="410" t="s">
        <v>351</v>
      </c>
    </row>
    <row r="29">
      <c r="A29" s="306" t="s">
        <v>106</v>
      </c>
      <c r="B29" s="306">
        <v>2739.0</v>
      </c>
      <c r="C29" s="161">
        <v>1.0</v>
      </c>
      <c r="D29" s="161">
        <v>1.0</v>
      </c>
      <c r="E29" s="161">
        <v>1.0</v>
      </c>
      <c r="F29" s="161">
        <v>1.0</v>
      </c>
      <c r="G29" s="161">
        <v>1.0</v>
      </c>
      <c r="H29" s="161">
        <v>1.0</v>
      </c>
      <c r="I29" s="161">
        <v>1.0</v>
      </c>
      <c r="J29" s="161">
        <v>1.0</v>
      </c>
      <c r="K29" s="161">
        <v>1.0</v>
      </c>
      <c r="L29" s="161">
        <v>1.0</v>
      </c>
      <c r="M29" s="161">
        <v>1.0</v>
      </c>
      <c r="N29" s="161">
        <v>1.0</v>
      </c>
      <c r="O29" s="161">
        <v>1.0</v>
      </c>
      <c r="P29" s="161">
        <v>1.0</v>
      </c>
      <c r="Q29" s="161">
        <v>1.0</v>
      </c>
      <c r="R29" s="161">
        <v>1.0</v>
      </c>
      <c r="S29" s="161">
        <v>1.0</v>
      </c>
      <c r="T29" s="161">
        <v>1.0</v>
      </c>
      <c r="U29" s="161">
        <v>1.0</v>
      </c>
      <c r="V29" s="161">
        <v>1.0</v>
      </c>
      <c r="W29" s="161">
        <v>1.0</v>
      </c>
      <c r="X29" s="161">
        <v>1.0</v>
      </c>
      <c r="Y29" s="161">
        <v>1.0</v>
      </c>
      <c r="Z29" s="161">
        <v>1.0</v>
      </c>
      <c r="AA29" s="379"/>
      <c r="AB29" s="201"/>
    </row>
    <row r="30">
      <c r="A30" s="306" t="s">
        <v>125</v>
      </c>
      <c r="B30" s="306">
        <v>2722.0</v>
      </c>
      <c r="C30" s="161">
        <v>1.0</v>
      </c>
      <c r="D30" s="161">
        <v>1.0</v>
      </c>
      <c r="E30" s="161">
        <v>1.0</v>
      </c>
      <c r="F30" s="161">
        <v>1.0</v>
      </c>
      <c r="G30" s="161">
        <v>1.0</v>
      </c>
      <c r="H30" s="161">
        <v>1.0</v>
      </c>
      <c r="I30" s="161">
        <v>1.0</v>
      </c>
      <c r="J30" s="161">
        <v>1.0</v>
      </c>
      <c r="K30" s="161">
        <v>1.0</v>
      </c>
      <c r="L30" s="161">
        <v>1.0</v>
      </c>
      <c r="M30" s="161">
        <v>1.0</v>
      </c>
      <c r="N30" s="161">
        <v>1.0</v>
      </c>
      <c r="O30" s="161">
        <v>1.0</v>
      </c>
      <c r="P30" s="161">
        <v>1.0</v>
      </c>
      <c r="Q30" s="377" t="s">
        <v>139</v>
      </c>
      <c r="R30" s="161">
        <v>1.0</v>
      </c>
      <c r="S30" s="161">
        <v>1.0</v>
      </c>
      <c r="T30" s="161">
        <v>1.0</v>
      </c>
      <c r="U30" s="161">
        <v>1.0</v>
      </c>
      <c r="V30" s="161">
        <v>1.0</v>
      </c>
      <c r="W30" s="366" t="s">
        <v>352</v>
      </c>
      <c r="X30" s="161">
        <v>1.0</v>
      </c>
      <c r="Y30" s="161">
        <v>1.0</v>
      </c>
      <c r="Z30" s="161">
        <v>1.0</v>
      </c>
      <c r="AA30" s="379"/>
      <c r="AB30" s="201"/>
    </row>
    <row r="31">
      <c r="A31" s="306" t="s">
        <v>170</v>
      </c>
      <c r="B31" s="306"/>
      <c r="C31" s="161" t="s">
        <v>77</v>
      </c>
      <c r="D31" s="161" t="s">
        <v>77</v>
      </c>
      <c r="E31" s="161" t="s">
        <v>77</v>
      </c>
      <c r="F31" s="161" t="s">
        <v>77</v>
      </c>
      <c r="G31" s="161" t="s">
        <v>77</v>
      </c>
      <c r="H31" s="161" t="s">
        <v>77</v>
      </c>
      <c r="I31" s="161" t="s">
        <v>77</v>
      </c>
      <c r="J31" s="161" t="s">
        <v>77</v>
      </c>
      <c r="K31" s="161" t="s">
        <v>77</v>
      </c>
      <c r="L31" s="161" t="s">
        <v>77</v>
      </c>
      <c r="M31" s="161" t="s">
        <v>77</v>
      </c>
      <c r="N31" s="161" t="s">
        <v>77</v>
      </c>
      <c r="O31" s="161" t="s">
        <v>77</v>
      </c>
      <c r="P31" s="161" t="s">
        <v>77</v>
      </c>
      <c r="Q31" s="161" t="s">
        <v>77</v>
      </c>
      <c r="R31" s="161" t="s">
        <v>77</v>
      </c>
      <c r="S31" s="161" t="s">
        <v>77</v>
      </c>
      <c r="T31" s="161" t="s">
        <v>77</v>
      </c>
      <c r="U31" s="161" t="s">
        <v>77</v>
      </c>
      <c r="V31" s="161" t="s">
        <v>77</v>
      </c>
      <c r="W31" s="161" t="s">
        <v>77</v>
      </c>
      <c r="X31" s="161" t="s">
        <v>77</v>
      </c>
      <c r="Y31" s="161" t="s">
        <v>77</v>
      </c>
      <c r="Z31" s="161" t="s">
        <v>77</v>
      </c>
      <c r="AA31" s="383" t="s">
        <v>337</v>
      </c>
      <c r="AB31" s="118"/>
    </row>
    <row r="32">
      <c r="A32" s="306" t="s">
        <v>21</v>
      </c>
      <c r="B32" s="306"/>
      <c r="C32" s="161" t="s">
        <v>77</v>
      </c>
      <c r="D32" s="161" t="s">
        <v>77</v>
      </c>
      <c r="E32" s="161" t="s">
        <v>77</v>
      </c>
      <c r="F32" s="398" t="s">
        <v>77</v>
      </c>
      <c r="G32" s="398" t="s">
        <v>77</v>
      </c>
      <c r="H32" s="398" t="s">
        <v>77</v>
      </c>
      <c r="I32" s="398" t="s">
        <v>77</v>
      </c>
      <c r="J32" s="398" t="s">
        <v>77</v>
      </c>
      <c r="K32" s="398" t="s">
        <v>77</v>
      </c>
      <c r="L32" s="398" t="s">
        <v>77</v>
      </c>
      <c r="M32" s="398" t="s">
        <v>77</v>
      </c>
      <c r="N32" s="398" t="s">
        <v>77</v>
      </c>
      <c r="O32" s="398" t="s">
        <v>77</v>
      </c>
      <c r="P32" s="398" t="s">
        <v>77</v>
      </c>
      <c r="Q32" s="398" t="s">
        <v>77</v>
      </c>
      <c r="R32" s="398" t="s">
        <v>77</v>
      </c>
      <c r="S32" s="398" t="s">
        <v>77</v>
      </c>
      <c r="T32" s="398" t="s">
        <v>77</v>
      </c>
      <c r="U32" s="398" t="s">
        <v>77</v>
      </c>
      <c r="V32" s="398" t="s">
        <v>77</v>
      </c>
      <c r="W32" s="398" t="s">
        <v>77</v>
      </c>
      <c r="X32" s="398" t="s">
        <v>77</v>
      </c>
      <c r="Y32" s="398" t="s">
        <v>77</v>
      </c>
      <c r="Z32" s="398" t="s">
        <v>77</v>
      </c>
      <c r="AA32" s="400" t="s">
        <v>353</v>
      </c>
      <c r="AB32" s="118"/>
    </row>
    <row r="33">
      <c r="A33" s="306" t="s">
        <v>76</v>
      </c>
      <c r="B33" s="306">
        <v>2723.0</v>
      </c>
      <c r="C33" s="161">
        <v>1.0</v>
      </c>
      <c r="D33" s="161">
        <v>1.0</v>
      </c>
      <c r="E33" s="161">
        <v>1.0</v>
      </c>
      <c r="F33" s="161">
        <v>1.0</v>
      </c>
      <c r="G33" s="161">
        <v>1.0</v>
      </c>
      <c r="H33" s="161">
        <v>1.0</v>
      </c>
      <c r="I33" s="161">
        <v>1.0</v>
      </c>
      <c r="J33" s="161">
        <v>1.0</v>
      </c>
      <c r="K33" s="161">
        <v>1.0</v>
      </c>
      <c r="L33" s="161">
        <v>1.0</v>
      </c>
      <c r="M33" s="161">
        <v>1.0</v>
      </c>
      <c r="N33" s="161">
        <v>1.0</v>
      </c>
      <c r="O33" s="161">
        <v>1.0</v>
      </c>
      <c r="P33" s="161">
        <v>1.0</v>
      </c>
      <c r="Q33" s="161">
        <v>1.0</v>
      </c>
      <c r="R33" s="377" t="s">
        <v>139</v>
      </c>
      <c r="S33" s="161">
        <v>1.0</v>
      </c>
      <c r="T33" s="161">
        <v>1.0</v>
      </c>
      <c r="U33" s="161">
        <v>1.0</v>
      </c>
      <c r="V33" s="161">
        <v>1.0</v>
      </c>
      <c r="W33" s="161">
        <v>1.0</v>
      </c>
      <c r="X33" s="161">
        <v>1.0</v>
      </c>
      <c r="Y33" s="161">
        <v>1.0</v>
      </c>
      <c r="Z33" s="161">
        <v>1.0</v>
      </c>
      <c r="AA33" s="379"/>
      <c r="AB33" s="201"/>
    </row>
    <row r="34">
      <c r="A34" s="306" t="s">
        <v>173</v>
      </c>
      <c r="B34" s="306"/>
      <c r="C34" s="161" t="s">
        <v>77</v>
      </c>
      <c r="D34" s="161" t="s">
        <v>77</v>
      </c>
      <c r="E34" s="161" t="s">
        <v>77</v>
      </c>
      <c r="F34" s="161" t="s">
        <v>77</v>
      </c>
      <c r="G34" s="161" t="s">
        <v>77</v>
      </c>
      <c r="H34" s="161" t="s">
        <v>77</v>
      </c>
      <c r="I34" s="161" t="s">
        <v>77</v>
      </c>
      <c r="J34" s="161" t="s">
        <v>77</v>
      </c>
      <c r="K34" s="161" t="s">
        <v>77</v>
      </c>
      <c r="L34" s="161" t="s">
        <v>77</v>
      </c>
      <c r="M34" s="161" t="s">
        <v>77</v>
      </c>
      <c r="N34" s="161" t="s">
        <v>77</v>
      </c>
      <c r="O34" s="161" t="s">
        <v>77</v>
      </c>
      <c r="P34" s="161" t="s">
        <v>77</v>
      </c>
      <c r="Q34" s="161" t="s">
        <v>77</v>
      </c>
      <c r="R34" s="161" t="s">
        <v>77</v>
      </c>
      <c r="S34" s="161" t="s">
        <v>77</v>
      </c>
      <c r="T34" s="161" t="s">
        <v>77</v>
      </c>
      <c r="U34" s="161" t="s">
        <v>77</v>
      </c>
      <c r="V34" s="161" t="s">
        <v>77</v>
      </c>
      <c r="W34" s="161" t="s">
        <v>77</v>
      </c>
      <c r="X34" s="161" t="s">
        <v>77</v>
      </c>
      <c r="Y34" s="161" t="s">
        <v>77</v>
      </c>
      <c r="Z34" s="161" t="s">
        <v>77</v>
      </c>
      <c r="AA34" s="383" t="s">
        <v>333</v>
      </c>
      <c r="AB34" s="118"/>
    </row>
    <row r="35">
      <c r="A35" s="311" t="s">
        <v>113</v>
      </c>
      <c r="B35" s="306">
        <v>2743.0</v>
      </c>
      <c r="C35" s="161">
        <v>1.0</v>
      </c>
      <c r="D35" s="161">
        <v>1.0</v>
      </c>
      <c r="E35" s="161">
        <v>1.0</v>
      </c>
      <c r="F35" s="161">
        <v>1.0</v>
      </c>
      <c r="G35" s="161">
        <v>1.0</v>
      </c>
      <c r="H35" s="161">
        <v>1.0</v>
      </c>
      <c r="I35" s="161">
        <v>1.0</v>
      </c>
      <c r="J35" s="161">
        <v>1.0</v>
      </c>
      <c r="K35" s="161">
        <v>1.0</v>
      </c>
      <c r="L35" s="161">
        <v>1.0</v>
      </c>
      <c r="M35" s="161">
        <v>1.0</v>
      </c>
      <c r="N35" s="377" t="s">
        <v>139</v>
      </c>
      <c r="O35" s="161">
        <v>1.0</v>
      </c>
      <c r="P35" s="161">
        <v>1.0</v>
      </c>
      <c r="Q35" s="161">
        <v>1.0</v>
      </c>
      <c r="R35" s="366" t="s">
        <v>352</v>
      </c>
      <c r="S35" s="161">
        <v>1.0</v>
      </c>
      <c r="T35" s="161">
        <v>1.0</v>
      </c>
      <c r="U35" s="161" t="s">
        <v>77</v>
      </c>
      <c r="V35" s="161" t="s">
        <v>77</v>
      </c>
      <c r="W35" s="161" t="s">
        <v>77</v>
      </c>
      <c r="X35" s="161" t="s">
        <v>77</v>
      </c>
      <c r="Y35" s="161" t="s">
        <v>77</v>
      </c>
      <c r="Z35" s="161" t="s">
        <v>77</v>
      </c>
      <c r="AA35" s="383"/>
      <c r="AB35" s="370" t="s">
        <v>354</v>
      </c>
    </row>
    <row r="36">
      <c r="A36" s="311" t="s">
        <v>132</v>
      </c>
      <c r="B36" s="306">
        <v>2709.0</v>
      </c>
      <c r="C36" s="161">
        <v>1.0</v>
      </c>
      <c r="D36" s="161">
        <v>1.0</v>
      </c>
      <c r="E36" s="161">
        <v>1.0</v>
      </c>
      <c r="F36" s="161">
        <v>1.0</v>
      </c>
      <c r="G36" s="161">
        <v>1.0</v>
      </c>
      <c r="H36" s="161">
        <v>1.0</v>
      </c>
      <c r="I36" s="161">
        <v>1.0</v>
      </c>
      <c r="J36" s="161">
        <v>1.0</v>
      </c>
      <c r="K36" s="161">
        <v>1.0</v>
      </c>
      <c r="L36" s="161">
        <v>1.0</v>
      </c>
      <c r="M36" s="161">
        <v>1.0</v>
      </c>
      <c r="N36" s="377" t="s">
        <v>139</v>
      </c>
      <c r="O36" s="161">
        <v>1.0</v>
      </c>
      <c r="P36" s="161">
        <v>1.0</v>
      </c>
      <c r="Q36" s="161">
        <v>1.0</v>
      </c>
      <c r="R36" s="161">
        <v>1.0</v>
      </c>
      <c r="S36" s="161">
        <v>1.0</v>
      </c>
      <c r="T36" s="161">
        <v>1.0</v>
      </c>
      <c r="U36" s="161">
        <v>1.0</v>
      </c>
      <c r="V36" s="161">
        <v>1.0</v>
      </c>
      <c r="W36" s="161">
        <v>1.0</v>
      </c>
      <c r="X36" s="161">
        <v>1.0</v>
      </c>
      <c r="Y36" s="161">
        <v>1.0</v>
      </c>
      <c r="Z36" s="161">
        <v>1.0</v>
      </c>
      <c r="AA36" s="225"/>
      <c r="AB36" s="370" t="s">
        <v>355</v>
      </c>
    </row>
    <row r="37">
      <c r="A37" s="311" t="s">
        <v>133</v>
      </c>
      <c r="B37" s="306"/>
      <c r="C37" s="161">
        <v>1.0</v>
      </c>
      <c r="D37" s="161">
        <v>1.0</v>
      </c>
      <c r="E37" s="161">
        <v>1.0</v>
      </c>
      <c r="F37" s="161" t="s">
        <v>77</v>
      </c>
      <c r="G37" s="161" t="s">
        <v>77</v>
      </c>
      <c r="H37" s="161" t="s">
        <v>77</v>
      </c>
      <c r="I37" s="161" t="s">
        <v>77</v>
      </c>
      <c r="J37" s="161" t="s">
        <v>77</v>
      </c>
      <c r="K37" s="161" t="s">
        <v>77</v>
      </c>
      <c r="L37" s="161" t="s">
        <v>77</v>
      </c>
      <c r="M37" s="161" t="s">
        <v>77</v>
      </c>
      <c r="N37" s="161" t="s">
        <v>77</v>
      </c>
      <c r="O37" s="161" t="s">
        <v>77</v>
      </c>
      <c r="P37" s="161" t="s">
        <v>77</v>
      </c>
      <c r="Q37" s="161" t="s">
        <v>77</v>
      </c>
      <c r="R37" s="161" t="s">
        <v>77</v>
      </c>
      <c r="S37" s="161" t="s">
        <v>77</v>
      </c>
      <c r="T37" s="161" t="s">
        <v>77</v>
      </c>
      <c r="U37" s="161" t="s">
        <v>77</v>
      </c>
      <c r="V37" s="161" t="s">
        <v>77</v>
      </c>
      <c r="W37" s="161" t="s">
        <v>77</v>
      </c>
      <c r="X37" s="161" t="s">
        <v>77</v>
      </c>
      <c r="Y37" s="161" t="s">
        <v>77</v>
      </c>
      <c r="Z37" s="161" t="s">
        <v>77</v>
      </c>
      <c r="AA37" s="383" t="s">
        <v>337</v>
      </c>
      <c r="AB37" s="370" t="s">
        <v>356</v>
      </c>
    </row>
    <row r="38">
      <c r="A38" s="306" t="s">
        <v>178</v>
      </c>
      <c r="B38" s="306"/>
      <c r="C38" s="161" t="s">
        <v>77</v>
      </c>
      <c r="D38" s="161" t="s">
        <v>77</v>
      </c>
      <c r="E38" s="161" t="s">
        <v>77</v>
      </c>
      <c r="F38" s="161" t="s">
        <v>77</v>
      </c>
      <c r="G38" s="161" t="s">
        <v>77</v>
      </c>
      <c r="H38" s="161" t="s">
        <v>77</v>
      </c>
      <c r="I38" s="161" t="s">
        <v>77</v>
      </c>
      <c r="J38" s="161" t="s">
        <v>77</v>
      </c>
      <c r="K38" s="161" t="s">
        <v>77</v>
      </c>
      <c r="L38" s="161" t="s">
        <v>77</v>
      </c>
      <c r="M38" s="161" t="s">
        <v>77</v>
      </c>
      <c r="N38" s="161" t="s">
        <v>77</v>
      </c>
      <c r="O38" s="161" t="s">
        <v>77</v>
      </c>
      <c r="P38" s="161" t="s">
        <v>77</v>
      </c>
      <c r="Q38" s="161" t="s">
        <v>77</v>
      </c>
      <c r="R38" s="161" t="s">
        <v>77</v>
      </c>
      <c r="S38" s="161" t="s">
        <v>77</v>
      </c>
      <c r="T38" s="161" t="s">
        <v>77</v>
      </c>
      <c r="U38" s="161" t="s">
        <v>77</v>
      </c>
      <c r="V38" s="161" t="s">
        <v>77</v>
      </c>
      <c r="W38" s="161" t="s">
        <v>77</v>
      </c>
      <c r="X38" s="161" t="s">
        <v>77</v>
      </c>
      <c r="Y38" s="161" t="s">
        <v>77</v>
      </c>
      <c r="Z38" s="161" t="s">
        <v>77</v>
      </c>
      <c r="AA38" s="383" t="s">
        <v>337</v>
      </c>
      <c r="AB38" s="118"/>
    </row>
    <row r="39">
      <c r="A39" s="306" t="s">
        <v>144</v>
      </c>
      <c r="B39" s="416">
        <v>2729.0</v>
      </c>
      <c r="C39" s="161">
        <v>1.0</v>
      </c>
      <c r="D39" s="161">
        <v>1.0</v>
      </c>
      <c r="E39" s="161">
        <v>1.0</v>
      </c>
      <c r="F39" s="161">
        <v>1.0</v>
      </c>
      <c r="G39" s="161">
        <v>1.0</v>
      </c>
      <c r="H39" s="161">
        <v>1.0</v>
      </c>
      <c r="I39" s="161">
        <v>1.0</v>
      </c>
      <c r="J39" s="161">
        <v>1.0</v>
      </c>
      <c r="K39" s="161">
        <v>1.0</v>
      </c>
      <c r="L39" s="161">
        <v>1.0</v>
      </c>
      <c r="M39" s="377" t="s">
        <v>139</v>
      </c>
      <c r="N39" s="161">
        <v>1.0</v>
      </c>
      <c r="O39" s="161">
        <v>1.0</v>
      </c>
      <c r="P39" s="161">
        <v>1.0</v>
      </c>
      <c r="Q39" s="161">
        <v>1.0</v>
      </c>
      <c r="R39" s="161">
        <v>1.0</v>
      </c>
      <c r="S39" s="161">
        <v>1.0</v>
      </c>
      <c r="T39" s="161">
        <v>1.0</v>
      </c>
      <c r="U39" s="161">
        <v>1.0</v>
      </c>
      <c r="V39" s="161">
        <v>1.0</v>
      </c>
      <c r="W39" s="161">
        <v>1.0</v>
      </c>
      <c r="X39" s="161">
        <v>1.0</v>
      </c>
      <c r="Y39" s="161">
        <v>1.0</v>
      </c>
      <c r="Z39" s="161">
        <v>1.0</v>
      </c>
      <c r="AA39" s="383"/>
      <c r="AB39" s="417"/>
    </row>
    <row r="40">
      <c r="A40" s="311" t="s">
        <v>101</v>
      </c>
      <c r="B40" s="306"/>
      <c r="C40" s="161">
        <v>1.0</v>
      </c>
      <c r="D40" s="161">
        <v>1.0</v>
      </c>
      <c r="E40" s="161">
        <v>1.0</v>
      </c>
      <c r="F40" s="161">
        <v>1.0</v>
      </c>
      <c r="G40" s="377" t="s">
        <v>139</v>
      </c>
      <c r="H40" s="161">
        <v>1.0</v>
      </c>
      <c r="I40" s="161">
        <v>1.0</v>
      </c>
      <c r="J40" s="161">
        <v>1.0</v>
      </c>
      <c r="K40" s="161">
        <v>1.0</v>
      </c>
      <c r="L40" s="161">
        <v>1.0</v>
      </c>
      <c r="M40" s="161">
        <v>1.0</v>
      </c>
      <c r="N40" s="161">
        <v>1.0</v>
      </c>
      <c r="O40" s="161">
        <v>1.0</v>
      </c>
      <c r="P40" s="161">
        <v>1.0</v>
      </c>
      <c r="Q40" s="161">
        <v>1.0</v>
      </c>
      <c r="R40" s="161">
        <v>1.0</v>
      </c>
      <c r="S40" s="161">
        <v>1.0</v>
      </c>
      <c r="T40" s="161">
        <v>1.0</v>
      </c>
      <c r="U40" s="161">
        <v>1.0</v>
      </c>
      <c r="V40" s="161">
        <v>1.0</v>
      </c>
      <c r="W40" s="161">
        <v>1.0</v>
      </c>
      <c r="X40" s="161">
        <v>1.0</v>
      </c>
      <c r="Y40" s="161">
        <v>1.0</v>
      </c>
      <c r="Z40" s="161">
        <v>1.0</v>
      </c>
      <c r="AA40" s="418" t="s">
        <v>357</v>
      </c>
      <c r="AB40" s="118"/>
    </row>
    <row r="41">
      <c r="A41" s="306" t="s">
        <v>67</v>
      </c>
      <c r="B41" s="306">
        <v>2708.0</v>
      </c>
      <c r="C41" s="161">
        <v>1.0</v>
      </c>
      <c r="D41" s="161">
        <v>1.0</v>
      </c>
      <c r="E41" s="161">
        <v>1.0</v>
      </c>
      <c r="F41" s="161">
        <v>1.0</v>
      </c>
      <c r="G41" s="161">
        <v>1.0</v>
      </c>
      <c r="H41" s="161">
        <v>1.0</v>
      </c>
      <c r="I41" s="161">
        <v>1.0</v>
      </c>
      <c r="J41" s="161">
        <v>1.0</v>
      </c>
      <c r="K41" s="161">
        <v>1.0</v>
      </c>
      <c r="L41" s="161">
        <v>1.0</v>
      </c>
      <c r="M41" s="161">
        <v>1.0</v>
      </c>
      <c r="N41" s="161">
        <v>1.0</v>
      </c>
      <c r="O41" s="161">
        <v>1.0</v>
      </c>
      <c r="P41" s="161">
        <v>1.0</v>
      </c>
      <c r="Q41" s="161">
        <v>1.0</v>
      </c>
      <c r="R41" s="161">
        <v>1.0</v>
      </c>
      <c r="S41" s="161">
        <v>1.0</v>
      </c>
      <c r="T41" s="161">
        <v>1.0</v>
      </c>
      <c r="U41" s="161">
        <v>1.0</v>
      </c>
      <c r="V41" s="161">
        <v>1.0</v>
      </c>
      <c r="W41" s="161">
        <v>1.0</v>
      </c>
      <c r="X41" s="161">
        <v>1.0</v>
      </c>
      <c r="Y41" s="161">
        <v>1.0</v>
      </c>
      <c r="Z41" s="161">
        <v>1.0</v>
      </c>
      <c r="AA41" s="383"/>
      <c r="AB41" s="201"/>
    </row>
    <row r="42">
      <c r="A42" s="419" t="s">
        <v>358</v>
      </c>
      <c r="B42" s="173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322"/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  <c r="AA42" s="225"/>
      <c r="AB42" s="154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51</v>
      </c>
      <c r="B46" s="423" t="s">
        <v>139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248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364</v>
      </c>
      <c r="D2" s="441"/>
      <c r="E2" s="441"/>
      <c r="F2" s="441"/>
    </row>
    <row r="3">
      <c r="A3" s="441"/>
      <c r="B3" s="445">
        <v>2.0</v>
      </c>
      <c r="C3" s="446" t="s">
        <v>365</v>
      </c>
      <c r="D3" s="441"/>
      <c r="E3" s="441"/>
      <c r="F3" s="441"/>
    </row>
    <row r="4">
      <c r="A4" s="441"/>
      <c r="B4" s="443">
        <v>3.0</v>
      </c>
      <c r="C4" s="447" t="s">
        <v>366</v>
      </c>
      <c r="D4" s="441"/>
      <c r="E4" s="441"/>
      <c r="F4" s="441"/>
    </row>
    <row r="5">
      <c r="A5" s="441"/>
      <c r="B5" s="445">
        <v>4.0</v>
      </c>
      <c r="C5" s="448" t="s">
        <v>367</v>
      </c>
      <c r="D5" s="441"/>
      <c r="E5" s="441"/>
      <c r="F5" s="441"/>
    </row>
    <row r="6">
      <c r="A6" s="441"/>
      <c r="B6" s="443">
        <v>5.0</v>
      </c>
      <c r="C6" s="444" t="s">
        <v>368</v>
      </c>
      <c r="D6" s="441"/>
      <c r="E6" s="441"/>
      <c r="F6" s="441"/>
    </row>
    <row r="7">
      <c r="A7" s="441"/>
      <c r="B7" s="445">
        <v>6.0</v>
      </c>
      <c r="C7" s="446" t="s">
        <v>369</v>
      </c>
      <c r="D7" s="441"/>
      <c r="E7" s="441"/>
      <c r="F7" s="441"/>
    </row>
    <row r="8">
      <c r="A8" s="441"/>
      <c r="B8" s="443">
        <v>7.0</v>
      </c>
      <c r="C8" s="444" t="s">
        <v>370</v>
      </c>
      <c r="D8" s="441"/>
      <c r="E8" s="441"/>
      <c r="F8" s="441"/>
    </row>
    <row r="9">
      <c r="A9" s="441"/>
      <c r="B9" s="445">
        <v>8.0</v>
      </c>
      <c r="C9" s="446" t="s">
        <v>371</v>
      </c>
      <c r="D9" s="441"/>
      <c r="E9" s="441"/>
      <c r="F9" s="441"/>
    </row>
    <row r="10">
      <c r="A10" s="441"/>
      <c r="B10" s="443">
        <v>9.0</v>
      </c>
      <c r="C10" s="444" t="s">
        <v>372</v>
      </c>
      <c r="D10" s="441"/>
      <c r="E10" s="441"/>
      <c r="F10" s="441"/>
    </row>
    <row r="11">
      <c r="A11" s="441"/>
      <c r="B11" s="445">
        <v>10.0</v>
      </c>
      <c r="C11" s="446" t="s">
        <v>373</v>
      </c>
      <c r="D11" s="441"/>
      <c r="E11" s="441"/>
      <c r="F11" s="441"/>
    </row>
    <row r="12">
      <c r="A12" s="441"/>
      <c r="B12" s="443">
        <v>11.0</v>
      </c>
      <c r="C12" s="444" t="s">
        <v>374</v>
      </c>
      <c r="D12" s="441"/>
      <c r="E12" s="441"/>
      <c r="F12" s="441"/>
    </row>
    <row r="13">
      <c r="A13" s="441"/>
      <c r="B13" s="445">
        <v>12.0</v>
      </c>
      <c r="C13" s="446" t="s">
        <v>375</v>
      </c>
      <c r="D13" s="441"/>
      <c r="E13" s="441"/>
      <c r="F13" s="441"/>
    </row>
    <row r="14">
      <c r="A14" s="441"/>
      <c r="B14" s="443">
        <v>13.0</v>
      </c>
      <c r="C14" s="444" t="s">
        <v>376</v>
      </c>
      <c r="D14" s="441"/>
      <c r="E14" s="441"/>
      <c r="F14" s="441"/>
    </row>
    <row r="15">
      <c r="A15" s="441"/>
      <c r="B15" s="445">
        <v>14.0</v>
      </c>
      <c r="C15" s="448" t="s">
        <v>377</v>
      </c>
      <c r="D15" s="441"/>
      <c r="E15" s="441"/>
      <c r="F15" s="441"/>
    </row>
    <row r="16">
      <c r="A16" s="441"/>
      <c r="B16" s="443">
        <v>15.0</v>
      </c>
      <c r="C16" s="444" t="s">
        <v>378</v>
      </c>
      <c r="D16" s="441"/>
      <c r="E16" s="441"/>
      <c r="F16" s="441"/>
    </row>
    <row r="17">
      <c r="A17" s="441"/>
      <c r="B17" s="445">
        <v>16.0</v>
      </c>
      <c r="C17" s="446" t="s">
        <v>379</v>
      </c>
      <c r="D17" s="441"/>
      <c r="E17" s="441"/>
      <c r="F17" s="441"/>
    </row>
    <row r="18">
      <c r="A18" s="441"/>
      <c r="B18" s="443">
        <v>15.0</v>
      </c>
      <c r="C18" s="447" t="s">
        <v>380</v>
      </c>
      <c r="D18" s="441"/>
      <c r="E18" s="441"/>
      <c r="F18" s="441"/>
    </row>
    <row r="19">
      <c r="A19" s="441"/>
      <c r="B19" s="445">
        <v>16.0</v>
      </c>
      <c r="C19" s="446" t="s">
        <v>379</v>
      </c>
      <c r="D19" s="441"/>
      <c r="E19" s="441"/>
      <c r="F19" s="441"/>
    </row>
    <row r="20">
      <c r="A20" s="441"/>
      <c r="B20" s="443">
        <v>17.0</v>
      </c>
      <c r="C20" s="444" t="s">
        <v>381</v>
      </c>
      <c r="D20" s="441"/>
      <c r="E20" s="441"/>
      <c r="F20" s="441"/>
    </row>
    <row r="21">
      <c r="A21" s="441"/>
      <c r="B21" s="445">
        <v>18.0</v>
      </c>
      <c r="C21" s="446" t="s">
        <v>382</v>
      </c>
      <c r="D21" s="441"/>
      <c r="E21" s="441"/>
      <c r="F21" s="441"/>
    </row>
    <row r="22">
      <c r="A22" s="441"/>
      <c r="B22" s="443">
        <v>19.0</v>
      </c>
      <c r="C22" s="444" t="s">
        <v>383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384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385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386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387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388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389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390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50"/>
      <c r="D606" s="441"/>
    </row>
    <row r="607" ht="15.75" customHeight="1">
      <c r="A607" s="441"/>
      <c r="B607" s="450"/>
      <c r="D607" s="441"/>
    </row>
    <row r="608" ht="15.75" customHeight="1">
      <c r="A608" s="441"/>
      <c r="B608" s="450"/>
      <c r="D608" s="441"/>
    </row>
    <row r="609" ht="15.75" customHeight="1">
      <c r="A609" s="441"/>
      <c r="B609" s="450"/>
      <c r="D609" s="441"/>
    </row>
    <row r="610" ht="15.75" customHeight="1">
      <c r="A610" s="441"/>
      <c r="B610" s="450"/>
      <c r="D610" s="441"/>
    </row>
    <row r="611" ht="15.75" customHeight="1">
      <c r="A611" s="441"/>
      <c r="B611" s="450"/>
      <c r="D611" s="441"/>
    </row>
    <row r="612" ht="15.75" customHeight="1">
      <c r="A612" s="441"/>
      <c r="B612" s="450"/>
      <c r="D612" s="441"/>
    </row>
    <row r="613" ht="15.75" customHeight="1">
      <c r="A613" s="441"/>
      <c r="B613" s="450"/>
      <c r="D613" s="441"/>
    </row>
    <row r="614" ht="15.75" customHeight="1">
      <c r="A614" s="441"/>
      <c r="B614" s="450"/>
      <c r="D614" s="441"/>
    </row>
    <row r="615" ht="15.75" customHeight="1">
      <c r="A615" s="441"/>
      <c r="B615" s="450"/>
      <c r="D615" s="441"/>
    </row>
    <row r="616" ht="15.75" customHeight="1">
      <c r="A616" s="441"/>
      <c r="B616" s="450"/>
      <c r="D616" s="441"/>
    </row>
    <row r="617" ht="15.75" customHeight="1">
      <c r="A617" s="441"/>
      <c r="B617" s="450"/>
      <c r="D617" s="441"/>
    </row>
    <row r="618" ht="15.75" customHeight="1">
      <c r="A618" s="441"/>
      <c r="B618" s="450"/>
      <c r="D618" s="441"/>
    </row>
    <row r="619" ht="15.75" customHeight="1">
      <c r="A619" s="441"/>
      <c r="B619" s="450"/>
      <c r="D619" s="441"/>
    </row>
    <row r="620" ht="15.75" customHeight="1">
      <c r="A620" s="441"/>
      <c r="B620" s="450"/>
      <c r="D620" s="441"/>
    </row>
    <row r="621" ht="15.75" customHeight="1">
      <c r="A621" s="441"/>
      <c r="B621" s="450"/>
      <c r="D621" s="441"/>
    </row>
    <row r="622" ht="15.75" customHeight="1">
      <c r="A622" s="441"/>
      <c r="B622" s="450"/>
      <c r="D622" s="441"/>
    </row>
    <row r="623" ht="15.75" customHeight="1">
      <c r="A623" s="441"/>
      <c r="B623" s="450"/>
      <c r="D623" s="441"/>
    </row>
    <row r="624" ht="15.75" customHeight="1">
      <c r="A624" s="441"/>
      <c r="B624" s="450"/>
      <c r="D624" s="441"/>
    </row>
    <row r="625" ht="15.75" customHeight="1">
      <c r="A625" s="441"/>
      <c r="B625" s="450"/>
      <c r="D625" s="441"/>
    </row>
    <row r="626" ht="15.75" customHeight="1">
      <c r="A626" s="441"/>
      <c r="B626" s="450"/>
      <c r="D626" s="441"/>
    </row>
    <row r="627" ht="15.75" customHeight="1">
      <c r="A627" s="441"/>
      <c r="B627" s="450"/>
      <c r="D627" s="441"/>
    </row>
    <row r="628" ht="15.75" customHeight="1">
      <c r="A628" s="441"/>
      <c r="B628" s="450"/>
      <c r="D628" s="441"/>
    </row>
    <row r="629" ht="15.75" customHeight="1">
      <c r="A629" s="441"/>
      <c r="B629" s="450"/>
      <c r="D629" s="441"/>
    </row>
    <row r="630" ht="15.75" customHeight="1">
      <c r="A630" s="441"/>
      <c r="B630" s="450"/>
      <c r="D630" s="441"/>
    </row>
    <row r="631" ht="15.75" customHeight="1">
      <c r="A631" s="441"/>
      <c r="B631" s="450"/>
      <c r="D631" s="441"/>
    </row>
    <row r="632" ht="15.75" customHeight="1">
      <c r="A632" s="441"/>
      <c r="B632" s="450"/>
      <c r="D632" s="441"/>
    </row>
    <row r="633" ht="15.75" customHeight="1">
      <c r="A633" s="441"/>
      <c r="B633" s="450"/>
      <c r="D633" s="441"/>
    </row>
    <row r="634" ht="15.75" customHeight="1">
      <c r="A634" s="441"/>
      <c r="B634" s="450"/>
      <c r="D634" s="441"/>
    </row>
    <row r="635" ht="15.75" customHeight="1">
      <c r="A635" s="441"/>
      <c r="B635" s="450"/>
      <c r="D635" s="441"/>
    </row>
    <row r="636" ht="15.75" customHeight="1">
      <c r="A636" s="441"/>
      <c r="B636" s="450"/>
      <c r="D636" s="441"/>
    </row>
    <row r="637" ht="15.75" customHeight="1">
      <c r="A637" s="441"/>
      <c r="B637" s="450"/>
      <c r="D637" s="441"/>
    </row>
    <row r="638" ht="15.75" customHeight="1">
      <c r="A638" s="441"/>
      <c r="B638" s="450"/>
      <c r="D638" s="441"/>
    </row>
    <row r="639" ht="15.75" customHeight="1">
      <c r="A639" s="441"/>
      <c r="B639" s="450"/>
      <c r="D639" s="441"/>
    </row>
    <row r="640" ht="15.75" customHeight="1">
      <c r="A640" s="441"/>
      <c r="B640" s="450"/>
      <c r="D640" s="441"/>
    </row>
    <row r="641" ht="15.75" customHeight="1">
      <c r="A641" s="441"/>
      <c r="B641" s="450"/>
      <c r="D641" s="441"/>
    </row>
    <row r="642" ht="15.75" customHeight="1">
      <c r="A642" s="441"/>
      <c r="B642" s="450"/>
      <c r="D642" s="441"/>
    </row>
    <row r="643" ht="15.75" customHeight="1">
      <c r="A643" s="441"/>
      <c r="B643" s="450"/>
      <c r="D643" s="441"/>
    </row>
    <row r="644" ht="15.75" customHeight="1">
      <c r="A644" s="441"/>
      <c r="B644" s="450"/>
      <c r="D644" s="441"/>
    </row>
    <row r="645" ht="15.75" customHeight="1">
      <c r="A645" s="441"/>
      <c r="B645" s="450"/>
      <c r="D645" s="441"/>
    </row>
    <row r="646" ht="15.75" customHeight="1">
      <c r="A646" s="441"/>
      <c r="B646" s="450"/>
      <c r="D646" s="441"/>
    </row>
    <row r="647" ht="15.75" customHeight="1">
      <c r="A647" s="441"/>
      <c r="B647" s="450"/>
      <c r="D647" s="441"/>
    </row>
    <row r="648" ht="15.75" customHeight="1">
      <c r="A648" s="441"/>
      <c r="B648" s="450"/>
      <c r="D648" s="441"/>
    </row>
    <row r="649" ht="15.75" customHeight="1">
      <c r="A649" s="441"/>
      <c r="B649" s="450"/>
      <c r="D649" s="441"/>
    </row>
    <row r="650" ht="15.75" customHeight="1">
      <c r="A650" s="441"/>
      <c r="B650" s="450"/>
      <c r="D650" s="441"/>
    </row>
    <row r="651" ht="15.75" customHeight="1">
      <c r="A651" s="441"/>
      <c r="B651" s="450"/>
      <c r="D651" s="441"/>
    </row>
    <row r="652" ht="15.75" customHeight="1">
      <c r="A652" s="441"/>
      <c r="B652" s="450"/>
      <c r="D652" s="441"/>
    </row>
    <row r="653" ht="15.75" customHeight="1">
      <c r="A653" s="441"/>
      <c r="B653" s="450"/>
      <c r="D653" s="441"/>
    </row>
    <row r="654" ht="15.75" customHeight="1">
      <c r="A654" s="441"/>
      <c r="B654" s="450"/>
      <c r="D654" s="441"/>
    </row>
    <row r="655" ht="15.75" customHeight="1">
      <c r="A655" s="441"/>
      <c r="B655" s="450"/>
      <c r="D655" s="441"/>
    </row>
    <row r="656" ht="15.75" customHeight="1">
      <c r="A656" s="441"/>
      <c r="B656" s="450"/>
      <c r="D656" s="441"/>
    </row>
    <row r="657" ht="15.75" customHeight="1">
      <c r="A657" s="441"/>
      <c r="B657" s="450"/>
      <c r="D657" s="441"/>
    </row>
    <row r="658" ht="15.75" customHeight="1">
      <c r="A658" s="441"/>
      <c r="B658" s="450"/>
      <c r="D658" s="441"/>
    </row>
    <row r="659" ht="15.75" customHeight="1">
      <c r="A659" s="441"/>
      <c r="B659" s="450"/>
      <c r="D659" s="441"/>
    </row>
    <row r="660" ht="15.75" customHeight="1">
      <c r="A660" s="441"/>
      <c r="B660" s="450"/>
      <c r="D660" s="441"/>
    </row>
    <row r="661" ht="15.75" customHeight="1">
      <c r="A661" s="441"/>
      <c r="B661" s="450"/>
      <c r="D661" s="441"/>
    </row>
    <row r="662" ht="15.75" customHeight="1">
      <c r="A662" s="441"/>
      <c r="B662" s="450"/>
      <c r="D662" s="441"/>
    </row>
    <row r="663" ht="15.75" customHeight="1">
      <c r="A663" s="441"/>
      <c r="B663" s="450"/>
      <c r="D663" s="441"/>
    </row>
    <row r="664" ht="15.75" customHeight="1">
      <c r="A664" s="441"/>
      <c r="B664" s="450"/>
      <c r="D664" s="441"/>
    </row>
    <row r="665" ht="15.75" customHeight="1">
      <c r="A665" s="441"/>
      <c r="B665" s="450"/>
      <c r="D665" s="441"/>
    </row>
    <row r="666" ht="15.75" customHeight="1">
      <c r="A666" s="441"/>
      <c r="B666" s="450"/>
      <c r="D666" s="441"/>
    </row>
    <row r="667" ht="15.75" customHeight="1">
      <c r="A667" s="441"/>
      <c r="B667" s="450"/>
      <c r="D667" s="441"/>
    </row>
    <row r="668" ht="15.75" customHeight="1">
      <c r="A668" s="441"/>
      <c r="B668" s="450"/>
      <c r="D668" s="441"/>
    </row>
    <row r="669" ht="15.75" customHeight="1">
      <c r="A669" s="441"/>
      <c r="B669" s="450"/>
      <c r="D669" s="441"/>
    </row>
    <row r="670" ht="15.75" customHeight="1">
      <c r="A670" s="441"/>
      <c r="B670" s="450"/>
      <c r="D670" s="441"/>
    </row>
    <row r="671" ht="15.75" customHeight="1">
      <c r="A671" s="441"/>
      <c r="B671" s="450"/>
      <c r="D671" s="441"/>
    </row>
    <row r="672" ht="15.75" customHeight="1">
      <c r="A672" s="441"/>
      <c r="B672" s="450"/>
      <c r="D672" s="441"/>
    </row>
    <row r="673" ht="15.75" customHeight="1">
      <c r="A673" s="441"/>
      <c r="B673" s="450"/>
      <c r="D673" s="441"/>
    </row>
    <row r="674" ht="15.75" customHeight="1">
      <c r="A674" s="441"/>
      <c r="B674" s="450"/>
      <c r="D674" s="441"/>
    </row>
    <row r="675" ht="15.75" customHeight="1">
      <c r="A675" s="441"/>
      <c r="B675" s="450"/>
      <c r="D675" s="441"/>
    </row>
    <row r="676" ht="15.75" customHeight="1">
      <c r="A676" s="441"/>
      <c r="B676" s="450"/>
      <c r="D676" s="441"/>
    </row>
    <row r="677" ht="15.75" customHeight="1">
      <c r="A677" s="441"/>
      <c r="B677" s="450"/>
      <c r="D677" s="441"/>
    </row>
    <row r="678" ht="15.75" customHeight="1">
      <c r="A678" s="441"/>
      <c r="B678" s="450"/>
      <c r="D678" s="441"/>
    </row>
    <row r="679" ht="15.75" customHeight="1">
      <c r="A679" s="441"/>
      <c r="B679" s="450"/>
      <c r="D679" s="441"/>
    </row>
    <row r="680" ht="15.75" customHeight="1">
      <c r="A680" s="441"/>
      <c r="B680" s="450"/>
      <c r="D680" s="441"/>
    </row>
    <row r="681" ht="15.75" customHeight="1">
      <c r="A681" s="441"/>
      <c r="B681" s="450"/>
      <c r="D681" s="441"/>
    </row>
    <row r="682" ht="15.75" customHeight="1">
      <c r="A682" s="441"/>
      <c r="B682" s="450"/>
      <c r="D682" s="441"/>
    </row>
    <row r="683" ht="15.75" customHeight="1">
      <c r="A683" s="441"/>
      <c r="B683" s="450"/>
      <c r="D683" s="441"/>
    </row>
    <row r="684" ht="15.75" customHeight="1">
      <c r="A684" s="441"/>
      <c r="B684" s="450"/>
      <c r="D684" s="441"/>
    </row>
    <row r="685" ht="15.75" customHeight="1">
      <c r="A685" s="441"/>
      <c r="B685" s="450"/>
      <c r="D685" s="441"/>
    </row>
    <row r="686" ht="15.75" customHeight="1">
      <c r="A686" s="441"/>
      <c r="B686" s="450"/>
      <c r="D686" s="441"/>
    </row>
    <row r="687" ht="15.75" customHeight="1">
      <c r="A687" s="441"/>
      <c r="B687" s="450"/>
      <c r="D687" s="441"/>
    </row>
    <row r="688" ht="15.75" customHeight="1">
      <c r="A688" s="441"/>
      <c r="B688" s="450"/>
      <c r="D688" s="441"/>
    </row>
    <row r="689" ht="15.75" customHeight="1">
      <c r="A689" s="441"/>
      <c r="B689" s="450"/>
      <c r="D689" s="441"/>
    </row>
    <row r="690" ht="15.75" customHeight="1">
      <c r="A690" s="441"/>
      <c r="B690" s="450"/>
      <c r="D690" s="441"/>
    </row>
    <row r="691" ht="15.75" customHeight="1">
      <c r="A691" s="441"/>
      <c r="B691" s="450"/>
      <c r="D691" s="441"/>
    </row>
    <row r="692" ht="15.75" customHeight="1">
      <c r="A692" s="441"/>
      <c r="B692" s="450"/>
      <c r="D692" s="441"/>
    </row>
    <row r="693" ht="15.75" customHeight="1">
      <c r="A693" s="441"/>
      <c r="B693" s="450"/>
      <c r="D693" s="441"/>
    </row>
    <row r="694" ht="15.75" customHeight="1">
      <c r="A694" s="441"/>
      <c r="B694" s="450"/>
      <c r="D694" s="441"/>
    </row>
    <row r="695" ht="15.75" customHeight="1">
      <c r="A695" s="441"/>
      <c r="B695" s="450"/>
      <c r="D695" s="441"/>
    </row>
    <row r="696" ht="15.75" customHeight="1">
      <c r="A696" s="441"/>
      <c r="B696" s="450"/>
      <c r="D696" s="441"/>
    </row>
    <row r="697" ht="15.75" customHeight="1">
      <c r="A697" s="441"/>
      <c r="B697" s="450"/>
      <c r="D697" s="441"/>
    </row>
    <row r="698" ht="15.75" customHeight="1">
      <c r="A698" s="441"/>
      <c r="B698" s="450"/>
      <c r="D698" s="441"/>
    </row>
    <row r="699" ht="15.75" customHeight="1">
      <c r="A699" s="441"/>
      <c r="B699" s="450"/>
      <c r="D699" s="441"/>
    </row>
    <row r="700" ht="15.75" customHeight="1">
      <c r="A700" s="441"/>
      <c r="B700" s="450"/>
      <c r="D700" s="441"/>
    </row>
    <row r="701" ht="15.75" customHeight="1">
      <c r="A701" s="441"/>
      <c r="B701" s="450"/>
      <c r="D701" s="441"/>
    </row>
    <row r="702" ht="15.75" customHeight="1">
      <c r="A702" s="441"/>
      <c r="B702" s="450"/>
      <c r="D702" s="441"/>
    </row>
    <row r="703" ht="15.75" customHeight="1">
      <c r="A703" s="441"/>
      <c r="B703" s="450"/>
      <c r="D703" s="441"/>
    </row>
    <row r="704" ht="15.75" customHeight="1">
      <c r="A704" s="441"/>
      <c r="B704" s="450"/>
      <c r="D704" s="441"/>
    </row>
    <row r="705" ht="15.75" customHeight="1">
      <c r="A705" s="441"/>
      <c r="B705" s="450"/>
      <c r="D705" s="441"/>
    </row>
    <row r="706" ht="15.75" customHeight="1">
      <c r="A706" s="441"/>
      <c r="B706" s="450"/>
      <c r="D706" s="441"/>
    </row>
    <row r="707" ht="15.75" customHeight="1">
      <c r="A707" s="441"/>
      <c r="B707" s="450"/>
      <c r="D707" s="441"/>
    </row>
    <row r="708" ht="15.75" customHeight="1">
      <c r="A708" s="441"/>
      <c r="B708" s="450"/>
      <c r="D708" s="441"/>
    </row>
    <row r="709" ht="15.75" customHeight="1">
      <c r="A709" s="441"/>
      <c r="B709" s="450"/>
      <c r="D709" s="441"/>
    </row>
    <row r="710" ht="15.75" customHeight="1">
      <c r="A710" s="441"/>
      <c r="B710" s="450"/>
      <c r="D710" s="441"/>
    </row>
    <row r="711" ht="15.75" customHeight="1">
      <c r="A711" s="441"/>
      <c r="B711" s="450"/>
      <c r="D711" s="441"/>
    </row>
    <row r="712" ht="15.75" customHeight="1">
      <c r="A712" s="441"/>
      <c r="B712" s="450"/>
      <c r="D712" s="441"/>
    </row>
    <row r="713" ht="15.75" customHeight="1">
      <c r="A713" s="441"/>
      <c r="B713" s="450"/>
      <c r="D713" s="441"/>
    </row>
    <row r="714" ht="15.75" customHeight="1">
      <c r="A714" s="441"/>
      <c r="B714" s="450"/>
      <c r="D714" s="441"/>
    </row>
    <row r="715" ht="15.75" customHeight="1">
      <c r="A715" s="441"/>
      <c r="B715" s="450"/>
      <c r="D715" s="441"/>
    </row>
    <row r="716" ht="15.75" customHeight="1">
      <c r="A716" s="441"/>
      <c r="B716" s="450"/>
      <c r="D716" s="441"/>
    </row>
    <row r="717" ht="15.75" customHeight="1">
      <c r="A717" s="441"/>
      <c r="B717" s="450"/>
      <c r="D717" s="441"/>
    </row>
    <row r="718" ht="15.75" customHeight="1">
      <c r="A718" s="441"/>
      <c r="B718" s="450"/>
      <c r="D718" s="441"/>
    </row>
    <row r="719" ht="15.75" customHeight="1">
      <c r="A719" s="441"/>
      <c r="B719" s="450"/>
      <c r="D719" s="441"/>
    </row>
    <row r="720" ht="15.75" customHeight="1">
      <c r="A720" s="441"/>
      <c r="B720" s="450"/>
      <c r="D720" s="441"/>
    </row>
    <row r="721" ht="15.75" customHeight="1">
      <c r="A721" s="441"/>
      <c r="B721" s="450"/>
      <c r="D721" s="441"/>
    </row>
    <row r="722" ht="15.75" customHeight="1">
      <c r="A722" s="441"/>
      <c r="B722" s="450"/>
      <c r="D722" s="441"/>
    </row>
    <row r="723" ht="15.75" customHeight="1">
      <c r="A723" s="441"/>
      <c r="B723" s="450"/>
      <c r="D723" s="441"/>
    </row>
    <row r="724" ht="15.75" customHeight="1">
      <c r="A724" s="441"/>
      <c r="B724" s="450"/>
      <c r="D724" s="441"/>
    </row>
    <row r="725" ht="15.75" customHeight="1">
      <c r="A725" s="441"/>
      <c r="B725" s="450"/>
      <c r="D725" s="441"/>
    </row>
    <row r="726" ht="15.75" customHeight="1">
      <c r="A726" s="441"/>
      <c r="B726" s="450"/>
      <c r="D726" s="441"/>
    </row>
    <row r="727" ht="15.75" customHeight="1">
      <c r="A727" s="441"/>
      <c r="B727" s="450"/>
      <c r="D727" s="441"/>
    </row>
    <row r="728" ht="15.75" customHeight="1">
      <c r="A728" s="441"/>
      <c r="B728" s="450"/>
      <c r="D728" s="441"/>
    </row>
    <row r="729" ht="15.75" customHeight="1">
      <c r="A729" s="441"/>
      <c r="B729" s="450"/>
      <c r="D729" s="441"/>
    </row>
    <row r="730" ht="15.75" customHeight="1">
      <c r="A730" s="441"/>
      <c r="B730" s="450"/>
      <c r="D730" s="441"/>
    </row>
    <row r="731" ht="15.75" customHeight="1">
      <c r="A731" s="441"/>
      <c r="B731" s="450"/>
      <c r="D731" s="441"/>
    </row>
    <row r="732" ht="15.75" customHeight="1">
      <c r="A732" s="441"/>
      <c r="B732" s="450"/>
      <c r="D732" s="441"/>
    </row>
    <row r="733" ht="15.75" customHeight="1">
      <c r="A733" s="441"/>
      <c r="B733" s="450"/>
      <c r="D733" s="441"/>
    </row>
    <row r="734" ht="15.75" customHeight="1">
      <c r="A734" s="441"/>
      <c r="B734" s="450"/>
      <c r="D734" s="441"/>
    </row>
    <row r="735" ht="15.75" customHeight="1">
      <c r="A735" s="441"/>
      <c r="B735" s="450"/>
      <c r="D735" s="441"/>
    </row>
    <row r="736" ht="15.75" customHeight="1">
      <c r="A736" s="441"/>
      <c r="B736" s="450"/>
      <c r="D736" s="441"/>
    </row>
    <row r="737" ht="15.75" customHeight="1">
      <c r="A737" s="441"/>
      <c r="B737" s="450"/>
      <c r="D737" s="441"/>
    </row>
    <row r="738" ht="15.75" customHeight="1">
      <c r="A738" s="441"/>
      <c r="B738" s="450"/>
      <c r="D738" s="441"/>
    </row>
    <row r="739" ht="15.75" customHeight="1">
      <c r="A739" s="441"/>
      <c r="B739" s="450"/>
      <c r="D739" s="441"/>
    </row>
    <row r="740" ht="15.75" customHeight="1">
      <c r="A740" s="441"/>
      <c r="B740" s="450"/>
      <c r="D740" s="441"/>
    </row>
    <row r="741" ht="15.75" customHeight="1">
      <c r="A741" s="441"/>
      <c r="B741" s="450"/>
      <c r="D741" s="441"/>
    </row>
    <row r="742" ht="15.75" customHeight="1">
      <c r="A742" s="441"/>
      <c r="B742" s="450"/>
      <c r="D742" s="441"/>
    </row>
    <row r="743" ht="15.75" customHeight="1">
      <c r="A743" s="441"/>
      <c r="B743" s="450"/>
      <c r="D743" s="441"/>
    </row>
    <row r="744" ht="15.75" customHeight="1">
      <c r="A744" s="441"/>
      <c r="B744" s="450"/>
      <c r="D744" s="441"/>
    </row>
    <row r="745" ht="15.75" customHeight="1">
      <c r="A745" s="441"/>
      <c r="B745" s="450"/>
      <c r="D745" s="441"/>
    </row>
    <row r="746" ht="15.75" customHeight="1">
      <c r="A746" s="441"/>
      <c r="B746" s="450"/>
      <c r="D746" s="441"/>
    </row>
    <row r="747" ht="15.75" customHeight="1">
      <c r="A747" s="441"/>
      <c r="B747" s="450"/>
      <c r="D747" s="441"/>
    </row>
    <row r="748" ht="15.75" customHeight="1">
      <c r="A748" s="441"/>
      <c r="B748" s="450"/>
      <c r="D748" s="441"/>
    </row>
    <row r="749" ht="15.75" customHeight="1">
      <c r="A749" s="441"/>
      <c r="B749" s="450"/>
      <c r="D749" s="441"/>
    </row>
    <row r="750" ht="15.75" customHeight="1">
      <c r="A750" s="441"/>
      <c r="B750" s="450"/>
      <c r="D750" s="441"/>
    </row>
    <row r="751" ht="15.75" customHeight="1">
      <c r="A751" s="441"/>
      <c r="B751" s="450"/>
      <c r="D751" s="441"/>
    </row>
    <row r="752" ht="15.75" customHeight="1">
      <c r="A752" s="441"/>
      <c r="B752" s="450"/>
      <c r="D752" s="441"/>
    </row>
    <row r="753" ht="15.75" customHeight="1">
      <c r="A753" s="441"/>
      <c r="B753" s="450"/>
      <c r="D753" s="441"/>
    </row>
    <row r="754" ht="15.75" customHeight="1">
      <c r="A754" s="441"/>
      <c r="B754" s="450"/>
      <c r="D754" s="441"/>
    </row>
    <row r="755" ht="15.75" customHeight="1">
      <c r="A755" s="441"/>
      <c r="B755" s="450"/>
      <c r="D755" s="441"/>
    </row>
    <row r="756" ht="15.75" customHeight="1">
      <c r="A756" s="441"/>
      <c r="B756" s="450"/>
      <c r="D756" s="441"/>
    </row>
    <row r="757" ht="15.75" customHeight="1">
      <c r="A757" s="441"/>
      <c r="B757" s="450"/>
      <c r="D757" s="441"/>
    </row>
    <row r="758" ht="15.75" customHeight="1">
      <c r="A758" s="441"/>
      <c r="B758" s="450"/>
      <c r="D758" s="441"/>
    </row>
    <row r="759" ht="15.75" customHeight="1">
      <c r="A759" s="441"/>
      <c r="B759" s="450"/>
      <c r="D759" s="441"/>
    </row>
    <row r="760" ht="15.75" customHeight="1">
      <c r="A760" s="441"/>
      <c r="B760" s="450"/>
      <c r="D760" s="441"/>
    </row>
    <row r="761" ht="15.75" customHeight="1">
      <c r="A761" s="441"/>
      <c r="B761" s="450"/>
      <c r="D761" s="441"/>
    </row>
    <row r="762" ht="15.75" customHeight="1">
      <c r="A762" s="441"/>
      <c r="B762" s="450"/>
      <c r="D762" s="441"/>
    </row>
    <row r="763" ht="15.75" customHeight="1">
      <c r="A763" s="441"/>
      <c r="B763" s="450"/>
      <c r="D763" s="441"/>
    </row>
    <row r="764" ht="15.75" customHeight="1">
      <c r="A764" s="441"/>
      <c r="B764" s="450"/>
      <c r="D764" s="441"/>
    </row>
    <row r="765" ht="15.75" customHeight="1">
      <c r="A765" s="441"/>
      <c r="B765" s="450"/>
      <c r="D765" s="441"/>
    </row>
    <row r="766" ht="15.75" customHeight="1">
      <c r="A766" s="441"/>
      <c r="B766" s="450"/>
      <c r="D766" s="441"/>
    </row>
    <row r="767" ht="15.75" customHeight="1">
      <c r="A767" s="441"/>
      <c r="B767" s="450"/>
      <c r="D767" s="441"/>
    </row>
    <row r="768" ht="15.75" customHeight="1">
      <c r="A768" s="441"/>
      <c r="B768" s="450"/>
      <c r="D768" s="441"/>
    </row>
    <row r="769" ht="15.75" customHeight="1">
      <c r="A769" s="441"/>
      <c r="B769" s="450"/>
      <c r="D769" s="441"/>
    </row>
    <row r="770" ht="15.75" customHeight="1">
      <c r="A770" s="441"/>
      <c r="B770" s="450"/>
      <c r="D770" s="441"/>
    </row>
    <row r="771" ht="15.75" customHeight="1">
      <c r="A771" s="441"/>
      <c r="B771" s="450"/>
      <c r="D771" s="441"/>
    </row>
    <row r="772" ht="15.75" customHeight="1">
      <c r="A772" s="441"/>
      <c r="B772" s="450"/>
      <c r="D772" s="441"/>
    </row>
    <row r="773" ht="15.75" customHeight="1">
      <c r="A773" s="441"/>
      <c r="B773" s="450"/>
      <c r="D773" s="441"/>
    </row>
    <row r="774" ht="15.75" customHeight="1">
      <c r="A774" s="441"/>
      <c r="B774" s="450"/>
      <c r="D774" s="441"/>
    </row>
    <row r="775" ht="15.75" customHeight="1">
      <c r="A775" s="441"/>
      <c r="B775" s="450"/>
      <c r="D775" s="441"/>
    </row>
    <row r="776" ht="15.75" customHeight="1">
      <c r="A776" s="441"/>
      <c r="B776" s="450"/>
      <c r="D776" s="441"/>
    </row>
    <row r="777" ht="15.75" customHeight="1">
      <c r="A777" s="441"/>
      <c r="B777" s="450"/>
      <c r="D777" s="441"/>
    </row>
    <row r="778" ht="15.75" customHeight="1">
      <c r="A778" s="441"/>
      <c r="B778" s="450"/>
      <c r="D778" s="441"/>
    </row>
    <row r="779" ht="15.75" customHeight="1">
      <c r="A779" s="441"/>
      <c r="B779" s="450"/>
      <c r="D779" s="441"/>
    </row>
    <row r="780" ht="15.75" customHeight="1">
      <c r="A780" s="441"/>
      <c r="B780" s="450"/>
      <c r="D780" s="441"/>
    </row>
    <row r="781" ht="15.75" customHeight="1">
      <c r="A781" s="441"/>
      <c r="B781" s="450"/>
      <c r="D781" s="441"/>
    </row>
    <row r="782" ht="15.75" customHeight="1">
      <c r="A782" s="441"/>
      <c r="B782" s="450"/>
      <c r="D782" s="441"/>
    </row>
    <row r="783" ht="15.75" customHeight="1">
      <c r="A783" s="441"/>
      <c r="B783" s="450"/>
      <c r="D783" s="441"/>
    </row>
    <row r="784" ht="15.75" customHeight="1">
      <c r="A784" s="441"/>
      <c r="B784" s="450"/>
      <c r="D784" s="441"/>
    </row>
    <row r="785" ht="15.75" customHeight="1">
      <c r="A785" s="441"/>
      <c r="B785" s="450"/>
      <c r="D785" s="441"/>
    </row>
    <row r="786" ht="15.75" customHeight="1">
      <c r="A786" s="441"/>
      <c r="B786" s="450"/>
      <c r="D786" s="441"/>
    </row>
    <row r="787" ht="15.75" customHeight="1">
      <c r="A787" s="441"/>
      <c r="B787" s="450"/>
      <c r="D787" s="441"/>
    </row>
    <row r="788" ht="15.75" customHeight="1">
      <c r="A788" s="441"/>
      <c r="B788" s="450"/>
      <c r="D788" s="441"/>
    </row>
    <row r="789" ht="15.75" customHeight="1">
      <c r="A789" s="441"/>
      <c r="B789" s="450"/>
      <c r="D789" s="441"/>
    </row>
    <row r="790" ht="15.75" customHeight="1">
      <c r="A790" s="441"/>
      <c r="B790" s="450"/>
      <c r="D790" s="441"/>
    </row>
    <row r="791" ht="15.75" customHeight="1">
      <c r="A791" s="441"/>
      <c r="B791" s="450"/>
      <c r="D791" s="441"/>
    </row>
    <row r="792" ht="15.75" customHeight="1">
      <c r="A792" s="441"/>
      <c r="B792" s="450"/>
      <c r="D792" s="441"/>
    </row>
    <row r="793" ht="15.75" customHeight="1">
      <c r="A793" s="441"/>
      <c r="B793" s="450"/>
      <c r="D793" s="441"/>
    </row>
    <row r="794" ht="15.75" customHeight="1">
      <c r="A794" s="441"/>
      <c r="B794" s="450"/>
      <c r="D794" s="441"/>
    </row>
    <row r="795" ht="15.75" customHeight="1">
      <c r="A795" s="441"/>
      <c r="B795" s="450"/>
      <c r="D795" s="441"/>
    </row>
    <row r="796" ht="15.75" customHeight="1">
      <c r="A796" s="441"/>
      <c r="B796" s="450"/>
      <c r="D796" s="441"/>
    </row>
    <row r="797" ht="15.75" customHeight="1">
      <c r="A797" s="441"/>
      <c r="B797" s="450"/>
      <c r="D797" s="441"/>
    </row>
    <row r="798" ht="15.75" customHeight="1">
      <c r="A798" s="441"/>
      <c r="B798" s="450"/>
      <c r="D798" s="441"/>
    </row>
    <row r="799" ht="15.75" customHeight="1">
      <c r="A799" s="441"/>
      <c r="B799" s="450"/>
      <c r="D799" s="441"/>
    </row>
    <row r="800" ht="15.75" customHeight="1">
      <c r="A800" s="441"/>
      <c r="B800" s="450"/>
      <c r="D800" s="441"/>
    </row>
    <row r="801" ht="15.75" customHeight="1">
      <c r="A801" s="441"/>
      <c r="B801" s="450"/>
      <c r="D801" s="441"/>
    </row>
    <row r="802" ht="15.75" customHeight="1">
      <c r="A802" s="441"/>
      <c r="B802" s="450"/>
      <c r="D802" s="441"/>
    </row>
    <row r="803" ht="15.75" customHeight="1">
      <c r="A803" s="441"/>
      <c r="B803" s="450"/>
      <c r="D803" s="441"/>
    </row>
    <row r="804" ht="15.75" customHeight="1">
      <c r="A804" s="441"/>
      <c r="B804" s="450"/>
      <c r="D804" s="441"/>
    </row>
    <row r="805" ht="15.75" customHeight="1">
      <c r="A805" s="441"/>
      <c r="B805" s="450"/>
      <c r="D805" s="441"/>
    </row>
    <row r="806" ht="15.75" customHeight="1">
      <c r="A806" s="441"/>
      <c r="B806" s="450"/>
      <c r="D806" s="441"/>
    </row>
    <row r="807" ht="15.75" customHeight="1">
      <c r="A807" s="441"/>
      <c r="B807" s="450"/>
      <c r="D807" s="441"/>
    </row>
    <row r="808" ht="15.75" customHeight="1">
      <c r="A808" s="441"/>
      <c r="B808" s="450"/>
      <c r="D808" s="441"/>
    </row>
    <row r="809" ht="15.75" customHeight="1">
      <c r="A809" s="441"/>
      <c r="B809" s="450"/>
      <c r="D809" s="441"/>
    </row>
    <row r="810" ht="15.75" customHeight="1">
      <c r="A810" s="441"/>
      <c r="B810" s="450"/>
      <c r="D810" s="441"/>
    </row>
    <row r="811" ht="15.75" customHeight="1">
      <c r="A811" s="441"/>
      <c r="B811" s="450"/>
      <c r="D811" s="441"/>
    </row>
    <row r="812" ht="15.75" customHeight="1">
      <c r="A812" s="441"/>
      <c r="B812" s="450"/>
      <c r="D812" s="441"/>
    </row>
    <row r="813" ht="15.75" customHeight="1">
      <c r="A813" s="441"/>
      <c r="B813" s="450"/>
      <c r="D813" s="441"/>
    </row>
    <row r="814" ht="15.75" customHeight="1">
      <c r="A814" s="441"/>
      <c r="B814" s="450"/>
      <c r="D814" s="441"/>
    </row>
    <row r="815" ht="15.75" customHeight="1">
      <c r="A815" s="441"/>
      <c r="B815" s="450"/>
      <c r="D815" s="441"/>
    </row>
    <row r="816" ht="15.75" customHeight="1">
      <c r="A816" s="441"/>
      <c r="B816" s="450"/>
      <c r="D816" s="441"/>
    </row>
    <row r="817" ht="15.75" customHeight="1">
      <c r="A817" s="441"/>
      <c r="B817" s="450"/>
      <c r="D817" s="441"/>
    </row>
    <row r="818" ht="15.75" customHeight="1">
      <c r="A818" s="441"/>
      <c r="B818" s="450"/>
      <c r="D818" s="441"/>
    </row>
    <row r="819" ht="15.75" customHeight="1">
      <c r="A819" s="441"/>
      <c r="B819" s="450"/>
      <c r="D819" s="441"/>
    </row>
    <row r="820" ht="15.75" customHeight="1">
      <c r="A820" s="441"/>
      <c r="B820" s="450"/>
      <c r="D820" s="441"/>
    </row>
    <row r="821" ht="15.75" customHeight="1">
      <c r="A821" s="441"/>
      <c r="B821" s="450"/>
      <c r="D821" s="441"/>
    </row>
    <row r="822" ht="15.75" customHeight="1">
      <c r="A822" s="441"/>
      <c r="B822" s="450"/>
      <c r="D822" s="441"/>
    </row>
    <row r="823" ht="15.75" customHeight="1">
      <c r="A823" s="441"/>
      <c r="B823" s="450"/>
      <c r="D823" s="441"/>
    </row>
    <row r="824" ht="15.75" customHeight="1">
      <c r="A824" s="441"/>
      <c r="B824" s="450"/>
      <c r="D824" s="441"/>
    </row>
    <row r="825" ht="15.75" customHeight="1">
      <c r="A825" s="441"/>
      <c r="B825" s="450"/>
      <c r="D825" s="441"/>
    </row>
    <row r="826" ht="15.75" customHeight="1">
      <c r="A826" s="441"/>
      <c r="B826" s="450"/>
      <c r="D826" s="441"/>
    </row>
    <row r="827" ht="15.75" customHeight="1">
      <c r="A827" s="441"/>
      <c r="B827" s="450"/>
      <c r="D827" s="441"/>
    </row>
    <row r="828" ht="15.75" customHeight="1">
      <c r="A828" s="441"/>
      <c r="B828" s="450"/>
      <c r="D828" s="441"/>
    </row>
    <row r="829" ht="15.75" customHeight="1">
      <c r="A829" s="441"/>
      <c r="B829" s="450"/>
      <c r="D829" s="441"/>
    </row>
    <row r="830" ht="15.75" customHeight="1">
      <c r="A830" s="441"/>
      <c r="B830" s="450"/>
      <c r="D830" s="441"/>
    </row>
    <row r="831" ht="15.75" customHeight="1">
      <c r="A831" s="441"/>
      <c r="B831" s="450"/>
      <c r="D831" s="441"/>
    </row>
    <row r="832" ht="15.75" customHeight="1">
      <c r="A832" s="441"/>
      <c r="B832" s="450"/>
      <c r="D832" s="441"/>
    </row>
    <row r="833" ht="15.75" customHeight="1">
      <c r="A833" s="441"/>
      <c r="B833" s="450"/>
      <c r="D833" s="441"/>
    </row>
    <row r="834" ht="15.75" customHeight="1">
      <c r="A834" s="441"/>
      <c r="B834" s="450"/>
      <c r="D834" s="441"/>
    </row>
    <row r="835" ht="15.75" customHeight="1">
      <c r="A835" s="441"/>
      <c r="B835" s="450"/>
      <c r="D835" s="441"/>
    </row>
    <row r="836" ht="15.75" customHeight="1">
      <c r="A836" s="441"/>
      <c r="B836" s="450"/>
      <c r="D836" s="441"/>
    </row>
    <row r="837" ht="15.75" customHeight="1">
      <c r="A837" s="441"/>
      <c r="B837" s="450"/>
      <c r="D837" s="441"/>
    </row>
    <row r="838" ht="15.75" customHeight="1">
      <c r="A838" s="441"/>
      <c r="B838" s="450"/>
      <c r="D838" s="441"/>
    </row>
    <row r="839" ht="15.75" customHeight="1">
      <c r="A839" s="441"/>
      <c r="B839" s="450"/>
      <c r="D839" s="441"/>
    </row>
    <row r="840" ht="15.75" customHeight="1">
      <c r="A840" s="441"/>
      <c r="B840" s="450"/>
      <c r="D840" s="441"/>
    </row>
    <row r="841" ht="15.75" customHeight="1">
      <c r="A841" s="441"/>
      <c r="B841" s="450"/>
      <c r="D841" s="441"/>
    </row>
    <row r="842" ht="15.75" customHeight="1">
      <c r="A842" s="441"/>
      <c r="B842" s="450"/>
      <c r="D842" s="441"/>
    </row>
    <row r="843" ht="15.75" customHeight="1">
      <c r="A843" s="441"/>
      <c r="B843" s="450"/>
      <c r="D843" s="441"/>
    </row>
    <row r="844" ht="15.75" customHeight="1">
      <c r="A844" s="441"/>
      <c r="B844" s="450"/>
      <c r="D844" s="441"/>
    </row>
    <row r="845" ht="15.75" customHeight="1">
      <c r="A845" s="441"/>
      <c r="B845" s="450"/>
      <c r="D845" s="441"/>
    </row>
    <row r="846" ht="15.75" customHeight="1">
      <c r="A846" s="441"/>
      <c r="B846" s="450"/>
      <c r="D846" s="441"/>
    </row>
    <row r="847" ht="15.75" customHeight="1">
      <c r="A847" s="441"/>
      <c r="B847" s="450"/>
      <c r="D847" s="441"/>
    </row>
    <row r="848" ht="15.75" customHeight="1">
      <c r="A848" s="441"/>
      <c r="B848" s="450"/>
      <c r="D848" s="441"/>
    </row>
    <row r="849" ht="15.75" customHeight="1">
      <c r="A849" s="441"/>
      <c r="B849" s="450"/>
      <c r="D849" s="441"/>
    </row>
    <row r="850" ht="15.75" customHeight="1">
      <c r="A850" s="441"/>
      <c r="B850" s="450"/>
      <c r="D850" s="441"/>
    </row>
    <row r="851" ht="15.75" customHeight="1">
      <c r="A851" s="441"/>
      <c r="B851" s="450"/>
      <c r="D851" s="441"/>
    </row>
    <row r="852" ht="15.75" customHeight="1">
      <c r="A852" s="441"/>
      <c r="B852" s="450"/>
      <c r="D852" s="441"/>
    </row>
    <row r="853" ht="15.75" customHeight="1">
      <c r="A853" s="441"/>
      <c r="B853" s="450"/>
      <c r="D853" s="441"/>
    </row>
    <row r="854" ht="15.75" customHeight="1">
      <c r="A854" s="441"/>
      <c r="B854" s="450"/>
      <c r="D854" s="441"/>
    </row>
    <row r="855" ht="15.75" customHeight="1">
      <c r="A855" s="441"/>
      <c r="B855" s="450"/>
      <c r="D855" s="441"/>
    </row>
    <row r="856" ht="15.75" customHeight="1">
      <c r="A856" s="441"/>
      <c r="B856" s="450"/>
      <c r="D856" s="441"/>
    </row>
    <row r="857" ht="15.75" customHeight="1">
      <c r="A857" s="441"/>
      <c r="B857" s="450"/>
      <c r="D857" s="441"/>
    </row>
    <row r="858" ht="15.75" customHeight="1">
      <c r="A858" s="441"/>
      <c r="B858" s="450"/>
      <c r="D858" s="441"/>
    </row>
    <row r="859" ht="15.75" customHeight="1">
      <c r="A859" s="441"/>
      <c r="B859" s="450"/>
      <c r="D859" s="441"/>
    </row>
    <row r="860" ht="15.75" customHeight="1">
      <c r="A860" s="441"/>
      <c r="B860" s="450"/>
      <c r="D860" s="441"/>
    </row>
    <row r="861" ht="15.75" customHeight="1">
      <c r="A861" s="441"/>
      <c r="B861" s="450"/>
      <c r="D861" s="441"/>
    </row>
    <row r="862" ht="15.75" customHeight="1">
      <c r="A862" s="441"/>
      <c r="B862" s="450"/>
      <c r="D862" s="441"/>
    </row>
    <row r="863" ht="15.75" customHeight="1">
      <c r="A863" s="441"/>
      <c r="B863" s="450"/>
      <c r="D863" s="441"/>
    </row>
    <row r="864" ht="15.75" customHeight="1">
      <c r="A864" s="441"/>
      <c r="B864" s="450"/>
      <c r="D864" s="441"/>
    </row>
    <row r="865" ht="15.75" customHeight="1">
      <c r="A865" s="441"/>
      <c r="B865" s="450"/>
      <c r="D865" s="441"/>
    </row>
    <row r="866" ht="15.75" customHeight="1">
      <c r="A866" s="441"/>
      <c r="B866" s="450"/>
      <c r="D866" s="441"/>
    </row>
    <row r="867" ht="15.75" customHeight="1">
      <c r="A867" s="441"/>
      <c r="B867" s="450"/>
      <c r="D867" s="441"/>
    </row>
    <row r="868" ht="15.75" customHeight="1">
      <c r="A868" s="441"/>
      <c r="B868" s="450"/>
      <c r="D868" s="441"/>
    </row>
    <row r="869" ht="15.75" customHeight="1">
      <c r="A869" s="441"/>
      <c r="B869" s="450"/>
      <c r="D869" s="441"/>
    </row>
    <row r="870" ht="15.75" customHeight="1">
      <c r="A870" s="441"/>
      <c r="B870" s="450"/>
      <c r="D870" s="441"/>
    </row>
    <row r="871" ht="15.75" customHeight="1">
      <c r="A871" s="441"/>
      <c r="B871" s="450"/>
      <c r="D871" s="441"/>
    </row>
    <row r="872" ht="15.75" customHeight="1">
      <c r="A872" s="441"/>
      <c r="B872" s="450"/>
      <c r="D872" s="441"/>
    </row>
    <row r="873" ht="15.75" customHeight="1">
      <c r="A873" s="441"/>
      <c r="B873" s="450"/>
      <c r="D873" s="441"/>
    </row>
    <row r="874" ht="15.75" customHeight="1">
      <c r="A874" s="441"/>
      <c r="B874" s="450"/>
      <c r="D874" s="441"/>
    </row>
    <row r="875" ht="15.75" customHeight="1">
      <c r="A875" s="441"/>
      <c r="B875" s="450"/>
      <c r="D875" s="441"/>
    </row>
    <row r="876" ht="15.75" customHeight="1">
      <c r="A876" s="441"/>
      <c r="B876" s="450"/>
      <c r="D876" s="441"/>
    </row>
    <row r="877" ht="15.75" customHeight="1">
      <c r="A877" s="441"/>
      <c r="B877" s="450"/>
      <c r="D877" s="441"/>
    </row>
    <row r="878" ht="15.75" customHeight="1">
      <c r="A878" s="441"/>
      <c r="B878" s="450"/>
      <c r="D878" s="441"/>
    </row>
    <row r="879" ht="15.75" customHeight="1">
      <c r="A879" s="441"/>
      <c r="B879" s="450"/>
      <c r="D879" s="441"/>
    </row>
    <row r="880" ht="15.75" customHeight="1">
      <c r="A880" s="441"/>
      <c r="B880" s="450"/>
      <c r="D880" s="441"/>
    </row>
    <row r="881" ht="15.75" customHeight="1">
      <c r="A881" s="441"/>
      <c r="B881" s="450"/>
      <c r="D881" s="441"/>
    </row>
    <row r="882" ht="15.75" customHeight="1">
      <c r="A882" s="441"/>
      <c r="B882" s="450"/>
      <c r="D882" s="441"/>
    </row>
    <row r="883" ht="15.75" customHeight="1">
      <c r="A883" s="441"/>
      <c r="B883" s="450"/>
      <c r="D883" s="441"/>
    </row>
    <row r="884" ht="15.75" customHeight="1">
      <c r="A884" s="441"/>
      <c r="B884" s="450"/>
      <c r="D884" s="441"/>
    </row>
    <row r="885" ht="15.75" customHeight="1">
      <c r="A885" s="441"/>
      <c r="B885" s="450"/>
      <c r="D885" s="441"/>
    </row>
    <row r="886" ht="15.75" customHeight="1">
      <c r="A886" s="441"/>
      <c r="B886" s="450"/>
      <c r="D886" s="441"/>
    </row>
    <row r="887" ht="15.75" customHeight="1">
      <c r="A887" s="441"/>
      <c r="B887" s="450"/>
      <c r="D887" s="441"/>
    </row>
    <row r="888" ht="15.75" customHeight="1">
      <c r="A888" s="441"/>
      <c r="B888" s="450"/>
      <c r="D888" s="441"/>
    </row>
    <row r="889" ht="15.75" customHeight="1">
      <c r="A889" s="441"/>
      <c r="B889" s="450"/>
      <c r="D889" s="441"/>
    </row>
    <row r="890" ht="15.75" customHeight="1">
      <c r="A890" s="441"/>
      <c r="B890" s="450"/>
      <c r="D890" s="441"/>
    </row>
    <row r="891" ht="15.75" customHeight="1">
      <c r="A891" s="441"/>
      <c r="B891" s="450"/>
      <c r="D891" s="441"/>
    </row>
    <row r="892" ht="15.75" customHeight="1">
      <c r="A892" s="441"/>
      <c r="B892" s="450"/>
      <c r="D892" s="441"/>
    </row>
    <row r="893" ht="15.75" customHeight="1">
      <c r="A893" s="441"/>
      <c r="B893" s="450"/>
      <c r="D893" s="441"/>
    </row>
    <row r="894" ht="15.75" customHeight="1">
      <c r="A894" s="441"/>
      <c r="B894" s="450"/>
      <c r="D894" s="441"/>
    </row>
    <row r="895" ht="15.75" customHeight="1">
      <c r="A895" s="441"/>
      <c r="B895" s="450"/>
      <c r="D895" s="441"/>
    </row>
    <row r="896" ht="15.75" customHeight="1">
      <c r="A896" s="441"/>
      <c r="B896" s="450"/>
      <c r="D896" s="441"/>
    </row>
    <row r="897" ht="15.75" customHeight="1">
      <c r="A897" s="441"/>
      <c r="B897" s="450"/>
      <c r="D897" s="441"/>
    </row>
    <row r="898" ht="15.75" customHeight="1">
      <c r="A898" s="441"/>
      <c r="B898" s="450"/>
      <c r="D898" s="441"/>
    </row>
    <row r="899" ht="15.75" customHeight="1">
      <c r="A899" s="441"/>
      <c r="B899" s="450"/>
      <c r="D899" s="441"/>
    </row>
    <row r="900" ht="15.75" customHeight="1">
      <c r="A900" s="441"/>
      <c r="B900" s="450"/>
      <c r="D900" s="441"/>
    </row>
    <row r="901" ht="15.75" customHeight="1">
      <c r="A901" s="441"/>
      <c r="B901" s="450"/>
      <c r="D901" s="441"/>
    </row>
    <row r="902" ht="15.75" customHeight="1">
      <c r="A902" s="441"/>
      <c r="B902" s="450"/>
      <c r="D902" s="441"/>
    </row>
    <row r="903" ht="15.75" customHeight="1">
      <c r="A903" s="441"/>
      <c r="B903" s="450"/>
      <c r="D903" s="441"/>
    </row>
    <row r="904" ht="15.75" customHeight="1">
      <c r="A904" s="441"/>
      <c r="B904" s="450"/>
      <c r="D904" s="441"/>
    </row>
    <row r="905" ht="15.75" customHeight="1">
      <c r="A905" s="441"/>
      <c r="B905" s="450"/>
      <c r="D905" s="441"/>
    </row>
    <row r="906" ht="15.75" customHeight="1">
      <c r="A906" s="441"/>
      <c r="B906" s="450"/>
      <c r="D906" s="441"/>
    </row>
    <row r="907" ht="15.75" customHeight="1">
      <c r="A907" s="441"/>
      <c r="B907" s="450"/>
      <c r="D907" s="441"/>
    </row>
    <row r="908" ht="15.75" customHeight="1">
      <c r="A908" s="441"/>
      <c r="B908" s="450"/>
      <c r="D908" s="441"/>
    </row>
    <row r="909" ht="15.75" customHeight="1">
      <c r="A909" s="441"/>
      <c r="B909" s="450"/>
      <c r="D909" s="441"/>
    </row>
    <row r="910" ht="15.75" customHeight="1">
      <c r="A910" s="441"/>
      <c r="B910" s="450"/>
      <c r="D910" s="441"/>
    </row>
    <row r="911" ht="15.75" customHeight="1">
      <c r="A911" s="441"/>
      <c r="B911" s="450"/>
      <c r="D911" s="441"/>
    </row>
    <row r="912" ht="15.75" customHeight="1">
      <c r="A912" s="441"/>
      <c r="B912" s="450"/>
      <c r="D912" s="441"/>
    </row>
    <row r="913" ht="15.75" customHeight="1">
      <c r="A913" s="441"/>
      <c r="B913" s="450"/>
      <c r="D913" s="441"/>
    </row>
    <row r="914" ht="15.75" customHeight="1">
      <c r="A914" s="441"/>
      <c r="B914" s="450"/>
      <c r="D914" s="441"/>
    </row>
    <row r="915" ht="15.75" customHeight="1">
      <c r="A915" s="441"/>
      <c r="B915" s="450"/>
      <c r="D915" s="441"/>
    </row>
    <row r="916" ht="15.75" customHeight="1">
      <c r="A916" s="441"/>
      <c r="B916" s="450"/>
      <c r="D916" s="441"/>
    </row>
    <row r="917" ht="15.75" customHeight="1">
      <c r="A917" s="441"/>
      <c r="B917" s="450"/>
      <c r="D917" s="441"/>
    </row>
    <row r="918" ht="15.75" customHeight="1">
      <c r="A918" s="441"/>
      <c r="B918" s="450"/>
      <c r="D918" s="441"/>
    </row>
    <row r="919" ht="15.75" customHeight="1">
      <c r="A919" s="441"/>
      <c r="B919" s="450"/>
      <c r="D919" s="441"/>
    </row>
    <row r="920" ht="15.75" customHeight="1">
      <c r="A920" s="441"/>
      <c r="B920" s="450"/>
      <c r="D920" s="441"/>
    </row>
    <row r="921" ht="15.75" customHeight="1">
      <c r="A921" s="441"/>
      <c r="B921" s="450"/>
      <c r="D921" s="441"/>
    </row>
    <row r="922" ht="15.75" customHeight="1">
      <c r="A922" s="441"/>
      <c r="B922" s="450"/>
      <c r="D922" s="441"/>
    </row>
    <row r="923" ht="15.75" customHeight="1">
      <c r="A923" s="441"/>
      <c r="B923" s="450"/>
      <c r="D923" s="441"/>
    </row>
    <row r="924" ht="15.75" customHeight="1">
      <c r="A924" s="441"/>
      <c r="B924" s="450"/>
      <c r="D924" s="441"/>
    </row>
    <row r="925" ht="15.75" customHeight="1">
      <c r="A925" s="441"/>
      <c r="B925" s="450"/>
      <c r="D925" s="441"/>
    </row>
    <row r="926" ht="15.75" customHeight="1">
      <c r="A926" s="441"/>
      <c r="B926" s="450"/>
      <c r="D926" s="441"/>
    </row>
    <row r="927" ht="15.75" customHeight="1">
      <c r="A927" s="441"/>
      <c r="B927" s="450"/>
      <c r="D927" s="441"/>
    </row>
    <row r="928" ht="15.75" customHeight="1">
      <c r="A928" s="441"/>
      <c r="B928" s="450"/>
      <c r="D928" s="441"/>
    </row>
    <row r="929" ht="15.75" customHeight="1">
      <c r="A929" s="441"/>
      <c r="B929" s="450"/>
      <c r="D929" s="441"/>
    </row>
    <row r="930" ht="15.75" customHeight="1">
      <c r="A930" s="441"/>
      <c r="B930" s="450"/>
      <c r="D930" s="441"/>
    </row>
    <row r="931" ht="15.75" customHeight="1">
      <c r="A931" s="441"/>
      <c r="B931" s="450"/>
      <c r="D931" s="441"/>
    </row>
    <row r="932" ht="15.75" customHeight="1">
      <c r="A932" s="441"/>
      <c r="B932" s="450"/>
      <c r="D932" s="441"/>
    </row>
    <row r="933" ht="15.75" customHeight="1">
      <c r="A933" s="441"/>
      <c r="B933" s="450"/>
      <c r="D933" s="441"/>
    </row>
    <row r="934" ht="15.75" customHeight="1">
      <c r="A934" s="441"/>
      <c r="B934" s="450"/>
      <c r="D934" s="441"/>
    </row>
    <row r="935" ht="15.75" customHeight="1">
      <c r="A935" s="441"/>
      <c r="B935" s="450"/>
      <c r="D935" s="441"/>
    </row>
    <row r="936" ht="15.75" customHeight="1">
      <c r="A936" s="441"/>
      <c r="B936" s="450"/>
      <c r="D936" s="441"/>
    </row>
    <row r="937" ht="15.75" customHeight="1">
      <c r="A937" s="441"/>
      <c r="B937" s="450"/>
      <c r="D937" s="441"/>
    </row>
    <row r="938" ht="15.75" customHeight="1">
      <c r="A938" s="441"/>
      <c r="B938" s="450"/>
      <c r="D938" s="441"/>
    </row>
    <row r="939" ht="15.75" customHeight="1">
      <c r="A939" s="441"/>
      <c r="B939" s="450"/>
      <c r="D939" s="441"/>
    </row>
    <row r="940" ht="15.75" customHeight="1">
      <c r="A940" s="441"/>
      <c r="B940" s="450"/>
      <c r="D940" s="441"/>
    </row>
    <row r="941" ht="15.75" customHeight="1">
      <c r="A941" s="441"/>
      <c r="B941" s="450"/>
      <c r="D941" s="441"/>
    </row>
    <row r="942" ht="15.75" customHeight="1">
      <c r="A942" s="441"/>
      <c r="B942" s="450"/>
      <c r="D942" s="441"/>
    </row>
    <row r="943" ht="15.75" customHeight="1">
      <c r="A943" s="441"/>
      <c r="B943" s="450"/>
      <c r="D943" s="441"/>
    </row>
    <row r="944" ht="15.75" customHeight="1">
      <c r="A944" s="441"/>
      <c r="B944" s="450"/>
      <c r="D944" s="441"/>
    </row>
    <row r="945" ht="15.75" customHeight="1">
      <c r="A945" s="441"/>
      <c r="B945" s="450"/>
      <c r="D945" s="441"/>
    </row>
    <row r="946" ht="15.75" customHeight="1">
      <c r="A946" s="441"/>
      <c r="B946" s="450"/>
      <c r="D946" s="441"/>
    </row>
    <row r="947" ht="15.75" customHeight="1">
      <c r="A947" s="441"/>
      <c r="B947" s="450"/>
      <c r="D947" s="441"/>
    </row>
    <row r="948" ht="15.75" customHeight="1">
      <c r="A948" s="441"/>
      <c r="B948" s="450"/>
      <c r="D948" s="441"/>
    </row>
    <row r="949" ht="15.75" customHeight="1">
      <c r="A949" s="441"/>
      <c r="B949" s="450"/>
      <c r="D949" s="441"/>
    </row>
    <row r="950" ht="15.75" customHeight="1">
      <c r="A950" s="441"/>
      <c r="B950" s="450"/>
      <c r="D950" s="441"/>
    </row>
    <row r="951" ht="15.75" customHeight="1">
      <c r="A951" s="441"/>
      <c r="B951" s="450"/>
      <c r="D951" s="441"/>
    </row>
    <row r="952" ht="15.75" customHeight="1">
      <c r="A952" s="441"/>
      <c r="B952" s="450"/>
      <c r="D952" s="441"/>
    </row>
    <row r="953" ht="15.75" customHeight="1">
      <c r="A953" s="441"/>
      <c r="B953" s="450"/>
      <c r="D953" s="441"/>
    </row>
    <row r="954" ht="15.75" customHeight="1">
      <c r="A954" s="441"/>
      <c r="B954" s="450"/>
      <c r="D954" s="441"/>
    </row>
    <row r="955" ht="15.75" customHeight="1">
      <c r="A955" s="441"/>
      <c r="B955" s="450"/>
      <c r="D955" s="441"/>
    </row>
    <row r="956" ht="15.75" customHeight="1">
      <c r="A956" s="441"/>
      <c r="B956" s="450"/>
      <c r="D956" s="441"/>
    </row>
    <row r="957" ht="15.75" customHeight="1">
      <c r="A957" s="441"/>
      <c r="B957" s="450"/>
      <c r="D957" s="441"/>
    </row>
    <row r="958" ht="15.75" customHeight="1">
      <c r="A958" s="441"/>
      <c r="B958" s="450"/>
      <c r="D958" s="441"/>
    </row>
    <row r="959" ht="15.75" customHeight="1">
      <c r="A959" s="441"/>
      <c r="B959" s="450"/>
      <c r="D959" s="441"/>
    </row>
    <row r="960" ht="15.75" customHeight="1">
      <c r="A960" s="441"/>
      <c r="B960" s="450"/>
      <c r="D960" s="441"/>
    </row>
    <row r="961" ht="15.75" customHeight="1">
      <c r="A961" s="441"/>
      <c r="B961" s="450"/>
      <c r="D961" s="441"/>
    </row>
    <row r="962" ht="15.75" customHeight="1">
      <c r="A962" s="441"/>
      <c r="B962" s="450"/>
      <c r="D962" s="441"/>
    </row>
    <row r="963" ht="15.75" customHeight="1">
      <c r="A963" s="441"/>
      <c r="B963" s="450"/>
      <c r="D963" s="441"/>
    </row>
    <row r="964" ht="15.75" customHeight="1">
      <c r="A964" s="441"/>
      <c r="B964" s="450"/>
      <c r="D964" s="441"/>
    </row>
    <row r="965" ht="15.75" customHeight="1">
      <c r="A965" s="441"/>
      <c r="B965" s="450"/>
      <c r="D965" s="441"/>
    </row>
    <row r="966" ht="15.75" customHeight="1">
      <c r="A966" s="441"/>
      <c r="B966" s="450"/>
      <c r="D966" s="441"/>
    </row>
    <row r="967" ht="15.75" customHeight="1">
      <c r="A967" s="441"/>
      <c r="B967" s="450"/>
      <c r="D967" s="441"/>
    </row>
    <row r="968" ht="15.75" customHeight="1">
      <c r="A968" s="441"/>
      <c r="B968" s="450"/>
      <c r="D968" s="441"/>
    </row>
    <row r="969" ht="15.75" customHeight="1">
      <c r="A969" s="441"/>
      <c r="B969" s="450"/>
      <c r="D969" s="441"/>
    </row>
    <row r="970" ht="15.75" customHeight="1">
      <c r="A970" s="441"/>
      <c r="B970" s="450"/>
      <c r="D970" s="441"/>
    </row>
    <row r="971" ht="15.75" customHeight="1">
      <c r="A971" s="441"/>
      <c r="B971" s="450"/>
      <c r="D971" s="441"/>
    </row>
    <row r="972" ht="15.75" customHeight="1">
      <c r="A972" s="441"/>
      <c r="B972" s="450"/>
      <c r="D972" s="441"/>
    </row>
    <row r="973" ht="15.75" customHeight="1">
      <c r="A973" s="441"/>
      <c r="B973" s="450"/>
      <c r="D973" s="441"/>
    </row>
    <row r="974" ht="15.75" customHeight="1">
      <c r="A974" s="441"/>
      <c r="B974" s="450"/>
      <c r="D974" s="441"/>
    </row>
    <row r="975" ht="15.75" customHeight="1">
      <c r="A975" s="441"/>
      <c r="B975" s="450"/>
      <c r="D975" s="441"/>
    </row>
    <row r="976" ht="15.75" customHeight="1">
      <c r="A976" s="441"/>
      <c r="B976" s="450"/>
      <c r="D976" s="441"/>
    </row>
    <row r="977" ht="15.75" customHeight="1">
      <c r="A977" s="441"/>
      <c r="B977" s="450"/>
      <c r="D977" s="441"/>
    </row>
    <row r="978" ht="15.75" customHeight="1">
      <c r="A978" s="441"/>
      <c r="B978" s="450"/>
      <c r="D978" s="441"/>
    </row>
    <row r="979" ht="15.75" customHeight="1">
      <c r="A979" s="441"/>
      <c r="B979" s="450"/>
      <c r="D979" s="441"/>
    </row>
    <row r="980" ht="15.75" customHeight="1">
      <c r="A980" s="441"/>
      <c r="B980" s="450"/>
      <c r="D980" s="441"/>
    </row>
    <row r="981" ht="15.75" customHeight="1">
      <c r="A981" s="441"/>
      <c r="B981" s="450"/>
      <c r="D981" s="441"/>
    </row>
    <row r="982" ht="15.75" customHeight="1">
      <c r="A982" s="441"/>
      <c r="B982" s="450"/>
      <c r="D982" s="441"/>
    </row>
    <row r="983" ht="15.75" customHeight="1">
      <c r="A983" s="441"/>
      <c r="B983" s="450"/>
      <c r="D983" s="441"/>
    </row>
    <row r="984" ht="15.75" customHeight="1">
      <c r="A984" s="441"/>
      <c r="B984" s="450"/>
      <c r="D984" s="441"/>
    </row>
    <row r="985" ht="15.75" customHeight="1">
      <c r="A985" s="441"/>
      <c r="B985" s="450"/>
      <c r="D985" s="441"/>
    </row>
    <row r="986" ht="15.75" customHeight="1">
      <c r="A986" s="441"/>
      <c r="B986" s="450"/>
      <c r="D986" s="441"/>
    </row>
    <row r="987" ht="15.75" customHeight="1">
      <c r="A987" s="441"/>
      <c r="B987" s="450"/>
      <c r="D987" s="441"/>
    </row>
    <row r="988" ht="15.75" customHeight="1">
      <c r="A988" s="441"/>
      <c r="B988" s="450"/>
      <c r="D988" s="441"/>
    </row>
    <row r="989" ht="15.75" customHeight="1">
      <c r="A989" s="441"/>
      <c r="B989" s="450"/>
      <c r="D989" s="441"/>
    </row>
    <row r="990" ht="15.75" customHeight="1">
      <c r="A990" s="441"/>
      <c r="B990" s="450"/>
      <c r="D990" s="441"/>
    </row>
    <row r="991" ht="15.75" customHeight="1">
      <c r="A991" s="441"/>
      <c r="B991" s="450"/>
      <c r="D991" s="441"/>
    </row>
    <row r="992" ht="15.75" customHeight="1">
      <c r="A992" s="441"/>
      <c r="B992" s="450"/>
      <c r="D992" s="441"/>
    </row>
    <row r="993" ht="15.75" customHeight="1">
      <c r="A993" s="441"/>
      <c r="B993" s="450"/>
      <c r="D993" s="441"/>
    </row>
    <row r="994" ht="15.75" customHeight="1">
      <c r="A994" s="441"/>
      <c r="B994" s="450"/>
      <c r="D994" s="441"/>
    </row>
    <row r="995" ht="15.75" customHeight="1">
      <c r="A995" s="441"/>
      <c r="B995" s="450"/>
      <c r="D995" s="441"/>
    </row>
    <row r="996" ht="15.75" customHeight="1">
      <c r="A996" s="441"/>
      <c r="B996" s="450"/>
      <c r="D996" s="441"/>
    </row>
    <row r="997" ht="15.75" customHeight="1">
      <c r="A997" s="441"/>
      <c r="B997" s="450"/>
      <c r="D997" s="441"/>
    </row>
    <row r="998" ht="15.75" customHeight="1">
      <c r="A998" s="441"/>
      <c r="B998" s="450"/>
      <c r="D998" s="441"/>
    </row>
    <row r="999" ht="15.75" customHeight="1">
      <c r="A999" s="441"/>
      <c r="B999" s="450"/>
      <c r="D999" s="441"/>
    </row>
    <row r="1000" ht="15.75" customHeight="1">
      <c r="A1000" s="441"/>
      <c r="B1000" s="450"/>
      <c r="D1000" s="441"/>
    </row>
    <row r="1001" ht="15.75" customHeight="1">
      <c r="A1001" s="441"/>
      <c r="B1001" s="450"/>
      <c r="D1001" s="441"/>
    </row>
    <row r="1002" ht="15.75" customHeight="1">
      <c r="A1002" s="441"/>
      <c r="B1002" s="450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49">
        <v>2702.0</v>
      </c>
      <c r="B2" s="451" t="s">
        <v>62</v>
      </c>
      <c r="C2" s="451" t="s">
        <v>65</v>
      </c>
      <c r="D2" s="451" t="s">
        <v>245</v>
      </c>
      <c r="E2" s="45"/>
      <c r="F2" s="45"/>
    </row>
    <row r="3">
      <c r="A3" s="449">
        <v>2703.0</v>
      </c>
      <c r="B3" s="451" t="s">
        <v>62</v>
      </c>
      <c r="C3" s="451" t="s">
        <v>74</v>
      </c>
      <c r="D3" s="451" t="s">
        <v>243</v>
      </c>
      <c r="E3" s="45"/>
      <c r="F3" s="45"/>
    </row>
    <row r="4">
      <c r="A4" s="449">
        <v>2704.0</v>
      </c>
      <c r="B4" s="451">
        <v>3044000.0</v>
      </c>
      <c r="C4" s="451" t="s">
        <v>95</v>
      </c>
      <c r="D4" s="451" t="s">
        <v>91</v>
      </c>
      <c r="E4" s="45"/>
      <c r="F4" s="45"/>
    </row>
    <row r="5">
      <c r="A5" s="449">
        <v>2708.0</v>
      </c>
      <c r="B5" s="451">
        <v>3044000.0</v>
      </c>
      <c r="C5" s="451" t="s">
        <v>67</v>
      </c>
      <c r="D5" s="451" t="s">
        <v>114</v>
      </c>
      <c r="E5" s="45"/>
      <c r="F5" s="45"/>
    </row>
    <row r="6">
      <c r="A6" s="449">
        <v>2709.0</v>
      </c>
      <c r="B6" s="451">
        <v>3044000.0</v>
      </c>
      <c r="C6" s="451" t="s">
        <v>132</v>
      </c>
      <c r="D6" s="451" t="s">
        <v>131</v>
      </c>
      <c r="E6" s="45"/>
      <c r="F6" s="45"/>
    </row>
    <row r="7">
      <c r="A7" s="449">
        <v>2719.0</v>
      </c>
      <c r="B7" s="451">
        <v>3044000.0</v>
      </c>
      <c r="C7" s="451" t="s">
        <v>81</v>
      </c>
      <c r="D7" s="451" t="s">
        <v>122</v>
      </c>
      <c r="E7" s="45"/>
      <c r="F7" s="45"/>
    </row>
    <row r="8">
      <c r="A8" s="449">
        <v>2720.0</v>
      </c>
      <c r="B8" s="451">
        <v>3044000.0</v>
      </c>
      <c r="C8" s="451" t="s">
        <v>133</v>
      </c>
      <c r="D8" s="451" t="s">
        <v>131</v>
      </c>
      <c r="E8" s="45"/>
      <c r="F8" s="45"/>
    </row>
    <row r="9">
      <c r="A9" s="449">
        <v>2721.0</v>
      </c>
      <c r="B9" s="451">
        <v>3044000.0</v>
      </c>
      <c r="C9" s="451" t="s">
        <v>137</v>
      </c>
      <c r="D9" s="451" t="s">
        <v>114</v>
      </c>
      <c r="E9" s="45"/>
      <c r="F9" s="45"/>
    </row>
    <row r="10">
      <c r="A10" s="449">
        <v>2722.0</v>
      </c>
      <c r="B10" s="451">
        <v>3044000.0</v>
      </c>
      <c r="C10" s="451" t="s">
        <v>125</v>
      </c>
      <c r="D10" s="451" t="s">
        <v>122</v>
      </c>
      <c r="E10" s="45"/>
      <c r="F10" s="45"/>
    </row>
    <row r="11">
      <c r="A11" s="449">
        <v>2723.0</v>
      </c>
      <c r="B11" s="451">
        <v>3044000.0</v>
      </c>
      <c r="C11" s="451" t="s">
        <v>76</v>
      </c>
      <c r="D11" s="451" t="s">
        <v>73</v>
      </c>
      <c r="E11" s="45"/>
      <c r="F11" s="45"/>
    </row>
    <row r="12">
      <c r="A12" s="449">
        <v>2728.0</v>
      </c>
      <c r="B12" s="451">
        <v>3044000.0</v>
      </c>
      <c r="C12" s="451" t="s">
        <v>126</v>
      </c>
      <c r="D12" s="451" t="s">
        <v>114</v>
      </c>
      <c r="E12" s="45"/>
      <c r="F12" s="45"/>
    </row>
    <row r="13">
      <c r="A13" s="449">
        <v>2729.0</v>
      </c>
      <c r="B13" s="451">
        <v>3044000.0</v>
      </c>
      <c r="C13" s="451" t="s">
        <v>144</v>
      </c>
      <c r="D13" s="451" t="s">
        <v>114</v>
      </c>
      <c r="E13" s="45"/>
      <c r="F13" s="45"/>
    </row>
    <row r="14">
      <c r="A14" s="449">
        <v>2731.0</v>
      </c>
      <c r="B14" s="451">
        <v>3044000.0</v>
      </c>
      <c r="C14" s="451" t="s">
        <v>100</v>
      </c>
      <c r="D14" s="451" t="s">
        <v>97</v>
      </c>
      <c r="E14" s="45"/>
      <c r="F14" s="45"/>
      <c r="G14" s="399"/>
      <c r="H14" s="399"/>
      <c r="I14" s="399"/>
      <c r="J14" s="399"/>
      <c r="K14" s="399"/>
      <c r="L14" s="399"/>
      <c r="M14" s="399"/>
      <c r="N14" s="399"/>
    </row>
    <row r="15">
      <c r="A15" s="449">
        <v>2733.0</v>
      </c>
      <c r="B15" s="451">
        <v>3044000.0</v>
      </c>
      <c r="C15" s="451" t="s">
        <v>90</v>
      </c>
      <c r="D15" s="451" t="s">
        <v>97</v>
      </c>
      <c r="E15" s="45"/>
      <c r="F15" s="45"/>
      <c r="G15" s="399"/>
      <c r="H15" s="399"/>
      <c r="I15" s="399"/>
      <c r="J15" s="399"/>
      <c r="K15" s="399"/>
      <c r="L15" s="399"/>
      <c r="M15" s="399"/>
      <c r="N15" s="399"/>
    </row>
    <row r="16">
      <c r="A16" s="449">
        <v>2736.0</v>
      </c>
      <c r="B16" s="451">
        <v>3044000.0</v>
      </c>
      <c r="C16" s="451" t="s">
        <v>101</v>
      </c>
      <c r="D16" s="451" t="s">
        <v>12</v>
      </c>
      <c r="E16" s="45"/>
      <c r="F16" s="45"/>
      <c r="G16" s="147"/>
      <c r="H16" s="147"/>
      <c r="I16" s="147"/>
      <c r="J16" s="147"/>
      <c r="K16" s="399"/>
      <c r="L16" s="399"/>
      <c r="M16" s="399"/>
      <c r="N16" s="399"/>
    </row>
    <row r="17">
      <c r="A17" s="449">
        <v>2737.0</v>
      </c>
      <c r="B17" s="451">
        <v>3044000.0</v>
      </c>
      <c r="C17" s="451" t="s">
        <v>21</v>
      </c>
      <c r="D17" s="451" t="s">
        <v>12</v>
      </c>
      <c r="E17" s="45"/>
      <c r="F17" s="45"/>
      <c r="G17" s="399"/>
      <c r="H17" s="399"/>
      <c r="I17" s="399"/>
      <c r="J17" s="399"/>
      <c r="K17" s="399"/>
      <c r="L17" s="399"/>
      <c r="M17" s="399"/>
      <c r="N17" s="399"/>
    </row>
    <row r="18">
      <c r="A18" s="449">
        <v>2738.0</v>
      </c>
      <c r="B18" s="451">
        <v>3044000.0</v>
      </c>
      <c r="C18" s="451" t="s">
        <v>59</v>
      </c>
      <c r="D18" s="451" t="s">
        <v>12</v>
      </c>
      <c r="E18" s="45"/>
      <c r="F18" s="45"/>
      <c r="G18" s="399"/>
      <c r="H18" s="399"/>
      <c r="I18" s="399"/>
      <c r="J18" s="399"/>
      <c r="K18" s="399"/>
      <c r="L18" s="399"/>
      <c r="M18" s="399"/>
      <c r="N18" s="399"/>
    </row>
    <row r="19">
      <c r="A19" s="449">
        <v>2739.0</v>
      </c>
      <c r="B19" s="451">
        <v>3044000.0</v>
      </c>
      <c r="C19" s="451" t="s">
        <v>106</v>
      </c>
      <c r="D19" s="451" t="s">
        <v>97</v>
      </c>
      <c r="E19" s="45"/>
      <c r="F19" s="45"/>
      <c r="G19" s="399"/>
      <c r="H19" s="399"/>
      <c r="I19" s="399"/>
      <c r="J19" s="399"/>
      <c r="K19" s="399"/>
      <c r="L19" s="399"/>
      <c r="M19" s="399"/>
      <c r="N19" s="399"/>
    </row>
    <row r="20">
      <c r="A20" s="449">
        <v>2740.0</v>
      </c>
      <c r="B20" s="451">
        <v>3044000.0</v>
      </c>
      <c r="C20" s="451" t="s">
        <v>98</v>
      </c>
      <c r="D20" s="451" t="s">
        <v>12</v>
      </c>
      <c r="E20" s="45"/>
      <c r="F20" s="45"/>
      <c r="G20" s="399"/>
      <c r="H20" s="399"/>
      <c r="I20" s="399"/>
      <c r="J20" s="399"/>
      <c r="K20" s="399"/>
      <c r="L20" s="399"/>
      <c r="M20" s="399"/>
      <c r="N20" s="399"/>
    </row>
    <row r="21">
      <c r="A21" s="449">
        <v>2742.0</v>
      </c>
      <c r="B21" s="451">
        <v>3044000.0</v>
      </c>
      <c r="C21" s="451" t="s">
        <v>89</v>
      </c>
      <c r="D21" s="451" t="s">
        <v>157</v>
      </c>
      <c r="E21" s="45"/>
      <c r="F21" s="45"/>
    </row>
    <row r="22">
      <c r="A22" s="449">
        <v>2743.0</v>
      </c>
      <c r="B22" s="451">
        <v>3044000.0</v>
      </c>
      <c r="C22" s="451" t="s">
        <v>113</v>
      </c>
      <c r="D22" s="451" t="s">
        <v>129</v>
      </c>
      <c r="E22" s="45"/>
      <c r="F22" s="45"/>
    </row>
    <row r="23">
      <c r="A23" s="449">
        <v>0.0</v>
      </c>
      <c r="B23" s="451">
        <v>3044000.0</v>
      </c>
      <c r="C23" s="451" t="s">
        <v>85</v>
      </c>
      <c r="D23" s="451" t="s">
        <v>391</v>
      </c>
      <c r="G23" s="140" t="s">
        <v>392</v>
      </c>
      <c r="K23" s="452"/>
    </row>
    <row r="24">
      <c r="A24" s="449">
        <v>0.0</v>
      </c>
      <c r="B24" s="451">
        <v>3044000.0</v>
      </c>
      <c r="C24" s="451" t="s">
        <v>130</v>
      </c>
      <c r="D24" s="451" t="s">
        <v>146</v>
      </c>
      <c r="G24" s="140" t="s">
        <v>393</v>
      </c>
      <c r="K24" s="452"/>
    </row>
    <row r="25">
      <c r="A25" s="449">
        <v>0.0</v>
      </c>
      <c r="B25" s="451">
        <v>3044000.0</v>
      </c>
      <c r="C25" s="451" t="s">
        <v>108</v>
      </c>
      <c r="D25" s="451" t="s">
        <v>138</v>
      </c>
      <c r="G25" s="140" t="s">
        <v>394</v>
      </c>
    </row>
    <row r="26">
      <c r="A26" s="453">
        <v>0.0</v>
      </c>
      <c r="B26" s="454">
        <v>3044000.0</v>
      </c>
      <c r="C26" s="454" t="s">
        <v>160</v>
      </c>
      <c r="D26" s="454" t="s">
        <v>146</v>
      </c>
      <c r="G26" s="140" t="s">
        <v>395</v>
      </c>
      <c r="K26" s="452"/>
    </row>
    <row r="27">
      <c r="A27" s="455"/>
      <c r="B27" s="456"/>
      <c r="C27" s="456"/>
      <c r="D27" s="457"/>
      <c r="E27" s="203" t="s">
        <v>17</v>
      </c>
      <c r="F27" s="203" t="s">
        <v>396</v>
      </c>
    </row>
    <row r="28">
      <c r="A28" s="458">
        <v>0.0</v>
      </c>
      <c r="B28" s="459">
        <v>3044000.0</v>
      </c>
      <c r="C28" s="459" t="s">
        <v>252</v>
      </c>
      <c r="D28" s="459" t="s">
        <v>60</v>
      </c>
      <c r="E28" s="460">
        <v>203.0625</v>
      </c>
      <c r="F28" s="148" t="s">
        <v>51</v>
      </c>
      <c r="G28" s="461" t="s">
        <v>397</v>
      </c>
      <c r="H28" s="462"/>
      <c r="I28" s="462"/>
      <c r="J28" s="462"/>
      <c r="K28" s="462"/>
      <c r="L28" s="462"/>
      <c r="M28" s="462"/>
      <c r="N28" s="462"/>
      <c r="O28" s="462"/>
      <c r="P28" s="462"/>
      <c r="Q28" s="462"/>
      <c r="R28" s="462"/>
      <c r="S28" s="462"/>
      <c r="T28" s="462"/>
      <c r="U28" s="462"/>
      <c r="V28" s="462"/>
      <c r="W28" s="462"/>
      <c r="X28" s="462"/>
    </row>
    <row r="29">
      <c r="A29" s="463">
        <v>0.0</v>
      </c>
      <c r="B29" s="464">
        <v>3044000.0</v>
      </c>
      <c r="C29" s="464" t="s">
        <v>140</v>
      </c>
      <c r="D29" s="464" t="s">
        <v>107</v>
      </c>
      <c r="E29" s="460">
        <v>216.66666666666666</v>
      </c>
      <c r="F29" s="148" t="s">
        <v>51</v>
      </c>
      <c r="G29" s="461" t="s">
        <v>398</v>
      </c>
      <c r="J29" s="462"/>
      <c r="K29" s="462"/>
      <c r="L29" s="462"/>
      <c r="M29" s="462"/>
      <c r="N29" s="462"/>
      <c r="O29" s="462"/>
      <c r="P29" s="462"/>
      <c r="Q29" s="462"/>
      <c r="R29" s="462"/>
      <c r="S29" s="462"/>
      <c r="T29" s="462"/>
      <c r="U29" s="462"/>
      <c r="V29" s="462"/>
      <c r="W29" s="462"/>
      <c r="X29" s="462"/>
    </row>
    <row r="30">
      <c r="A30" s="463">
        <v>0.0</v>
      </c>
      <c r="B30" s="464">
        <v>3044000.0</v>
      </c>
      <c r="C30" s="464" t="s">
        <v>163</v>
      </c>
      <c r="D30" s="464" t="s">
        <v>60</v>
      </c>
      <c r="E30" s="460">
        <v>222.85763888888889</v>
      </c>
      <c r="F30" s="148" t="s">
        <v>51</v>
      </c>
      <c r="G30" s="461" t="s">
        <v>399</v>
      </c>
      <c r="H30" s="462"/>
      <c r="I30" s="462"/>
      <c r="J30" s="462"/>
      <c r="K30" s="462"/>
      <c r="L30" s="462"/>
      <c r="M30" s="462"/>
      <c r="N30" s="462"/>
      <c r="O30" s="462"/>
      <c r="P30" s="462"/>
      <c r="Q30" s="462"/>
      <c r="R30" s="462"/>
      <c r="S30" s="462"/>
      <c r="T30" s="462"/>
      <c r="U30" s="462"/>
      <c r="V30" s="462"/>
      <c r="W30" s="462"/>
      <c r="X30" s="462"/>
    </row>
    <row r="31">
      <c r="A31" s="463">
        <v>0.0</v>
      </c>
      <c r="B31" s="464">
        <v>3044000.0</v>
      </c>
      <c r="C31" s="464" t="s">
        <v>158</v>
      </c>
      <c r="D31" s="464" t="s">
        <v>60</v>
      </c>
      <c r="E31" s="460">
        <v>212.27777777777777</v>
      </c>
      <c r="F31" s="148" t="s">
        <v>51</v>
      </c>
      <c r="G31" s="461" t="s">
        <v>400</v>
      </c>
      <c r="O31" s="462"/>
      <c r="P31" s="462"/>
      <c r="Q31" s="462"/>
      <c r="R31" s="462"/>
      <c r="S31" s="462"/>
      <c r="T31" s="462"/>
      <c r="U31" s="462"/>
      <c r="V31" s="462"/>
      <c r="W31" s="462"/>
      <c r="X31" s="462"/>
    </row>
    <row r="32">
      <c r="A32" s="463">
        <v>0.0</v>
      </c>
      <c r="B32" s="464">
        <v>3044000.0</v>
      </c>
      <c r="C32" s="464" t="s">
        <v>152</v>
      </c>
      <c r="D32" s="464" t="s">
        <v>60</v>
      </c>
      <c r="E32" s="460">
        <v>192.90972222222223</v>
      </c>
      <c r="F32" s="148" t="s">
        <v>51</v>
      </c>
      <c r="G32" s="461" t="s">
        <v>401</v>
      </c>
      <c r="M32" s="462"/>
      <c r="N32" s="462"/>
      <c r="O32" s="462"/>
      <c r="P32" s="462"/>
      <c r="Q32" s="462"/>
      <c r="R32" s="462"/>
      <c r="S32" s="462"/>
      <c r="T32" s="462"/>
      <c r="U32" s="462"/>
      <c r="V32" s="462"/>
      <c r="W32" s="462"/>
      <c r="X32" s="462"/>
    </row>
    <row r="33">
      <c r="A33" s="463">
        <v>0.0</v>
      </c>
      <c r="B33" s="464">
        <v>3044000.0</v>
      </c>
      <c r="C33" s="464" t="s">
        <v>145</v>
      </c>
      <c r="D33" s="464" t="s">
        <v>60</v>
      </c>
      <c r="E33" s="460">
        <v>201.35069444444446</v>
      </c>
      <c r="F33" s="148" t="s">
        <v>51</v>
      </c>
      <c r="G33" s="461" t="s">
        <v>402</v>
      </c>
      <c r="U33" s="462"/>
      <c r="V33" s="462"/>
      <c r="W33" s="462"/>
      <c r="X33" s="462"/>
    </row>
    <row r="34">
      <c r="A34" s="463">
        <v>0.0</v>
      </c>
      <c r="B34" s="464">
        <v>3044000.0</v>
      </c>
      <c r="C34" s="464" t="s">
        <v>134</v>
      </c>
      <c r="D34" s="464" t="s">
        <v>60</v>
      </c>
      <c r="E34" s="460">
        <v>186.64930555555554</v>
      </c>
      <c r="F34" s="148" t="s">
        <v>51</v>
      </c>
      <c r="G34" s="461" t="s">
        <v>403</v>
      </c>
      <c r="R34" s="462"/>
      <c r="S34" s="462"/>
      <c r="T34" s="462"/>
      <c r="U34" s="462"/>
      <c r="V34" s="462"/>
      <c r="W34" s="462"/>
      <c r="X34" s="462"/>
    </row>
    <row r="35">
      <c r="A35" s="463">
        <v>0.0</v>
      </c>
      <c r="B35" s="464">
        <v>3044000.0</v>
      </c>
      <c r="C35" s="464" t="s">
        <v>57</v>
      </c>
      <c r="D35" s="464" t="s">
        <v>60</v>
      </c>
      <c r="E35" s="460">
        <v>184.43055555555554</v>
      </c>
      <c r="F35" s="148" t="s">
        <v>51</v>
      </c>
      <c r="G35" s="461" t="s">
        <v>404</v>
      </c>
      <c r="O35" s="462"/>
      <c r="P35" s="462"/>
      <c r="Q35" s="462"/>
      <c r="R35" s="462"/>
      <c r="S35" s="462"/>
      <c r="T35" s="462"/>
      <c r="U35" s="462"/>
      <c r="V35" s="462"/>
      <c r="W35" s="462"/>
      <c r="X35" s="462"/>
    </row>
    <row r="36">
      <c r="A36" s="463">
        <v>0.0</v>
      </c>
      <c r="B36" s="464">
        <v>3044000.0</v>
      </c>
      <c r="C36" s="464" t="s">
        <v>92</v>
      </c>
      <c r="D36" s="464" t="s">
        <v>60</v>
      </c>
      <c r="E36" s="460">
        <v>208.20833333333334</v>
      </c>
      <c r="F36" s="148" t="s">
        <v>51</v>
      </c>
      <c r="G36" s="461" t="s">
        <v>405</v>
      </c>
      <c r="H36" s="462"/>
      <c r="I36" s="462"/>
      <c r="J36" s="462"/>
      <c r="K36" s="462"/>
      <c r="L36" s="462"/>
      <c r="M36" s="462"/>
      <c r="N36" s="462"/>
      <c r="O36" s="462"/>
      <c r="P36" s="462"/>
      <c r="Q36" s="462"/>
      <c r="R36" s="462"/>
      <c r="S36" s="462"/>
      <c r="T36" s="462"/>
      <c r="U36" s="462"/>
      <c r="V36" s="462"/>
      <c r="W36" s="462"/>
      <c r="X36" s="462"/>
    </row>
    <row r="37">
      <c r="A37" s="463">
        <v>0.0</v>
      </c>
      <c r="B37" s="464">
        <v>3044000.0</v>
      </c>
      <c r="C37" s="464" t="s">
        <v>170</v>
      </c>
      <c r="D37" s="464" t="s">
        <v>60</v>
      </c>
      <c r="E37" s="460">
        <v>139.45486111111111</v>
      </c>
      <c r="F37" s="148" t="s">
        <v>406</v>
      </c>
      <c r="G37" s="461" t="s">
        <v>407</v>
      </c>
    </row>
    <row r="38">
      <c r="A38" s="465">
        <v>0.0</v>
      </c>
      <c r="B38" s="466">
        <v>3044000.0</v>
      </c>
      <c r="C38" s="466" t="s">
        <v>82</v>
      </c>
      <c r="D38" s="466" t="s">
        <v>60</v>
      </c>
      <c r="E38" s="467">
        <v>27.072916666666668</v>
      </c>
      <c r="F38" s="468" t="s">
        <v>408</v>
      </c>
      <c r="G38" s="461" t="s">
        <v>409</v>
      </c>
      <c r="P38" s="462"/>
      <c r="Q38" s="462"/>
      <c r="R38" s="462"/>
      <c r="S38" s="462"/>
      <c r="T38" s="462"/>
      <c r="U38" s="462"/>
      <c r="V38" s="462"/>
      <c r="W38" s="462"/>
      <c r="X38" s="462"/>
    </row>
    <row r="39">
      <c r="A39" s="465">
        <v>0.0</v>
      </c>
      <c r="B39" s="466">
        <v>3044000.0</v>
      </c>
      <c r="C39" s="466" t="s">
        <v>104</v>
      </c>
      <c r="D39" s="466" t="s">
        <v>60</v>
      </c>
      <c r="E39" s="467">
        <v>120.39236111111111</v>
      </c>
      <c r="F39" s="468" t="s">
        <v>410</v>
      </c>
      <c r="G39" s="461" t="s">
        <v>411</v>
      </c>
      <c r="J39" s="462"/>
      <c r="K39" s="462"/>
      <c r="L39" s="462"/>
      <c r="M39" s="462"/>
      <c r="N39" s="462"/>
      <c r="O39" s="462"/>
      <c r="P39" s="462"/>
      <c r="Q39" s="462"/>
      <c r="R39" s="462"/>
      <c r="S39" s="462"/>
      <c r="T39" s="462"/>
      <c r="U39" s="462"/>
      <c r="V39" s="462"/>
      <c r="W39" s="462"/>
      <c r="X39" s="462"/>
    </row>
    <row r="40">
      <c r="A40" s="465">
        <v>0.0</v>
      </c>
      <c r="B40" s="466">
        <v>3044000.0</v>
      </c>
      <c r="C40" s="466" t="s">
        <v>178</v>
      </c>
      <c r="D40" s="466" t="s">
        <v>60</v>
      </c>
      <c r="E40" s="467">
        <v>75.78819444444444</v>
      </c>
      <c r="F40" s="468" t="s">
        <v>412</v>
      </c>
      <c r="G40" s="461" t="s">
        <v>413</v>
      </c>
      <c r="K40" s="462"/>
      <c r="L40" s="462"/>
      <c r="M40" s="462"/>
      <c r="N40" s="462"/>
      <c r="O40" s="462"/>
      <c r="P40" s="462"/>
      <c r="Q40" s="462"/>
      <c r="R40" s="462"/>
      <c r="S40" s="462"/>
      <c r="T40" s="462"/>
      <c r="U40" s="462"/>
      <c r="V40" s="462"/>
      <c r="W40" s="462"/>
      <c r="X40" s="462"/>
    </row>
    <row r="41">
      <c r="A41" s="465">
        <v>0.0</v>
      </c>
      <c r="B41" s="466">
        <v>3044000.0</v>
      </c>
      <c r="C41" s="466" t="s">
        <v>173</v>
      </c>
      <c r="D41" s="466" t="s">
        <v>60</v>
      </c>
      <c r="E41" s="467">
        <v>20.086805555555557</v>
      </c>
      <c r="F41" s="468" t="s">
        <v>414</v>
      </c>
      <c r="G41" s="461" t="s">
        <v>415</v>
      </c>
      <c r="K41" s="462"/>
      <c r="L41" s="462"/>
      <c r="M41" s="462"/>
      <c r="N41" s="462"/>
      <c r="O41" s="462"/>
      <c r="P41" s="462"/>
      <c r="Q41" s="462"/>
      <c r="R41" s="462"/>
      <c r="S41" s="462"/>
      <c r="T41" s="462"/>
      <c r="U41" s="462"/>
      <c r="V41" s="462"/>
      <c r="W41" s="462"/>
      <c r="X41" s="462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6" t="s">
        <v>416</v>
      </c>
      <c r="P1" s="45"/>
      <c r="Q1" s="16" t="s">
        <v>417</v>
      </c>
      <c r="R1" s="16" t="s">
        <v>418</v>
      </c>
      <c r="S1" s="45"/>
      <c r="T1" s="45"/>
      <c r="U1" s="45"/>
      <c r="V1" s="45"/>
    </row>
    <row r="2">
      <c r="A2" s="16" t="s">
        <v>27</v>
      </c>
      <c r="B2" s="16" t="s">
        <v>29</v>
      </c>
      <c r="C2" s="16" t="s">
        <v>31</v>
      </c>
      <c r="D2" s="16" t="s">
        <v>32</v>
      </c>
      <c r="E2" s="16" t="s">
        <v>35</v>
      </c>
      <c r="F2" s="16" t="s">
        <v>37</v>
      </c>
      <c r="G2" s="16" t="s">
        <v>38</v>
      </c>
      <c r="H2" s="16" t="s">
        <v>41</v>
      </c>
      <c r="I2" s="16" t="s">
        <v>3</v>
      </c>
      <c r="J2" s="16" t="s">
        <v>43</v>
      </c>
      <c r="K2" s="16" t="s">
        <v>45</v>
      </c>
      <c r="L2" s="16" t="s">
        <v>47</v>
      </c>
      <c r="M2" s="16" t="s">
        <v>48</v>
      </c>
      <c r="N2" s="16" t="s">
        <v>51</v>
      </c>
      <c r="O2" s="16" t="s">
        <v>50</v>
      </c>
      <c r="P2" s="16" t="s">
        <v>52</v>
      </c>
      <c r="Q2" s="16" t="s">
        <v>52</v>
      </c>
      <c r="R2" s="16" t="s">
        <v>53</v>
      </c>
      <c r="S2" s="16" t="s">
        <v>54</v>
      </c>
      <c r="T2" s="16" t="s">
        <v>55</v>
      </c>
      <c r="U2" s="16" t="s">
        <v>52</v>
      </c>
      <c r="V2" s="16" t="s">
        <v>56</v>
      </c>
    </row>
    <row r="3">
      <c r="A3" s="16" t="s">
        <v>171</v>
      </c>
      <c r="B3" s="16" t="s">
        <v>61</v>
      </c>
      <c r="C3" s="16" t="s">
        <v>419</v>
      </c>
      <c r="D3" s="45"/>
      <c r="E3" s="16" t="s">
        <v>420</v>
      </c>
      <c r="F3" s="45"/>
      <c r="G3" s="45"/>
      <c r="H3" s="45"/>
      <c r="I3" s="16">
        <v>556.0</v>
      </c>
      <c r="J3" s="16" t="s">
        <v>66</v>
      </c>
      <c r="K3" s="55">
        <v>33.22222222222222</v>
      </c>
      <c r="L3" s="55">
        <v>256.53819444444446</v>
      </c>
      <c r="M3" s="16">
        <v>19.93</v>
      </c>
      <c r="N3" s="55">
        <v>166.66666666666666</v>
      </c>
      <c r="O3" s="16">
        <v>2709.0</v>
      </c>
      <c r="P3" s="57">
        <v>45490.0</v>
      </c>
      <c r="Q3" s="57">
        <v>45015.0</v>
      </c>
      <c r="R3" s="16">
        <v>3.130006005E9</v>
      </c>
      <c r="S3" s="16" t="s">
        <v>75</v>
      </c>
      <c r="T3" s="45"/>
      <c r="U3" s="45"/>
      <c r="V3" s="45"/>
    </row>
    <row r="4">
      <c r="A4" s="16" t="s">
        <v>243</v>
      </c>
      <c r="B4" s="16" t="s">
        <v>61</v>
      </c>
      <c r="C4" s="16" t="s">
        <v>419</v>
      </c>
      <c r="D4" s="45"/>
      <c r="E4" s="16" t="s">
        <v>420</v>
      </c>
      <c r="F4" s="45"/>
      <c r="G4" s="45"/>
      <c r="H4" s="45"/>
      <c r="I4" s="16">
        <v>562.0</v>
      </c>
      <c r="J4" s="16" t="s">
        <v>66</v>
      </c>
      <c r="K4" s="55">
        <v>41.74305555555556</v>
      </c>
      <c r="L4" s="55">
        <v>342.75694444444446</v>
      </c>
      <c r="M4" s="16">
        <v>25.05</v>
      </c>
      <c r="N4" s="55">
        <v>166.66666666666666</v>
      </c>
      <c r="O4" s="16">
        <v>2703.0</v>
      </c>
      <c r="P4" s="64">
        <v>45618.0</v>
      </c>
      <c r="Q4" s="64">
        <v>45614.0</v>
      </c>
      <c r="R4" s="16">
        <v>6.890000562E9</v>
      </c>
      <c r="S4" s="16" t="s">
        <v>75</v>
      </c>
      <c r="T4" s="45"/>
      <c r="U4" s="45"/>
      <c r="V4" s="45"/>
    </row>
    <row r="5">
      <c r="A5" s="16" t="s">
        <v>110</v>
      </c>
      <c r="B5" s="16" t="s">
        <v>61</v>
      </c>
      <c r="C5" s="16" t="s">
        <v>419</v>
      </c>
      <c r="D5" s="45"/>
      <c r="E5" s="16" t="s">
        <v>420</v>
      </c>
      <c r="F5" s="45"/>
      <c r="G5" s="45"/>
      <c r="H5" s="45"/>
      <c r="I5" s="16">
        <v>846.0</v>
      </c>
      <c r="J5" s="16" t="s">
        <v>66</v>
      </c>
      <c r="K5" s="55">
        <v>117.24652777777777</v>
      </c>
      <c r="L5" s="55">
        <v>262.15625</v>
      </c>
      <c r="M5" s="16">
        <v>70.35</v>
      </c>
      <c r="N5" s="55">
        <v>166.66666666666666</v>
      </c>
      <c r="O5" s="16">
        <v>2739.0</v>
      </c>
      <c r="P5" s="57">
        <v>45539.0</v>
      </c>
      <c r="Q5" s="57">
        <v>45539.0</v>
      </c>
      <c r="R5" s="16">
        <v>3.040075245E9</v>
      </c>
      <c r="S5" s="16" t="s">
        <v>75</v>
      </c>
      <c r="T5" s="45"/>
      <c r="U5" s="45"/>
      <c r="V5" s="45"/>
    </row>
    <row r="6">
      <c r="A6" s="16" t="s">
        <v>79</v>
      </c>
      <c r="B6" s="16" t="s">
        <v>61</v>
      </c>
      <c r="C6" s="16" t="s">
        <v>419</v>
      </c>
      <c r="D6" s="45"/>
      <c r="E6" s="16" t="s">
        <v>420</v>
      </c>
      <c r="F6" s="45"/>
      <c r="G6" s="45"/>
      <c r="H6" s="45"/>
      <c r="I6" s="16">
        <v>929.0</v>
      </c>
      <c r="J6" s="16" t="s">
        <v>66</v>
      </c>
      <c r="K6" s="55">
        <v>52.4375</v>
      </c>
      <c r="L6" s="55">
        <v>226.19444444444446</v>
      </c>
      <c r="M6" s="16">
        <v>31.46</v>
      </c>
      <c r="N6" s="55">
        <v>166.66666666666666</v>
      </c>
      <c r="O6" s="16">
        <v>2722.0</v>
      </c>
      <c r="P6" s="57">
        <v>45567.0</v>
      </c>
      <c r="Q6" s="57">
        <v>45490.0</v>
      </c>
      <c r="R6" s="16">
        <v>3.290007931E9</v>
      </c>
      <c r="S6" s="16" t="s">
        <v>75</v>
      </c>
      <c r="T6" s="45"/>
      <c r="U6" s="45"/>
      <c r="V6" s="45"/>
    </row>
    <row r="7">
      <c r="A7" s="16" t="s">
        <v>96</v>
      </c>
      <c r="B7" s="16" t="s">
        <v>61</v>
      </c>
      <c r="C7" s="16" t="s">
        <v>419</v>
      </c>
      <c r="D7" s="45"/>
      <c r="E7" s="16" t="s">
        <v>420</v>
      </c>
      <c r="F7" s="45"/>
      <c r="G7" s="45"/>
      <c r="H7" s="45"/>
      <c r="I7" s="16">
        <v>1287.0</v>
      </c>
      <c r="J7" s="16" t="s">
        <v>66</v>
      </c>
      <c r="K7" s="55">
        <v>29.51388888888889</v>
      </c>
      <c r="L7" s="55">
        <v>266.72569444444446</v>
      </c>
      <c r="M7" s="16">
        <v>17.71</v>
      </c>
      <c r="N7" s="55">
        <v>166.66666666666666</v>
      </c>
      <c r="O7" s="16">
        <v>2741.0</v>
      </c>
      <c r="P7" s="57">
        <v>45568.0</v>
      </c>
      <c r="Q7" s="57">
        <v>45526.0</v>
      </c>
      <c r="R7" s="16">
        <v>7.090002248E9</v>
      </c>
      <c r="S7" s="16" t="s">
        <v>75</v>
      </c>
      <c r="T7" s="45"/>
      <c r="U7" s="45"/>
      <c r="V7" s="45"/>
    </row>
    <row r="8">
      <c r="A8" s="16" t="s">
        <v>72</v>
      </c>
      <c r="B8" s="16" t="s">
        <v>61</v>
      </c>
      <c r="C8" s="16" t="s">
        <v>419</v>
      </c>
      <c r="D8" s="45"/>
      <c r="E8" s="16" t="s">
        <v>420</v>
      </c>
      <c r="F8" s="45"/>
      <c r="G8" s="45"/>
      <c r="H8" s="45"/>
      <c r="I8" s="16">
        <v>70339.0</v>
      </c>
      <c r="J8" s="16" t="s">
        <v>66</v>
      </c>
      <c r="K8" s="55">
        <v>5.559027777777778</v>
      </c>
      <c r="L8" s="55">
        <v>388.375</v>
      </c>
      <c r="M8" s="16">
        <v>3.34</v>
      </c>
      <c r="N8" s="55">
        <v>166.66666666666666</v>
      </c>
      <c r="O8" s="16">
        <v>2728.0</v>
      </c>
      <c r="P8" s="57">
        <v>45831.0</v>
      </c>
      <c r="Q8" s="57">
        <v>45352.0</v>
      </c>
      <c r="R8" s="16">
        <v>3.130006789E9</v>
      </c>
      <c r="S8" s="16" t="s">
        <v>75</v>
      </c>
      <c r="T8" s="45"/>
      <c r="U8" s="45"/>
      <c r="V8" s="45"/>
    </row>
    <row r="9">
      <c r="A9" s="16" t="s">
        <v>171</v>
      </c>
      <c r="B9" s="16" t="s">
        <v>61</v>
      </c>
      <c r="C9" s="16" t="s">
        <v>419</v>
      </c>
      <c r="D9" s="45"/>
      <c r="E9" s="16" t="s">
        <v>420</v>
      </c>
      <c r="F9" s="45"/>
      <c r="G9" s="45"/>
      <c r="H9" s="45"/>
      <c r="I9" s="16">
        <v>81044.0</v>
      </c>
      <c r="J9" s="16" t="s">
        <v>66</v>
      </c>
      <c r="K9" s="55">
        <v>9.336805555555555</v>
      </c>
      <c r="L9" s="55">
        <v>168.44791666666666</v>
      </c>
      <c r="M9" s="16">
        <v>5.6</v>
      </c>
      <c r="N9" s="55">
        <v>166.66666666666666</v>
      </c>
      <c r="O9" s="16">
        <v>2720.0</v>
      </c>
      <c r="P9" s="57">
        <v>45601.0</v>
      </c>
      <c r="Q9" s="57">
        <v>44704.0</v>
      </c>
      <c r="R9" s="16">
        <v>7.090002894E9</v>
      </c>
      <c r="S9" s="16" t="s">
        <v>75</v>
      </c>
      <c r="T9" s="45"/>
      <c r="U9" s="45"/>
      <c r="V9" s="45"/>
    </row>
    <row r="10">
      <c r="A10" s="16" t="s">
        <v>96</v>
      </c>
      <c r="B10" s="16" t="s">
        <v>61</v>
      </c>
      <c r="C10" s="16" t="s">
        <v>421</v>
      </c>
      <c r="D10" s="45"/>
      <c r="E10" s="16" t="s">
        <v>420</v>
      </c>
      <c r="F10" s="45"/>
      <c r="G10" s="45"/>
      <c r="H10" s="45"/>
      <c r="I10" s="16">
        <v>100557.0</v>
      </c>
      <c r="J10" s="16" t="s">
        <v>66</v>
      </c>
      <c r="K10" s="55">
        <v>32.642361111111114</v>
      </c>
      <c r="L10" s="55">
        <v>218.43055555555554</v>
      </c>
      <c r="M10" s="16">
        <v>19.59</v>
      </c>
      <c r="N10" s="55">
        <v>166.66666666666666</v>
      </c>
      <c r="O10" s="16">
        <v>2736.0</v>
      </c>
      <c r="P10" s="57">
        <v>45631.0</v>
      </c>
      <c r="Q10" s="57">
        <v>45628.0</v>
      </c>
      <c r="R10" s="16">
        <v>3.130005796E9</v>
      </c>
      <c r="S10" s="16" t="s">
        <v>75</v>
      </c>
      <c r="T10" s="45"/>
      <c r="U10" s="45"/>
      <c r="V10" s="45"/>
    </row>
    <row r="11">
      <c r="A11" s="16" t="s">
        <v>120</v>
      </c>
      <c r="B11" s="16" t="s">
        <v>61</v>
      </c>
      <c r="C11" s="16" t="s">
        <v>419</v>
      </c>
      <c r="D11" s="45"/>
      <c r="E11" s="16" t="s">
        <v>420</v>
      </c>
      <c r="F11" s="45"/>
      <c r="G11" s="45"/>
      <c r="H11" s="45"/>
      <c r="I11" s="16">
        <v>100832.0</v>
      </c>
      <c r="J11" s="16" t="s">
        <v>66</v>
      </c>
      <c r="K11" s="55">
        <v>113.27430555555556</v>
      </c>
      <c r="L11" s="55">
        <v>403.43402777777777</v>
      </c>
      <c r="M11" s="16">
        <v>67.96</v>
      </c>
      <c r="N11" s="55">
        <v>166.66666666666666</v>
      </c>
      <c r="O11" s="16">
        <v>2727.0</v>
      </c>
      <c r="P11" s="57">
        <v>43902.0</v>
      </c>
      <c r="Q11" s="57">
        <v>43549.0</v>
      </c>
      <c r="R11" s="16">
        <v>7.100002436E9</v>
      </c>
      <c r="S11" s="16" t="s">
        <v>75</v>
      </c>
      <c r="T11" s="45"/>
      <c r="U11" s="45"/>
      <c r="V11" s="45"/>
    </row>
    <row r="12">
      <c r="A12" s="16" t="s">
        <v>309</v>
      </c>
      <c r="B12" s="16" t="s">
        <v>61</v>
      </c>
      <c r="C12" s="16" t="s">
        <v>421</v>
      </c>
      <c r="D12" s="45"/>
      <c r="E12" s="16" t="s">
        <v>420</v>
      </c>
      <c r="F12" s="45"/>
      <c r="G12" s="45"/>
      <c r="H12" s="45"/>
      <c r="I12" s="16">
        <v>110076.0</v>
      </c>
      <c r="J12" s="16" t="s">
        <v>66</v>
      </c>
      <c r="K12" s="55">
        <v>150.13194444444446</v>
      </c>
      <c r="L12" s="55">
        <v>263.75347222222223</v>
      </c>
      <c r="M12" s="16">
        <v>90.08</v>
      </c>
      <c r="N12" s="55">
        <v>166.66666666666666</v>
      </c>
      <c r="O12" s="16">
        <v>2724.0</v>
      </c>
      <c r="P12" s="57">
        <v>44736.0</v>
      </c>
      <c r="Q12" s="57">
        <v>44735.0</v>
      </c>
      <c r="R12" s="16">
        <v>3.040057779E9</v>
      </c>
      <c r="S12" s="16" t="s">
        <v>75</v>
      </c>
      <c r="T12" s="45"/>
      <c r="U12" s="45"/>
      <c r="V12" s="45"/>
    </row>
    <row r="13">
      <c r="A13" s="16" t="s">
        <v>79</v>
      </c>
      <c r="B13" s="16" t="s">
        <v>61</v>
      </c>
      <c r="C13" s="16" t="s">
        <v>421</v>
      </c>
      <c r="D13" s="45"/>
      <c r="E13" s="16" t="s">
        <v>420</v>
      </c>
      <c r="F13" s="45"/>
      <c r="G13" s="45"/>
      <c r="H13" s="45"/>
      <c r="I13" s="16">
        <v>120348.0</v>
      </c>
      <c r="J13" s="16" t="s">
        <v>66</v>
      </c>
      <c r="K13" s="55">
        <v>95.77777777777777</v>
      </c>
      <c r="L13" s="55">
        <v>202.39930555555554</v>
      </c>
      <c r="M13" s="16">
        <v>57.47</v>
      </c>
      <c r="N13" s="55">
        <v>166.66666666666666</v>
      </c>
      <c r="O13" s="16">
        <v>2719.0</v>
      </c>
      <c r="P13" s="57">
        <v>45776.0</v>
      </c>
      <c r="Q13" s="57">
        <v>45776.0</v>
      </c>
      <c r="R13" s="16">
        <v>3.040073019E9</v>
      </c>
      <c r="S13" s="16" t="s">
        <v>75</v>
      </c>
      <c r="T13" s="45"/>
      <c r="U13" s="45"/>
      <c r="V13" s="45"/>
    </row>
    <row r="14">
      <c r="A14" s="16" t="s">
        <v>245</v>
      </c>
      <c r="B14" s="16" t="s">
        <v>61</v>
      </c>
      <c r="C14" s="16" t="s">
        <v>421</v>
      </c>
      <c r="D14" s="45"/>
      <c r="E14" s="16" t="s">
        <v>420</v>
      </c>
      <c r="F14" s="45"/>
      <c r="G14" s="45"/>
      <c r="H14" s="45"/>
      <c r="I14" s="16">
        <v>120677.0</v>
      </c>
      <c r="J14" s="16" t="s">
        <v>66</v>
      </c>
      <c r="K14" s="55">
        <v>88.83680555555556</v>
      </c>
      <c r="L14" s="55">
        <v>210.98263888888889</v>
      </c>
      <c r="M14" s="16">
        <v>53.3</v>
      </c>
      <c r="N14" s="55">
        <v>166.66666666666666</v>
      </c>
      <c r="O14" s="16">
        <v>2702.0</v>
      </c>
      <c r="P14" s="57">
        <v>45772.0</v>
      </c>
      <c r="Q14" s="57">
        <v>45600.0</v>
      </c>
      <c r="R14" s="16">
        <v>3.040090256E9</v>
      </c>
      <c r="S14" s="16" t="s">
        <v>75</v>
      </c>
      <c r="T14" s="45"/>
      <c r="U14" s="45"/>
      <c r="V14" s="45"/>
    </row>
    <row r="15">
      <c r="A15" s="16" t="s">
        <v>73</v>
      </c>
      <c r="B15" s="16" t="s">
        <v>61</v>
      </c>
      <c r="C15" s="16" t="s">
        <v>421</v>
      </c>
      <c r="D15" s="45"/>
      <c r="E15" s="16" t="s">
        <v>420</v>
      </c>
      <c r="F15" s="45"/>
      <c r="G15" s="45"/>
      <c r="H15" s="45"/>
      <c r="I15" s="16">
        <v>181096.0</v>
      </c>
      <c r="J15" s="16" t="s">
        <v>66</v>
      </c>
      <c r="K15" s="55">
        <v>42.24652777777778</v>
      </c>
      <c r="L15" s="55">
        <v>217.13888888888889</v>
      </c>
      <c r="M15" s="16">
        <v>25.35</v>
      </c>
      <c r="N15" s="55">
        <v>166.66666666666666</v>
      </c>
      <c r="O15" s="16">
        <v>2723.0</v>
      </c>
      <c r="P15" s="57">
        <v>45000.0</v>
      </c>
      <c r="Q15" s="57">
        <v>44630.0</v>
      </c>
      <c r="R15" s="16">
        <v>7.090002718E9</v>
      </c>
      <c r="S15" s="16" t="s">
        <v>75</v>
      </c>
      <c r="T15" s="45"/>
      <c r="U15" s="45"/>
      <c r="V15" s="45"/>
    </row>
    <row r="16">
      <c r="A16" s="16" t="s">
        <v>72</v>
      </c>
      <c r="B16" s="16" t="s">
        <v>61</v>
      </c>
      <c r="C16" s="16" t="s">
        <v>419</v>
      </c>
      <c r="D16" s="45"/>
      <c r="E16" s="16" t="s">
        <v>420</v>
      </c>
      <c r="F16" s="45"/>
      <c r="G16" s="45"/>
      <c r="H16" s="45"/>
      <c r="I16" s="16">
        <v>250353.0</v>
      </c>
      <c r="J16" s="16" t="s">
        <v>66</v>
      </c>
      <c r="K16" s="55">
        <v>8.746527777777779</v>
      </c>
      <c r="L16" s="55">
        <v>8.746527777777779</v>
      </c>
      <c r="M16" s="16">
        <v>5.25</v>
      </c>
      <c r="N16" s="55">
        <v>166.66666666666666</v>
      </c>
      <c r="O16" s="16">
        <v>2721.0</v>
      </c>
      <c r="P16" s="57">
        <v>45930.0</v>
      </c>
      <c r="Q16" s="16" t="s">
        <v>121</v>
      </c>
      <c r="R16" s="45"/>
      <c r="S16" s="16" t="s">
        <v>75</v>
      </c>
      <c r="T16" s="45"/>
      <c r="U16" s="45"/>
      <c r="V16" s="45"/>
    </row>
    <row r="17">
      <c r="A17" s="16" t="s">
        <v>96</v>
      </c>
      <c r="B17" s="16" t="s">
        <v>61</v>
      </c>
      <c r="C17" s="16" t="s">
        <v>419</v>
      </c>
      <c r="D17" s="45"/>
      <c r="E17" s="16" t="s">
        <v>420</v>
      </c>
      <c r="F17" s="45"/>
      <c r="G17" s="45"/>
      <c r="H17" s="45"/>
      <c r="I17" s="16">
        <v>250417.0</v>
      </c>
      <c r="J17" s="16" t="s">
        <v>66</v>
      </c>
      <c r="K17" s="55">
        <v>2.0555555555555554</v>
      </c>
      <c r="L17" s="55">
        <v>2.0555555555555554</v>
      </c>
      <c r="M17" s="16">
        <v>1.23</v>
      </c>
      <c r="N17" s="55">
        <v>166.66666666666666</v>
      </c>
      <c r="O17" s="16">
        <v>2738.0</v>
      </c>
      <c r="P17" s="57">
        <v>46035.0</v>
      </c>
      <c r="Q17" s="16" t="s">
        <v>121</v>
      </c>
      <c r="R17" s="45"/>
      <c r="S17" s="16" t="s">
        <v>75</v>
      </c>
      <c r="T17" s="45"/>
      <c r="U17" s="45"/>
      <c r="V17" s="45"/>
    </row>
    <row r="18">
      <c r="A18" s="16" t="s">
        <v>110</v>
      </c>
      <c r="B18" s="16" t="s">
        <v>61</v>
      </c>
      <c r="C18" s="16" t="s">
        <v>419</v>
      </c>
      <c r="D18" s="45"/>
      <c r="E18" s="16" t="s">
        <v>420</v>
      </c>
      <c r="F18" s="45"/>
      <c r="G18" s="45"/>
      <c r="H18" s="45"/>
      <c r="I18" s="16">
        <v>912962.0</v>
      </c>
      <c r="J18" s="16" t="s">
        <v>66</v>
      </c>
      <c r="K18" s="55">
        <v>38.49305555555556</v>
      </c>
      <c r="L18" s="55">
        <v>811.8055555555555</v>
      </c>
      <c r="M18" s="16">
        <v>23.1</v>
      </c>
      <c r="N18" s="55">
        <v>166.66666666666666</v>
      </c>
      <c r="O18" s="16">
        <v>2731.0</v>
      </c>
      <c r="P18" s="57">
        <v>45371.0</v>
      </c>
      <c r="Q18" s="57">
        <v>45026.0</v>
      </c>
      <c r="R18" s="16">
        <v>3.040077697E9</v>
      </c>
      <c r="S18" s="16" t="s">
        <v>75</v>
      </c>
      <c r="T18" s="45"/>
      <c r="U18" s="45"/>
      <c r="V18" s="45"/>
    </row>
    <row r="19">
      <c r="A19" s="16" t="s">
        <v>96</v>
      </c>
      <c r="B19" s="16" t="s">
        <v>61</v>
      </c>
      <c r="C19" s="16" t="s">
        <v>419</v>
      </c>
      <c r="D19" s="45"/>
      <c r="E19" s="16" t="s">
        <v>420</v>
      </c>
      <c r="F19" s="45"/>
      <c r="G19" s="45"/>
      <c r="H19" s="45"/>
      <c r="I19" s="16">
        <v>922956.0</v>
      </c>
      <c r="J19" s="16" t="s">
        <v>66</v>
      </c>
      <c r="K19" s="55">
        <v>4.680555555555555</v>
      </c>
      <c r="L19" s="55">
        <v>197.75347222222223</v>
      </c>
      <c r="M19" s="16">
        <v>2.81</v>
      </c>
      <c r="N19" s="55">
        <v>166.66666666666666</v>
      </c>
      <c r="O19" s="16">
        <v>2737.0</v>
      </c>
      <c r="P19" s="64">
        <v>46001.0</v>
      </c>
      <c r="Q19" s="57">
        <v>45371.0</v>
      </c>
      <c r="R19" s="16">
        <v>3.960004903E9</v>
      </c>
      <c r="S19" s="16" t="s">
        <v>75</v>
      </c>
      <c r="T19" s="45"/>
      <c r="U19" s="45"/>
      <c r="V19" s="45"/>
    </row>
    <row r="20">
      <c r="A20" s="16" t="s">
        <v>72</v>
      </c>
      <c r="B20" s="16" t="s">
        <v>61</v>
      </c>
      <c r="C20" s="16" t="s">
        <v>419</v>
      </c>
      <c r="D20" s="45"/>
      <c r="E20" s="16" t="s">
        <v>420</v>
      </c>
      <c r="F20" s="45"/>
      <c r="G20" s="45"/>
      <c r="H20" s="45"/>
      <c r="I20" s="16">
        <v>930171.0</v>
      </c>
      <c r="J20" s="16" t="s">
        <v>66</v>
      </c>
      <c r="K20" s="55">
        <v>24.916666666666668</v>
      </c>
      <c r="L20" s="55">
        <v>718.2743055555555</v>
      </c>
      <c r="M20" s="16">
        <v>14.95</v>
      </c>
      <c r="N20" s="55">
        <v>166.66666666666666</v>
      </c>
      <c r="O20" s="16">
        <v>2729.0</v>
      </c>
      <c r="P20" s="57">
        <v>45436.0</v>
      </c>
      <c r="Q20" s="57">
        <v>45294.0</v>
      </c>
      <c r="R20" s="16">
        <v>3.130006599E9</v>
      </c>
      <c r="S20" s="16" t="s">
        <v>75</v>
      </c>
      <c r="T20" s="45"/>
      <c r="U20" s="45"/>
      <c r="V20" s="45"/>
    </row>
    <row r="21">
      <c r="A21" s="16" t="s">
        <v>91</v>
      </c>
      <c r="B21" s="16" t="s">
        <v>61</v>
      </c>
      <c r="C21" s="16" t="s">
        <v>419</v>
      </c>
      <c r="D21" s="45"/>
      <c r="E21" s="16" t="s">
        <v>420</v>
      </c>
      <c r="F21" s="45"/>
      <c r="G21" s="45"/>
      <c r="H21" s="45"/>
      <c r="I21" s="16">
        <v>960005.0</v>
      </c>
      <c r="J21" s="16" t="s">
        <v>66</v>
      </c>
      <c r="K21" s="55">
        <v>32.486111111111114</v>
      </c>
      <c r="L21" s="55">
        <v>386.84375</v>
      </c>
      <c r="M21" s="16">
        <v>19.49</v>
      </c>
      <c r="N21" s="55">
        <v>166.66666666666666</v>
      </c>
      <c r="O21" s="16">
        <v>2704.0</v>
      </c>
      <c r="P21" s="57">
        <v>44372.0</v>
      </c>
      <c r="Q21" s="57">
        <v>44369.0</v>
      </c>
      <c r="R21" s="16">
        <v>7.090000956E9</v>
      </c>
      <c r="S21" s="16" t="s">
        <v>75</v>
      </c>
      <c r="T21" s="45"/>
      <c r="U21" s="45"/>
      <c r="V21" s="45"/>
    </row>
    <row r="22">
      <c r="A22" s="16" t="s">
        <v>72</v>
      </c>
      <c r="B22" s="16" t="s">
        <v>61</v>
      </c>
      <c r="C22" s="16" t="s">
        <v>419</v>
      </c>
      <c r="D22" s="45"/>
      <c r="E22" s="16" t="s">
        <v>420</v>
      </c>
      <c r="F22" s="45"/>
      <c r="G22" s="45"/>
      <c r="H22" s="45"/>
      <c r="I22" s="16">
        <v>960707.0</v>
      </c>
      <c r="J22" s="16" t="s">
        <v>66</v>
      </c>
      <c r="K22" s="55">
        <v>70.21875</v>
      </c>
      <c r="L22" s="55">
        <v>243.89930555555554</v>
      </c>
      <c r="M22" s="16">
        <v>42.13</v>
      </c>
      <c r="N22" s="55">
        <v>166.66666666666666</v>
      </c>
      <c r="O22" s="16">
        <v>2708.0</v>
      </c>
      <c r="P22" s="57">
        <v>44362.0</v>
      </c>
      <c r="Q22" s="57">
        <v>43894.0</v>
      </c>
      <c r="R22" s="16">
        <v>7.080003306E9</v>
      </c>
      <c r="S22" s="16" t="s">
        <v>75</v>
      </c>
      <c r="T22" s="45"/>
      <c r="U22" s="45"/>
      <c r="V22" s="45"/>
    </row>
    <row r="23">
      <c r="A23" s="16" t="s">
        <v>96</v>
      </c>
      <c r="B23" s="16" t="s">
        <v>61</v>
      </c>
      <c r="C23" s="16" t="s">
        <v>419</v>
      </c>
      <c r="D23" s="45"/>
      <c r="E23" s="16" t="s">
        <v>420</v>
      </c>
      <c r="F23" s="45"/>
      <c r="G23" s="45"/>
      <c r="H23" s="45"/>
      <c r="I23" s="16">
        <v>993360.0</v>
      </c>
      <c r="J23" s="16" t="s">
        <v>66</v>
      </c>
      <c r="K23" s="55">
        <v>80.27430555555556</v>
      </c>
      <c r="L23" s="55">
        <v>459.80555555555554</v>
      </c>
      <c r="M23" s="16">
        <v>48.16</v>
      </c>
      <c r="N23" s="55">
        <v>166.66666666666666</v>
      </c>
      <c r="O23" s="16">
        <v>2740.0</v>
      </c>
      <c r="P23" s="57">
        <v>45511.0</v>
      </c>
      <c r="Q23" s="57">
        <v>45509.0</v>
      </c>
      <c r="R23" s="16">
        <v>7.080005315E9</v>
      </c>
      <c r="S23" s="16" t="s">
        <v>75</v>
      </c>
      <c r="T23" s="45"/>
      <c r="U23" s="45"/>
      <c r="V23" s="45"/>
    </row>
    <row r="24">
      <c r="A24" s="16" t="s">
        <v>91</v>
      </c>
      <c r="B24" s="16" t="s">
        <v>61</v>
      </c>
      <c r="C24" s="16" t="s">
        <v>419</v>
      </c>
      <c r="D24" s="45"/>
      <c r="E24" s="16" t="s">
        <v>420</v>
      </c>
      <c r="F24" s="45"/>
      <c r="G24" s="45"/>
      <c r="H24" s="45"/>
      <c r="I24" s="16">
        <v>1277.0</v>
      </c>
      <c r="J24" s="16" t="s">
        <v>66</v>
      </c>
      <c r="K24" s="81">
        <v>0.0</v>
      </c>
      <c r="L24" s="55">
        <v>106.78472222222223</v>
      </c>
      <c r="M24" s="45"/>
      <c r="N24" s="55">
        <v>166.66666666666666</v>
      </c>
      <c r="O24" s="16">
        <v>2725.0</v>
      </c>
      <c r="P24" s="57">
        <v>40044.0</v>
      </c>
      <c r="Q24" s="57">
        <v>40126.0</v>
      </c>
      <c r="R24" s="16">
        <v>3.130007478E9</v>
      </c>
      <c r="S24" s="16" t="s">
        <v>68</v>
      </c>
      <c r="T24" s="16">
        <v>3.040252386E9</v>
      </c>
      <c r="U24" s="57">
        <v>45775.0</v>
      </c>
      <c r="V24" s="45"/>
    </row>
    <row r="25">
      <c r="A25" s="16" t="s">
        <v>91</v>
      </c>
      <c r="B25" s="16" t="s">
        <v>61</v>
      </c>
      <c r="C25" s="16" t="s">
        <v>419</v>
      </c>
      <c r="D25" s="45"/>
      <c r="E25" s="16" t="s">
        <v>420</v>
      </c>
      <c r="F25" s="45"/>
      <c r="G25" s="45"/>
      <c r="H25" s="45"/>
      <c r="I25" s="16">
        <v>30555.0</v>
      </c>
      <c r="J25" s="16" t="s">
        <v>66</v>
      </c>
      <c r="K25" s="55">
        <v>79.29861111111111</v>
      </c>
      <c r="L25" s="55">
        <v>182.20833333333334</v>
      </c>
      <c r="M25" s="16">
        <v>47.58</v>
      </c>
      <c r="N25" s="55">
        <v>166.66666666666666</v>
      </c>
      <c r="O25" s="16">
        <v>2702.0</v>
      </c>
      <c r="P25" s="57">
        <v>43549.0</v>
      </c>
      <c r="Q25" s="57">
        <v>45772.0</v>
      </c>
      <c r="R25" s="16">
        <v>3.040091287E9</v>
      </c>
      <c r="S25" s="16" t="s">
        <v>68</v>
      </c>
      <c r="T25" s="16">
        <v>3.040253442E9</v>
      </c>
      <c r="U25" s="57">
        <v>45810.0</v>
      </c>
      <c r="V25" s="45"/>
    </row>
    <row r="26">
      <c r="A26" s="16" t="s">
        <v>91</v>
      </c>
      <c r="B26" s="16" t="s">
        <v>61</v>
      </c>
      <c r="C26" s="16" t="s">
        <v>419</v>
      </c>
      <c r="D26" s="45"/>
      <c r="E26" s="16" t="s">
        <v>420</v>
      </c>
      <c r="F26" s="45"/>
      <c r="G26" s="45"/>
      <c r="H26" s="45"/>
      <c r="I26" s="16">
        <v>41120.0</v>
      </c>
      <c r="J26" s="16" t="s">
        <v>66</v>
      </c>
      <c r="K26" s="55">
        <v>34.80902777777778</v>
      </c>
      <c r="L26" s="55">
        <v>231.66319444444446</v>
      </c>
      <c r="M26" s="16">
        <v>20.89</v>
      </c>
      <c r="N26" s="55">
        <v>166.66666666666666</v>
      </c>
      <c r="O26" s="16">
        <v>2740.0</v>
      </c>
      <c r="P26" s="57">
        <v>45447.0</v>
      </c>
      <c r="Q26" s="57">
        <v>45510.0</v>
      </c>
      <c r="R26" s="16">
        <v>3.130007827E9</v>
      </c>
      <c r="S26" s="16" t="s">
        <v>68</v>
      </c>
      <c r="T26" s="16">
        <v>3.040258338E9</v>
      </c>
      <c r="U26" s="57">
        <v>45937.0</v>
      </c>
      <c r="V26" s="45"/>
    </row>
    <row r="27">
      <c r="A27" s="16" t="s">
        <v>91</v>
      </c>
      <c r="B27" s="16" t="s">
        <v>61</v>
      </c>
      <c r="C27" s="16" t="s">
        <v>421</v>
      </c>
      <c r="D27" s="45"/>
      <c r="E27" s="16" t="s">
        <v>420</v>
      </c>
      <c r="F27" s="45"/>
      <c r="G27" s="45"/>
      <c r="H27" s="45"/>
      <c r="I27" s="16">
        <v>81343.0</v>
      </c>
      <c r="J27" s="16" t="s">
        <v>66</v>
      </c>
      <c r="K27" s="55">
        <v>69.05902777777777</v>
      </c>
      <c r="L27" s="55">
        <v>198.74305555555554</v>
      </c>
      <c r="M27" s="16">
        <v>41.44</v>
      </c>
      <c r="N27" s="55">
        <v>166.66666666666666</v>
      </c>
      <c r="O27" s="16">
        <v>2723.0</v>
      </c>
      <c r="P27" s="64">
        <v>44485.0</v>
      </c>
      <c r="Q27" s="57">
        <v>44959.0</v>
      </c>
      <c r="R27" s="16">
        <v>4.19000075E9</v>
      </c>
      <c r="S27" s="16" t="s">
        <v>68</v>
      </c>
      <c r="T27" s="16">
        <v>3.040247635E9</v>
      </c>
      <c r="U27" s="64">
        <v>45580.0</v>
      </c>
      <c r="V27" s="45"/>
    </row>
    <row r="28">
      <c r="A28" s="16" t="s">
        <v>91</v>
      </c>
      <c r="B28" s="16" t="s">
        <v>61</v>
      </c>
      <c r="C28" s="16" t="s">
        <v>419</v>
      </c>
      <c r="D28" s="45"/>
      <c r="E28" s="16" t="s">
        <v>420</v>
      </c>
      <c r="F28" s="45"/>
      <c r="G28" s="45"/>
      <c r="H28" s="45"/>
      <c r="I28" s="16">
        <v>90688.0</v>
      </c>
      <c r="J28" s="16" t="s">
        <v>66</v>
      </c>
      <c r="K28" s="55">
        <v>1.6631944444444444</v>
      </c>
      <c r="L28" s="55">
        <v>160.15972222222223</v>
      </c>
      <c r="M28" s="16">
        <v>1.0</v>
      </c>
      <c r="N28" s="55">
        <v>166.66666666666666</v>
      </c>
      <c r="O28" s="16">
        <v>2740.0</v>
      </c>
      <c r="P28" s="57">
        <v>45420.0</v>
      </c>
      <c r="Q28" s="57">
        <v>45446.0</v>
      </c>
      <c r="R28" s="16">
        <v>3.130007058E9</v>
      </c>
      <c r="S28" s="16" t="s">
        <v>68</v>
      </c>
      <c r="T28" s="16">
        <v>3.040247803E9</v>
      </c>
      <c r="U28" s="64">
        <v>45588.0</v>
      </c>
      <c r="V28" s="45"/>
    </row>
    <row r="29">
      <c r="A29" s="16" t="s">
        <v>91</v>
      </c>
      <c r="B29" s="16" t="s">
        <v>61</v>
      </c>
      <c r="C29" s="16" t="s">
        <v>419</v>
      </c>
      <c r="D29" s="45"/>
      <c r="E29" s="16" t="s">
        <v>420</v>
      </c>
      <c r="F29" s="45"/>
      <c r="G29" s="45"/>
      <c r="H29" s="45"/>
      <c r="I29" s="16">
        <v>100825.0</v>
      </c>
      <c r="J29" s="16" t="s">
        <v>66</v>
      </c>
      <c r="K29" s="55">
        <v>175.17708333333334</v>
      </c>
      <c r="L29" s="55">
        <v>651.5243055555555</v>
      </c>
      <c r="M29" s="16">
        <v>105.11</v>
      </c>
      <c r="N29" s="55">
        <v>166.66666666666666</v>
      </c>
      <c r="O29" s="16">
        <v>2743.0</v>
      </c>
      <c r="P29" s="57">
        <v>44369.0</v>
      </c>
      <c r="Q29" s="57">
        <v>45824.0</v>
      </c>
      <c r="R29" s="16">
        <v>3.040091753E9</v>
      </c>
      <c r="S29" s="16" t="s">
        <v>68</v>
      </c>
      <c r="T29" s="16">
        <v>3.040254478E9</v>
      </c>
      <c r="U29" s="57">
        <v>45831.0</v>
      </c>
      <c r="V29" s="45"/>
    </row>
    <row r="30">
      <c r="A30" s="16" t="s">
        <v>91</v>
      </c>
      <c r="B30" s="16" t="s">
        <v>61</v>
      </c>
      <c r="C30" s="16" t="s">
        <v>421</v>
      </c>
      <c r="D30" s="45"/>
      <c r="E30" s="16" t="s">
        <v>420</v>
      </c>
      <c r="F30" s="45"/>
      <c r="G30" s="45"/>
      <c r="H30" s="45"/>
      <c r="I30" s="16">
        <v>110111.0</v>
      </c>
      <c r="J30" s="16" t="s">
        <v>66</v>
      </c>
      <c r="K30" s="55">
        <v>78.80555555555556</v>
      </c>
      <c r="L30" s="55">
        <v>219.84375</v>
      </c>
      <c r="M30" s="16">
        <v>47.28</v>
      </c>
      <c r="N30" s="55">
        <v>166.66666666666666</v>
      </c>
      <c r="O30" s="16">
        <v>2722.0</v>
      </c>
      <c r="P30" s="57">
        <v>44652.0</v>
      </c>
      <c r="Q30" s="57">
        <v>45567.0</v>
      </c>
      <c r="R30" s="16">
        <v>6.850004453E9</v>
      </c>
      <c r="S30" s="16" t="s">
        <v>68</v>
      </c>
      <c r="T30" s="16">
        <v>3.040250893E9</v>
      </c>
      <c r="U30" s="57">
        <v>45734.0</v>
      </c>
      <c r="V30" s="45"/>
    </row>
    <row r="31">
      <c r="A31" s="16" t="s">
        <v>91</v>
      </c>
      <c r="B31" s="16" t="s">
        <v>61</v>
      </c>
      <c r="C31" s="16" t="s">
        <v>419</v>
      </c>
      <c r="D31" s="45"/>
      <c r="E31" s="16" t="s">
        <v>420</v>
      </c>
      <c r="F31" s="45"/>
      <c r="G31" s="45"/>
      <c r="H31" s="45"/>
      <c r="I31" s="16">
        <v>250405.0</v>
      </c>
      <c r="J31" s="16" t="s">
        <v>66</v>
      </c>
      <c r="K31" s="81">
        <v>0.0</v>
      </c>
      <c r="L31" s="81">
        <v>0.0</v>
      </c>
      <c r="M31" s="45"/>
      <c r="N31" s="55">
        <v>166.66666666666666</v>
      </c>
      <c r="O31" s="45"/>
      <c r="P31" s="45"/>
      <c r="Q31" s="16" t="s">
        <v>121</v>
      </c>
      <c r="R31" s="45"/>
      <c r="S31" s="16" t="s">
        <v>68</v>
      </c>
      <c r="T31" s="16">
        <v>3.040260408E9</v>
      </c>
      <c r="U31" s="64">
        <v>46001.0</v>
      </c>
      <c r="V31" s="45"/>
    </row>
    <row r="32">
      <c r="A32" s="16" t="s">
        <v>91</v>
      </c>
      <c r="B32" s="16" t="s">
        <v>61</v>
      </c>
      <c r="C32" s="16" t="s">
        <v>419</v>
      </c>
      <c r="D32" s="45"/>
      <c r="E32" s="16" t="s">
        <v>420</v>
      </c>
      <c r="F32" s="45"/>
      <c r="G32" s="45"/>
      <c r="H32" s="45"/>
      <c r="I32" s="16">
        <v>250408.0</v>
      </c>
      <c r="J32" s="16" t="s">
        <v>66</v>
      </c>
      <c r="K32" s="81">
        <v>0.0</v>
      </c>
      <c r="L32" s="81">
        <v>0.0</v>
      </c>
      <c r="M32" s="45"/>
      <c r="N32" s="55">
        <v>166.66666666666666</v>
      </c>
      <c r="O32" s="45"/>
      <c r="P32" s="45"/>
      <c r="Q32" s="16" t="s">
        <v>121</v>
      </c>
      <c r="R32" s="45"/>
      <c r="S32" s="16" t="s">
        <v>68</v>
      </c>
      <c r="T32" s="16">
        <v>3.040260405E9</v>
      </c>
      <c r="U32" s="64">
        <v>46001.0</v>
      </c>
      <c r="V32" s="45"/>
    </row>
    <row r="33">
      <c r="A33" s="16" t="s">
        <v>91</v>
      </c>
      <c r="B33" s="16" t="s">
        <v>61</v>
      </c>
      <c r="C33" s="16" t="s">
        <v>419</v>
      </c>
      <c r="D33" s="45"/>
      <c r="E33" s="16" t="s">
        <v>420</v>
      </c>
      <c r="F33" s="45"/>
      <c r="G33" s="45"/>
      <c r="H33" s="45"/>
      <c r="I33" s="16">
        <v>250419.0</v>
      </c>
      <c r="J33" s="16" t="s">
        <v>66</v>
      </c>
      <c r="K33" s="81">
        <v>0.0</v>
      </c>
      <c r="L33" s="81">
        <v>0.0</v>
      </c>
      <c r="M33" s="45"/>
      <c r="N33" s="55">
        <v>166.66666666666666</v>
      </c>
      <c r="O33" s="45"/>
      <c r="P33" s="45"/>
      <c r="Q33" s="16" t="s">
        <v>121</v>
      </c>
      <c r="R33" s="45"/>
      <c r="S33" s="16" t="s">
        <v>68</v>
      </c>
      <c r="T33" s="16">
        <v>3.040260407E9</v>
      </c>
      <c r="U33" s="64">
        <v>46001.0</v>
      </c>
      <c r="V33" s="45"/>
    </row>
    <row r="34">
      <c r="A34" s="16" t="s">
        <v>146</v>
      </c>
      <c r="B34" s="16" t="s">
        <v>61</v>
      </c>
      <c r="C34" s="16" t="s">
        <v>421</v>
      </c>
      <c r="D34" s="45"/>
      <c r="E34" s="16" t="s">
        <v>420</v>
      </c>
      <c r="F34" s="45"/>
      <c r="G34" s="45"/>
      <c r="H34" s="45"/>
      <c r="I34" s="16">
        <v>70909.0</v>
      </c>
      <c r="J34" s="16" t="s">
        <v>66</v>
      </c>
      <c r="K34" s="55">
        <v>134.95138888888889</v>
      </c>
      <c r="L34" s="55">
        <v>283.1111111111111</v>
      </c>
      <c r="M34" s="16">
        <v>80.97</v>
      </c>
      <c r="N34" s="55">
        <v>166.66666666666666</v>
      </c>
      <c r="O34" s="16">
        <v>2738.0</v>
      </c>
      <c r="P34" s="64">
        <v>43762.0</v>
      </c>
      <c r="Q34" s="57">
        <v>46031.0</v>
      </c>
      <c r="R34" s="16">
        <v>3.130008485E9</v>
      </c>
      <c r="S34" s="16" t="s">
        <v>141</v>
      </c>
      <c r="T34" s="16">
        <v>3.130008485E9</v>
      </c>
      <c r="U34" s="57">
        <v>46037.0</v>
      </c>
      <c r="V34" s="45"/>
    </row>
    <row r="35">
      <c r="A35" s="16" t="s">
        <v>91</v>
      </c>
      <c r="B35" s="16" t="s">
        <v>61</v>
      </c>
      <c r="C35" s="16" t="s">
        <v>421</v>
      </c>
      <c r="D35" s="45"/>
      <c r="E35" s="16" t="s">
        <v>420</v>
      </c>
      <c r="F35" s="45"/>
      <c r="G35" s="45"/>
      <c r="H35" s="45"/>
      <c r="I35" s="16">
        <v>90743.0</v>
      </c>
      <c r="J35" s="16" t="s">
        <v>66</v>
      </c>
      <c r="K35" s="55">
        <v>34.732638888888886</v>
      </c>
      <c r="L35" s="55">
        <v>34.732638888888886</v>
      </c>
      <c r="M35" s="16">
        <v>20.84</v>
      </c>
      <c r="N35" s="55">
        <v>166.66666666666666</v>
      </c>
      <c r="O35" s="16">
        <v>2735.0</v>
      </c>
      <c r="P35" s="57">
        <v>40071.0</v>
      </c>
      <c r="Q35" s="57">
        <v>41023.0</v>
      </c>
      <c r="R35" s="45"/>
      <c r="S35" s="16" t="s">
        <v>159</v>
      </c>
      <c r="T35" s="45"/>
      <c r="U35" s="57">
        <v>41023.0</v>
      </c>
      <c r="V35" s="45"/>
    </row>
    <row r="36">
      <c r="A36" s="16" t="s">
        <v>290</v>
      </c>
      <c r="B36" s="16" t="s">
        <v>61</v>
      </c>
      <c r="C36" s="16" t="s">
        <v>419</v>
      </c>
      <c r="D36" s="45"/>
      <c r="E36" s="16" t="s">
        <v>420</v>
      </c>
      <c r="F36" s="45"/>
      <c r="G36" s="45"/>
      <c r="H36" s="45"/>
      <c r="I36" s="16">
        <v>140114.0</v>
      </c>
      <c r="J36" s="16" t="s">
        <v>66</v>
      </c>
      <c r="K36" s="81">
        <v>0.0</v>
      </c>
      <c r="L36" s="55">
        <v>257.03125</v>
      </c>
      <c r="M36" s="45"/>
      <c r="N36" s="55">
        <v>166.66666666666666</v>
      </c>
      <c r="O36" s="16">
        <v>2732.0</v>
      </c>
      <c r="P36" s="57">
        <v>44784.0</v>
      </c>
      <c r="Q36" s="64">
        <v>45259.0</v>
      </c>
      <c r="R36" s="16">
        <v>3.130006532E9</v>
      </c>
      <c r="S36" s="16" t="s">
        <v>159</v>
      </c>
      <c r="T36" s="45"/>
      <c r="U36" s="64">
        <v>45259.0</v>
      </c>
      <c r="V36" s="45"/>
    </row>
    <row r="37">
      <c r="A37" s="16" t="s">
        <v>96</v>
      </c>
      <c r="B37" s="16" t="s">
        <v>61</v>
      </c>
      <c r="C37" s="16" t="s">
        <v>419</v>
      </c>
      <c r="D37" s="45"/>
      <c r="E37" s="16" t="s">
        <v>420</v>
      </c>
      <c r="F37" s="45"/>
      <c r="G37" s="45"/>
      <c r="H37" s="45"/>
      <c r="I37" s="16">
        <v>181171.0</v>
      </c>
      <c r="J37" s="16" t="s">
        <v>66</v>
      </c>
      <c r="K37" s="55">
        <v>91.00694444444444</v>
      </c>
      <c r="L37" s="55">
        <v>568.6319444444445</v>
      </c>
      <c r="M37" s="16">
        <v>54.6</v>
      </c>
      <c r="N37" s="55">
        <v>166.66666666666666</v>
      </c>
      <c r="O37" s="16">
        <v>2737.0</v>
      </c>
      <c r="P37" s="57">
        <v>45103.0</v>
      </c>
      <c r="Q37" s="57">
        <v>46000.0</v>
      </c>
      <c r="R37" s="16">
        <v>6.89000056E9</v>
      </c>
      <c r="S37" s="16" t="s">
        <v>159</v>
      </c>
      <c r="T37" s="45"/>
      <c r="U37" s="57">
        <v>46000.0</v>
      </c>
      <c r="V37" s="45"/>
    </row>
    <row r="38">
      <c r="A38" s="16" t="s">
        <v>96</v>
      </c>
      <c r="B38" s="16" t="s">
        <v>61</v>
      </c>
      <c r="C38" s="16" t="s">
        <v>422</v>
      </c>
      <c r="D38" s="45"/>
      <c r="E38" s="16" t="s">
        <v>420</v>
      </c>
      <c r="F38" s="45"/>
      <c r="G38" s="45"/>
      <c r="H38" s="45"/>
      <c r="I38" s="16">
        <v>930171.0</v>
      </c>
      <c r="J38" s="16" t="s">
        <v>66</v>
      </c>
      <c r="K38" s="81">
        <v>0.0</v>
      </c>
      <c r="L38" s="81">
        <v>0.0</v>
      </c>
      <c r="M38" s="45"/>
      <c r="N38" s="55">
        <v>166.66666666666666</v>
      </c>
      <c r="O38" s="45"/>
      <c r="P38" s="45"/>
      <c r="Q38" s="16" t="s">
        <v>121</v>
      </c>
      <c r="R38" s="45"/>
      <c r="S38" s="16" t="s">
        <v>159</v>
      </c>
      <c r="T38" s="45"/>
      <c r="U38" s="45"/>
      <c r="V38" s="45"/>
    </row>
    <row r="39">
      <c r="A39" s="16" t="s">
        <v>110</v>
      </c>
      <c r="B39" s="16" t="s">
        <v>61</v>
      </c>
      <c r="C39" s="16" t="s">
        <v>419</v>
      </c>
      <c r="D39" s="45"/>
      <c r="E39" s="16" t="s">
        <v>420</v>
      </c>
      <c r="F39" s="45"/>
      <c r="G39" s="45"/>
      <c r="H39" s="45"/>
      <c r="I39" s="16">
        <v>952434.0</v>
      </c>
      <c r="J39" s="16" t="s">
        <v>66</v>
      </c>
      <c r="K39" s="55">
        <v>23.04861111111111</v>
      </c>
      <c r="L39" s="55">
        <v>23.04861111111111</v>
      </c>
      <c r="M39" s="16">
        <v>13.83</v>
      </c>
      <c r="N39" s="55">
        <v>166.66666666666666</v>
      </c>
      <c r="O39" s="16">
        <v>2704.0</v>
      </c>
      <c r="P39" s="57">
        <v>38511.0</v>
      </c>
      <c r="Q39" s="64">
        <v>39068.0</v>
      </c>
      <c r="R39" s="16">
        <v>3.070018395E9</v>
      </c>
      <c r="S39" s="16" t="s">
        <v>159</v>
      </c>
      <c r="T39" s="45"/>
      <c r="U39" s="64">
        <v>39068.0</v>
      </c>
      <c r="V39" s="45"/>
    </row>
    <row r="40">
      <c r="A40" s="16" t="s">
        <v>91</v>
      </c>
      <c r="B40" s="16" t="s">
        <v>61</v>
      </c>
      <c r="C40" s="16" t="s">
        <v>419</v>
      </c>
      <c r="D40" s="45"/>
      <c r="E40" s="16" t="s">
        <v>420</v>
      </c>
      <c r="F40" s="45"/>
      <c r="G40" s="45"/>
      <c r="H40" s="45"/>
      <c r="I40" s="16">
        <v>993029.0</v>
      </c>
      <c r="J40" s="16" t="s">
        <v>66</v>
      </c>
      <c r="K40" s="55">
        <v>3.5659722222222223</v>
      </c>
      <c r="L40" s="55">
        <v>83.63194444444444</v>
      </c>
      <c r="M40" s="16">
        <v>2.14</v>
      </c>
      <c r="N40" s="55">
        <v>166.66666666666666</v>
      </c>
      <c r="O40" s="16">
        <v>2720.0</v>
      </c>
      <c r="P40" s="64">
        <v>39006.0</v>
      </c>
      <c r="Q40" s="57">
        <v>40568.0</v>
      </c>
      <c r="R40" s="16">
        <v>3.130002407E9</v>
      </c>
      <c r="S40" s="16" t="s">
        <v>159</v>
      </c>
      <c r="T40" s="16">
        <v>3.040040322E9</v>
      </c>
      <c r="U40" s="57">
        <v>40568.0</v>
      </c>
      <c r="V40" s="45"/>
    </row>
    <row r="41">
      <c r="A41" s="16" t="s">
        <v>91</v>
      </c>
      <c r="B41" s="16" t="s">
        <v>61</v>
      </c>
      <c r="C41" s="16" t="s">
        <v>423</v>
      </c>
      <c r="D41" s="45"/>
      <c r="E41" s="16" t="s">
        <v>424</v>
      </c>
      <c r="F41" s="45"/>
      <c r="G41" s="45"/>
      <c r="H41" s="45"/>
      <c r="I41" s="16" t="s">
        <v>425</v>
      </c>
      <c r="J41" s="16" t="s">
        <v>66</v>
      </c>
      <c r="K41" s="55">
        <v>33.19444444444444</v>
      </c>
      <c r="L41" s="55">
        <v>155.8125</v>
      </c>
      <c r="M41" s="45"/>
      <c r="N41" s="45"/>
      <c r="O41" s="16">
        <v>2723.0</v>
      </c>
      <c r="P41" s="64">
        <v>40836.0</v>
      </c>
      <c r="Q41" s="57">
        <v>42270.0</v>
      </c>
      <c r="R41" s="16">
        <v>3.040050893E9</v>
      </c>
      <c r="S41" s="16" t="s">
        <v>159</v>
      </c>
      <c r="T41" s="16">
        <v>3.040144355E9</v>
      </c>
      <c r="U41" s="57">
        <v>42270.0</v>
      </c>
      <c r="V41" s="45"/>
    </row>
    <row r="42">
      <c r="A42" s="16" t="s">
        <v>91</v>
      </c>
      <c r="B42" s="16" t="s">
        <v>61</v>
      </c>
      <c r="C42" s="16" t="s">
        <v>419</v>
      </c>
      <c r="D42" s="45"/>
      <c r="E42" s="16" t="s">
        <v>420</v>
      </c>
      <c r="F42" s="45"/>
      <c r="G42" s="45"/>
      <c r="H42" s="45"/>
      <c r="I42" s="16">
        <v>928.0</v>
      </c>
      <c r="J42" s="16" t="s">
        <v>66</v>
      </c>
      <c r="K42" s="55">
        <v>40.89930555555556</v>
      </c>
      <c r="L42" s="55">
        <v>314.94444444444446</v>
      </c>
      <c r="M42" s="16">
        <v>24.54</v>
      </c>
      <c r="N42" s="55">
        <v>166.66666666666666</v>
      </c>
      <c r="O42" s="16">
        <v>2741.0</v>
      </c>
      <c r="P42" s="57">
        <v>42940.0</v>
      </c>
      <c r="Q42" s="57">
        <v>43494.0</v>
      </c>
      <c r="R42" s="16">
        <v>3.040080066E9</v>
      </c>
      <c r="S42" s="16" t="s">
        <v>93</v>
      </c>
      <c r="T42" s="16" t="s">
        <v>426</v>
      </c>
      <c r="U42" s="64">
        <v>44148.0</v>
      </c>
      <c r="V42" s="45"/>
    </row>
    <row r="43">
      <c r="A43" s="16" t="s">
        <v>91</v>
      </c>
      <c r="B43" s="16" t="s">
        <v>61</v>
      </c>
      <c r="C43" s="16" t="s">
        <v>421</v>
      </c>
      <c r="D43" s="45"/>
      <c r="E43" s="16" t="s">
        <v>420</v>
      </c>
      <c r="F43" s="45"/>
      <c r="G43" s="45"/>
      <c r="H43" s="45"/>
      <c r="I43" s="16">
        <v>20689.0</v>
      </c>
      <c r="J43" s="16" t="s">
        <v>66</v>
      </c>
      <c r="K43" s="55">
        <v>131.33333333333334</v>
      </c>
      <c r="L43" s="55">
        <v>250.06944444444446</v>
      </c>
      <c r="M43" s="16">
        <v>78.8</v>
      </c>
      <c r="N43" s="55">
        <v>166.66666666666666</v>
      </c>
      <c r="O43" s="16">
        <v>2719.0</v>
      </c>
      <c r="P43" s="57">
        <v>43696.0</v>
      </c>
      <c r="Q43" s="57">
        <v>45776.0</v>
      </c>
      <c r="R43" s="16">
        <v>6.850005706E9</v>
      </c>
      <c r="S43" s="16" t="s">
        <v>93</v>
      </c>
      <c r="T43" s="16" t="s">
        <v>427</v>
      </c>
      <c r="U43" s="57">
        <v>43185.0</v>
      </c>
      <c r="V43" s="45"/>
    </row>
    <row r="44">
      <c r="A44" s="16" t="s">
        <v>91</v>
      </c>
      <c r="B44" s="16" t="s">
        <v>61</v>
      </c>
      <c r="C44" s="16" t="s">
        <v>421</v>
      </c>
      <c r="D44" s="45"/>
      <c r="E44" s="16" t="s">
        <v>420</v>
      </c>
      <c r="F44" s="45"/>
      <c r="G44" s="45"/>
      <c r="H44" s="45"/>
      <c r="I44" s="16">
        <v>100747.0</v>
      </c>
      <c r="J44" s="16" t="s">
        <v>66</v>
      </c>
      <c r="K44" s="55">
        <v>116.13541666666667</v>
      </c>
      <c r="L44" s="55">
        <v>198.38541666666666</v>
      </c>
      <c r="M44" s="16">
        <v>69.68</v>
      </c>
      <c r="N44" s="55">
        <v>166.66666666666666</v>
      </c>
      <c r="O44" s="16">
        <v>2742.0</v>
      </c>
      <c r="P44" s="57">
        <v>43544.0</v>
      </c>
      <c r="Q44" s="57">
        <v>45916.0</v>
      </c>
      <c r="R44" s="16">
        <v>3.860010942E9</v>
      </c>
      <c r="S44" s="16" t="s">
        <v>93</v>
      </c>
      <c r="T44" s="16" t="s">
        <v>428</v>
      </c>
      <c r="U44" s="57">
        <v>42850.0</v>
      </c>
      <c r="V44" s="45"/>
    </row>
    <row r="45">
      <c r="A45" s="16" t="s">
        <v>91</v>
      </c>
      <c r="B45" s="16" t="s">
        <v>61</v>
      </c>
      <c r="C45" s="16" t="s">
        <v>421</v>
      </c>
      <c r="D45" s="45"/>
      <c r="E45" s="16" t="s">
        <v>420</v>
      </c>
      <c r="F45" s="45"/>
      <c r="G45" s="45"/>
      <c r="H45" s="45"/>
      <c r="I45" s="16">
        <v>110392.0</v>
      </c>
      <c r="J45" s="16" t="s">
        <v>66</v>
      </c>
      <c r="K45" s="55">
        <v>100.55902777777777</v>
      </c>
      <c r="L45" s="55">
        <v>179.49652777777777</v>
      </c>
      <c r="M45" s="16">
        <v>60.34</v>
      </c>
      <c r="N45" s="55">
        <v>166.66666666666666</v>
      </c>
      <c r="O45" s="16">
        <v>2739.0</v>
      </c>
      <c r="P45" s="57">
        <v>45076.0</v>
      </c>
      <c r="Q45" s="57">
        <v>45539.0</v>
      </c>
      <c r="R45" s="16">
        <v>3.960005216E9</v>
      </c>
      <c r="S45" s="16" t="s">
        <v>93</v>
      </c>
      <c r="T45" s="16" t="s">
        <v>429</v>
      </c>
      <c r="U45" s="57">
        <v>44404.0</v>
      </c>
      <c r="V45" s="45"/>
    </row>
    <row r="46">
      <c r="A46" s="16" t="s">
        <v>91</v>
      </c>
      <c r="B46" s="16" t="s">
        <v>61</v>
      </c>
      <c r="C46" s="16" t="s">
        <v>421</v>
      </c>
      <c r="D46" s="45"/>
      <c r="E46" s="16" t="s">
        <v>420</v>
      </c>
      <c r="F46" s="45"/>
      <c r="G46" s="45"/>
      <c r="H46" s="45"/>
      <c r="I46" s="16">
        <v>140126.0</v>
      </c>
      <c r="J46" s="16" t="s">
        <v>66</v>
      </c>
      <c r="K46" s="55">
        <v>94.4375</v>
      </c>
      <c r="L46" s="55">
        <v>202.16666666666666</v>
      </c>
      <c r="M46" s="16">
        <v>56.66</v>
      </c>
      <c r="N46" s="55">
        <v>166.66666666666666</v>
      </c>
      <c r="O46" s="16">
        <v>2703.0</v>
      </c>
      <c r="P46" s="57">
        <v>42963.0</v>
      </c>
      <c r="Q46" s="57">
        <v>45239.0</v>
      </c>
      <c r="R46" s="16">
        <v>3.040088304E9</v>
      </c>
      <c r="S46" s="16" t="s">
        <v>93</v>
      </c>
      <c r="T46" s="16" t="s">
        <v>430</v>
      </c>
      <c r="U46" s="64">
        <v>42698.0</v>
      </c>
      <c r="V46" s="45"/>
    </row>
    <row r="47">
      <c r="A47" s="16" t="s">
        <v>91</v>
      </c>
      <c r="B47" s="16" t="s">
        <v>61</v>
      </c>
      <c r="C47" s="16" t="s">
        <v>419</v>
      </c>
      <c r="D47" s="45"/>
      <c r="E47" s="16" t="s">
        <v>420</v>
      </c>
      <c r="F47" s="45"/>
      <c r="G47" s="45"/>
      <c r="H47" s="45"/>
      <c r="I47" s="16">
        <v>960004.0</v>
      </c>
      <c r="J47" s="16" t="s">
        <v>66</v>
      </c>
      <c r="K47" s="55">
        <v>22.739583333333332</v>
      </c>
      <c r="L47" s="55">
        <v>240.59375</v>
      </c>
      <c r="M47" s="16">
        <v>13.64</v>
      </c>
      <c r="N47" s="55">
        <v>166.66666666666666</v>
      </c>
      <c r="O47" s="16">
        <v>2733.0</v>
      </c>
      <c r="P47" s="57">
        <v>45054.0</v>
      </c>
      <c r="Q47" s="64">
        <v>45586.0</v>
      </c>
      <c r="R47" s="16">
        <v>3.130007348E9</v>
      </c>
      <c r="S47" s="16" t="s">
        <v>93</v>
      </c>
      <c r="T47" s="16" t="s">
        <v>431</v>
      </c>
      <c r="U47" s="57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9" t="s">
        <v>432</v>
      </c>
      <c r="B1" s="173"/>
      <c r="C1" s="470" t="s">
        <v>49</v>
      </c>
      <c r="D1" s="470" t="s">
        <v>23</v>
      </c>
      <c r="E1" s="470" t="s">
        <v>24</v>
      </c>
      <c r="F1" s="470" t="s">
        <v>25</v>
      </c>
      <c r="G1" s="470" t="s">
        <v>28</v>
      </c>
      <c r="H1" s="470" t="s">
        <v>30</v>
      </c>
      <c r="I1" s="470" t="s">
        <v>33</v>
      </c>
      <c r="J1" s="470" t="s">
        <v>36</v>
      </c>
      <c r="K1" s="470" t="s">
        <v>39</v>
      </c>
      <c r="L1" s="470" t="s">
        <v>433</v>
      </c>
      <c r="M1" s="470" t="s">
        <v>44</v>
      </c>
      <c r="N1" s="470" t="s">
        <v>434</v>
      </c>
      <c r="O1" s="470" t="s">
        <v>49</v>
      </c>
      <c r="P1" s="470" t="s">
        <v>182</v>
      </c>
      <c r="Q1" s="399"/>
      <c r="R1" s="471" t="s">
        <v>435</v>
      </c>
      <c r="S1" s="172"/>
      <c r="T1" s="172"/>
      <c r="U1" s="172"/>
      <c r="V1" s="172"/>
      <c r="W1" s="172"/>
      <c r="X1" s="172"/>
      <c r="Y1" s="173"/>
    </row>
    <row r="2">
      <c r="A2" s="472" t="s">
        <v>436</v>
      </c>
      <c r="B2" s="473" t="s">
        <v>51</v>
      </c>
      <c r="C2" s="474"/>
      <c r="D2" s="473" t="s">
        <v>437</v>
      </c>
      <c r="E2" s="473" t="s">
        <v>437</v>
      </c>
      <c r="F2" s="473" t="s">
        <v>437</v>
      </c>
      <c r="G2" s="475">
        <v>1.0</v>
      </c>
      <c r="H2" s="473" t="s">
        <v>437</v>
      </c>
      <c r="I2" s="473">
        <v>1.0</v>
      </c>
      <c r="J2" s="475">
        <v>1.0</v>
      </c>
      <c r="K2" s="475">
        <v>1.0</v>
      </c>
      <c r="L2" s="475">
        <v>2.0</v>
      </c>
      <c r="M2" s="473" t="s">
        <v>437</v>
      </c>
      <c r="N2" s="473" t="s">
        <v>437</v>
      </c>
      <c r="O2" s="473" t="s">
        <v>437</v>
      </c>
      <c r="P2" s="473">
        <f t="shared" ref="P2:P13" si="1">SUM(D2:O2)</f>
        <v>6</v>
      </c>
      <c r="Q2" s="476">
        <v>6.0</v>
      </c>
      <c r="R2" s="477">
        <v>2018.0</v>
      </c>
      <c r="S2" s="477">
        <v>2019.0</v>
      </c>
      <c r="T2" s="477">
        <v>2020.0</v>
      </c>
      <c r="U2" s="477">
        <v>2021.0</v>
      </c>
      <c r="V2" s="477">
        <v>2022.0</v>
      </c>
      <c r="W2" s="477">
        <v>2023.0</v>
      </c>
      <c r="X2" s="477">
        <v>2024.0</v>
      </c>
      <c r="Y2" s="477">
        <v>2025.0</v>
      </c>
      <c r="Z2" s="16">
        <v>2026.0</v>
      </c>
    </row>
    <row r="3">
      <c r="A3" s="478"/>
      <c r="B3" s="473" t="s">
        <v>139</v>
      </c>
      <c r="C3" s="474"/>
      <c r="D3" s="473" t="s">
        <v>437</v>
      </c>
      <c r="E3" s="473" t="s">
        <v>437</v>
      </c>
      <c r="F3" s="475">
        <v>1.0</v>
      </c>
      <c r="G3" s="473" t="s">
        <v>437</v>
      </c>
      <c r="H3" s="475">
        <v>1.0</v>
      </c>
      <c r="I3" s="473" t="s">
        <v>437</v>
      </c>
      <c r="J3" s="473" t="s">
        <v>437</v>
      </c>
      <c r="K3" s="473" t="s">
        <v>437</v>
      </c>
      <c r="L3" s="473" t="s">
        <v>437</v>
      </c>
      <c r="M3" s="473">
        <v>1.0</v>
      </c>
      <c r="N3" s="475">
        <v>1.0</v>
      </c>
      <c r="O3" s="473" t="s">
        <v>437</v>
      </c>
      <c r="P3" s="473">
        <f t="shared" si="1"/>
        <v>4</v>
      </c>
      <c r="Q3" s="476">
        <v>4.0</v>
      </c>
      <c r="R3" s="479">
        <v>1.0</v>
      </c>
      <c r="S3" s="479">
        <v>7.0</v>
      </c>
      <c r="T3" s="479">
        <v>11.0</v>
      </c>
      <c r="U3" s="479">
        <v>6.0</v>
      </c>
      <c r="V3" s="479">
        <v>8.0</v>
      </c>
      <c r="W3" s="479">
        <v>3.0</v>
      </c>
      <c r="X3" s="479">
        <v>14.0</v>
      </c>
      <c r="Y3" s="479">
        <v>8.0</v>
      </c>
      <c r="Z3" s="16">
        <v>5.0</v>
      </c>
    </row>
    <row r="4">
      <c r="A4" s="478"/>
      <c r="B4" s="473" t="s">
        <v>438</v>
      </c>
      <c r="C4" s="474"/>
      <c r="D4" s="473">
        <v>1.0</v>
      </c>
      <c r="E4" s="473" t="s">
        <v>437</v>
      </c>
      <c r="F4" s="473" t="s">
        <v>437</v>
      </c>
      <c r="G4" s="473">
        <v>1.0</v>
      </c>
      <c r="H4" s="473" t="s">
        <v>437</v>
      </c>
      <c r="I4" s="473" t="s">
        <v>437</v>
      </c>
      <c r="J4" s="473" t="s">
        <v>437</v>
      </c>
      <c r="K4" s="473" t="s">
        <v>437</v>
      </c>
      <c r="L4" s="473" t="s">
        <v>437</v>
      </c>
      <c r="M4" s="473">
        <v>1.0</v>
      </c>
      <c r="N4" s="475">
        <v>1.0</v>
      </c>
      <c r="O4" s="475">
        <v>1.0</v>
      </c>
      <c r="P4" s="473">
        <f t="shared" si="1"/>
        <v>5</v>
      </c>
      <c r="Q4" s="480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2"/>
      <c r="B5" s="481" t="s">
        <v>182</v>
      </c>
      <c r="C5" s="474"/>
      <c r="D5" s="481">
        <f t="shared" ref="D5:O5" si="2">SUM(D2:D4)</f>
        <v>1</v>
      </c>
      <c r="E5" s="481">
        <f t="shared" si="2"/>
        <v>0</v>
      </c>
      <c r="F5" s="481">
        <f t="shared" si="2"/>
        <v>1</v>
      </c>
      <c r="G5" s="481">
        <f t="shared" si="2"/>
        <v>2</v>
      </c>
      <c r="H5" s="481">
        <f t="shared" si="2"/>
        <v>1</v>
      </c>
      <c r="I5" s="481">
        <f t="shared" si="2"/>
        <v>1</v>
      </c>
      <c r="J5" s="481">
        <f t="shared" si="2"/>
        <v>1</v>
      </c>
      <c r="K5" s="481">
        <f t="shared" si="2"/>
        <v>1</v>
      </c>
      <c r="L5" s="481">
        <f t="shared" si="2"/>
        <v>2</v>
      </c>
      <c r="M5" s="481">
        <f t="shared" si="2"/>
        <v>2</v>
      </c>
      <c r="N5" s="481">
        <f t="shared" si="2"/>
        <v>2</v>
      </c>
      <c r="O5" s="481">
        <f t="shared" si="2"/>
        <v>1</v>
      </c>
      <c r="P5" s="481">
        <f t="shared" si="1"/>
        <v>15</v>
      </c>
      <c r="Q5" s="399"/>
      <c r="R5" s="482" t="s">
        <v>439</v>
      </c>
      <c r="S5" s="483"/>
      <c r="T5" s="9"/>
      <c r="U5" s="484">
        <f>AVERAGE(R3:Z3)</f>
        <v>7</v>
      </c>
      <c r="V5" s="399"/>
      <c r="W5" s="399"/>
      <c r="X5" s="399"/>
      <c r="Y5" s="399"/>
    </row>
    <row r="6">
      <c r="A6" s="485" t="s">
        <v>440</v>
      </c>
      <c r="B6" s="486" t="s">
        <v>441</v>
      </c>
      <c r="C6" s="474"/>
      <c r="D6" s="487" t="s">
        <v>437</v>
      </c>
      <c r="E6" s="487" t="s">
        <v>437</v>
      </c>
      <c r="F6" s="489">
        <v>1.0</v>
      </c>
      <c r="G6" s="487" t="s">
        <v>437</v>
      </c>
      <c r="H6" s="489">
        <v>1.0</v>
      </c>
      <c r="I6" s="486">
        <v>1.0</v>
      </c>
      <c r="J6" s="487" t="s">
        <v>437</v>
      </c>
      <c r="K6" s="487" t="s">
        <v>437</v>
      </c>
      <c r="L6" s="487" t="s">
        <v>437</v>
      </c>
      <c r="M6" s="487" t="s">
        <v>437</v>
      </c>
      <c r="N6" s="487" t="s">
        <v>437</v>
      </c>
      <c r="O6" s="487" t="s">
        <v>437</v>
      </c>
      <c r="P6" s="487">
        <f t="shared" si="1"/>
        <v>3</v>
      </c>
      <c r="Q6" s="399"/>
      <c r="R6" s="27"/>
      <c r="S6" s="490"/>
      <c r="T6" s="28"/>
      <c r="U6" s="22"/>
      <c r="V6" s="399"/>
      <c r="W6" s="399"/>
      <c r="X6" s="399"/>
      <c r="Y6" s="399"/>
    </row>
    <row r="7">
      <c r="A7" s="478"/>
      <c r="B7" s="486" t="s">
        <v>451</v>
      </c>
      <c r="C7" s="474"/>
      <c r="D7" s="487" t="s">
        <v>437</v>
      </c>
      <c r="E7" s="487" t="s">
        <v>437</v>
      </c>
      <c r="F7" s="487" t="s">
        <v>437</v>
      </c>
      <c r="G7" s="487" t="s">
        <v>437</v>
      </c>
      <c r="H7" s="487" t="s">
        <v>437</v>
      </c>
      <c r="I7" s="487" t="s">
        <v>437</v>
      </c>
      <c r="J7" s="487" t="s">
        <v>437</v>
      </c>
      <c r="K7" s="486">
        <v>1.0</v>
      </c>
      <c r="L7" s="486">
        <v>1.0</v>
      </c>
      <c r="M7" s="486">
        <v>1.0</v>
      </c>
      <c r="N7" s="487" t="s">
        <v>437</v>
      </c>
      <c r="O7" s="487" t="s">
        <v>437</v>
      </c>
      <c r="P7" s="487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78"/>
      <c r="B8" s="487" t="s">
        <v>456</v>
      </c>
      <c r="C8" s="474"/>
      <c r="D8" s="487" t="s">
        <v>437</v>
      </c>
      <c r="E8" s="487" t="s">
        <v>437</v>
      </c>
      <c r="F8" s="487" t="s">
        <v>437</v>
      </c>
      <c r="G8" s="486">
        <v>1.0</v>
      </c>
      <c r="H8" s="487" t="s">
        <v>437</v>
      </c>
      <c r="I8" s="486">
        <v>1.0</v>
      </c>
      <c r="J8" s="487" t="s">
        <v>437</v>
      </c>
      <c r="K8" s="487" t="s">
        <v>437</v>
      </c>
      <c r="L8" s="487" t="s">
        <v>437</v>
      </c>
      <c r="M8" s="487" t="s">
        <v>437</v>
      </c>
      <c r="N8" s="486">
        <v>1.0</v>
      </c>
      <c r="O8" s="486">
        <v>1.0</v>
      </c>
      <c r="P8" s="487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78"/>
      <c r="B9" s="487" t="s">
        <v>459</v>
      </c>
      <c r="C9" s="474"/>
      <c r="D9" s="487" t="s">
        <v>437</v>
      </c>
      <c r="E9" s="487" t="s">
        <v>437</v>
      </c>
      <c r="F9" s="487"/>
      <c r="G9" s="486">
        <v>1.0</v>
      </c>
      <c r="H9" s="487" t="s">
        <v>437</v>
      </c>
      <c r="I9" s="486">
        <v>1.0</v>
      </c>
      <c r="J9" s="487" t="s">
        <v>437</v>
      </c>
      <c r="K9" s="487"/>
      <c r="L9" s="487" t="s">
        <v>437</v>
      </c>
      <c r="M9" s="486">
        <v>1.0</v>
      </c>
      <c r="N9" s="487" t="s">
        <v>437</v>
      </c>
      <c r="O9" s="487" t="s">
        <v>437</v>
      </c>
      <c r="P9" s="487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78"/>
      <c r="B10" s="487" t="s">
        <v>460</v>
      </c>
      <c r="C10" s="474"/>
      <c r="D10" s="487" t="s">
        <v>437</v>
      </c>
      <c r="E10" s="487"/>
      <c r="F10" s="495">
        <v>1.0</v>
      </c>
      <c r="G10" s="487" t="s">
        <v>437</v>
      </c>
      <c r="H10" s="489">
        <v>1.0</v>
      </c>
      <c r="I10" s="487" t="s">
        <v>437</v>
      </c>
      <c r="J10" s="487" t="s">
        <v>437</v>
      </c>
      <c r="K10" s="487" t="s">
        <v>437</v>
      </c>
      <c r="L10" s="487" t="s">
        <v>437</v>
      </c>
      <c r="M10" s="487" t="s">
        <v>437</v>
      </c>
      <c r="N10" s="487" t="s">
        <v>437</v>
      </c>
      <c r="O10" s="487" t="s">
        <v>437</v>
      </c>
      <c r="P10" s="487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78"/>
      <c r="B11" s="496" t="s">
        <v>461</v>
      </c>
      <c r="C11" s="474"/>
      <c r="D11" s="496">
        <f t="shared" ref="D11:O11" si="3">SUM(D6:D10)</f>
        <v>0</v>
      </c>
      <c r="E11" s="496">
        <f t="shared" si="3"/>
        <v>0</v>
      </c>
      <c r="F11" s="496">
        <f t="shared" si="3"/>
        <v>2</v>
      </c>
      <c r="G11" s="496">
        <f t="shared" si="3"/>
        <v>2</v>
      </c>
      <c r="H11" s="496">
        <f t="shared" si="3"/>
        <v>2</v>
      </c>
      <c r="I11" s="496">
        <f t="shared" si="3"/>
        <v>3</v>
      </c>
      <c r="J11" s="496">
        <f t="shared" si="3"/>
        <v>0</v>
      </c>
      <c r="K11" s="496">
        <f t="shared" si="3"/>
        <v>1</v>
      </c>
      <c r="L11" s="496">
        <f t="shared" si="3"/>
        <v>1</v>
      </c>
      <c r="M11" s="496">
        <f t="shared" si="3"/>
        <v>2</v>
      </c>
      <c r="N11" s="496">
        <f t="shared" si="3"/>
        <v>1</v>
      </c>
      <c r="O11" s="496">
        <f t="shared" si="3"/>
        <v>1</v>
      </c>
      <c r="P11" s="496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78"/>
      <c r="B12" s="497" t="s">
        <v>462</v>
      </c>
      <c r="C12" s="474"/>
      <c r="D12" s="498"/>
      <c r="E12" s="498"/>
      <c r="F12" s="498"/>
      <c r="G12" s="498"/>
      <c r="H12" s="498"/>
      <c r="I12" s="498"/>
      <c r="J12" s="498"/>
      <c r="K12" s="498"/>
      <c r="L12" s="498"/>
      <c r="M12" s="498"/>
      <c r="N12" s="499">
        <v>0.0</v>
      </c>
      <c r="O12" s="499">
        <v>1.0</v>
      </c>
      <c r="P12" s="487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2"/>
      <c r="B13" s="500" t="s">
        <v>463</v>
      </c>
      <c r="C13" s="474"/>
      <c r="D13" s="500">
        <f t="shared" ref="D13:O13" si="4">SUM(D11:D12)</f>
        <v>0</v>
      </c>
      <c r="E13" s="500">
        <f t="shared" si="4"/>
        <v>0</v>
      </c>
      <c r="F13" s="500">
        <f t="shared" si="4"/>
        <v>2</v>
      </c>
      <c r="G13" s="500">
        <f t="shared" si="4"/>
        <v>2</v>
      </c>
      <c r="H13" s="500">
        <f t="shared" si="4"/>
        <v>2</v>
      </c>
      <c r="I13" s="500">
        <f t="shared" si="4"/>
        <v>3</v>
      </c>
      <c r="J13" s="500">
        <f t="shared" si="4"/>
        <v>0</v>
      </c>
      <c r="K13" s="500">
        <f t="shared" si="4"/>
        <v>1</v>
      </c>
      <c r="L13" s="500">
        <f t="shared" si="4"/>
        <v>1</v>
      </c>
      <c r="M13" s="500">
        <f t="shared" si="4"/>
        <v>2</v>
      </c>
      <c r="N13" s="500">
        <f t="shared" si="4"/>
        <v>1</v>
      </c>
      <c r="O13" s="500">
        <f t="shared" si="4"/>
        <v>2</v>
      </c>
      <c r="P13" s="500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2" t="s">
        <v>465</v>
      </c>
      <c r="B14" s="173"/>
      <c r="C14" s="342">
        <v>23.0</v>
      </c>
      <c r="D14" s="343">
        <f t="shared" ref="D14:O14" si="5">C14-D5+D11</f>
        <v>22</v>
      </c>
      <c r="E14" s="343">
        <f t="shared" si="5"/>
        <v>22</v>
      </c>
      <c r="F14" s="343">
        <f t="shared" si="5"/>
        <v>23</v>
      </c>
      <c r="G14" s="343">
        <f t="shared" si="5"/>
        <v>23</v>
      </c>
      <c r="H14" s="343">
        <f t="shared" si="5"/>
        <v>24</v>
      </c>
      <c r="I14" s="343">
        <f t="shared" si="5"/>
        <v>26</v>
      </c>
      <c r="J14" s="343">
        <f t="shared" si="5"/>
        <v>25</v>
      </c>
      <c r="K14" s="343">
        <f t="shared" si="5"/>
        <v>25</v>
      </c>
      <c r="L14" s="343">
        <f t="shared" si="5"/>
        <v>24</v>
      </c>
      <c r="M14" s="343">
        <f t="shared" si="5"/>
        <v>24</v>
      </c>
      <c r="N14" s="343">
        <f t="shared" si="5"/>
        <v>23</v>
      </c>
      <c r="O14" s="343">
        <f t="shared" si="5"/>
        <v>23</v>
      </c>
      <c r="P14" s="474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2" t="s">
        <v>468</v>
      </c>
      <c r="B15" s="173"/>
      <c r="C15" s="342">
        <v>23.0</v>
      </c>
      <c r="D15" s="343">
        <f t="shared" ref="D15:O15" si="6">C15-D5+D13</f>
        <v>22</v>
      </c>
      <c r="E15" s="343">
        <f t="shared" si="6"/>
        <v>22</v>
      </c>
      <c r="F15" s="343">
        <f t="shared" si="6"/>
        <v>23</v>
      </c>
      <c r="G15" s="343">
        <f t="shared" si="6"/>
        <v>23</v>
      </c>
      <c r="H15" s="343">
        <f t="shared" si="6"/>
        <v>24</v>
      </c>
      <c r="I15" s="343">
        <f t="shared" si="6"/>
        <v>26</v>
      </c>
      <c r="J15" s="343">
        <f t="shared" si="6"/>
        <v>25</v>
      </c>
      <c r="K15" s="343">
        <f t="shared" si="6"/>
        <v>25</v>
      </c>
      <c r="L15" s="343">
        <f t="shared" si="6"/>
        <v>24</v>
      </c>
      <c r="M15" s="343">
        <f t="shared" si="6"/>
        <v>24</v>
      </c>
      <c r="N15" s="343">
        <f t="shared" si="6"/>
        <v>23</v>
      </c>
      <c r="O15" s="343">
        <f t="shared" si="6"/>
        <v>24</v>
      </c>
      <c r="P15" s="474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7" t="s">
        <v>473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477</v>
      </c>
      <c r="B21" s="512"/>
      <c r="C21" s="514">
        <v>46382.0</v>
      </c>
      <c r="D21" s="516" t="s">
        <v>23</v>
      </c>
      <c r="E21" s="516" t="s">
        <v>24</v>
      </c>
      <c r="F21" s="516" t="s">
        <v>25</v>
      </c>
      <c r="G21" s="516" t="s">
        <v>28</v>
      </c>
      <c r="H21" s="516" t="s">
        <v>484</v>
      </c>
      <c r="I21" s="516" t="s">
        <v>33</v>
      </c>
      <c r="J21" s="516" t="s">
        <v>36</v>
      </c>
      <c r="K21" s="516" t="s">
        <v>39</v>
      </c>
      <c r="L21" s="516" t="s">
        <v>433</v>
      </c>
      <c r="M21" s="516" t="s">
        <v>44</v>
      </c>
      <c r="N21" s="516" t="s">
        <v>434</v>
      </c>
      <c r="O21" s="516" t="s">
        <v>49</v>
      </c>
      <c r="P21" s="518" t="s">
        <v>182</v>
      </c>
    </row>
    <row r="22">
      <c r="A22" s="519" t="s">
        <v>436</v>
      </c>
      <c r="B22" s="520" t="s">
        <v>51</v>
      </c>
      <c r="C22" s="521"/>
      <c r="D22" s="522">
        <v>1.0</v>
      </c>
      <c r="E22" s="522">
        <v>1.0</v>
      </c>
      <c r="F22" s="522"/>
      <c r="G22" s="523"/>
      <c r="H22" s="522"/>
      <c r="I22" s="522">
        <v>1.0</v>
      </c>
      <c r="J22" s="522">
        <v>1.0</v>
      </c>
      <c r="K22" s="523"/>
      <c r="L22" s="523"/>
      <c r="M22" s="523"/>
      <c r="N22" s="522">
        <v>1.0</v>
      </c>
      <c r="O22" s="523"/>
      <c r="P22" s="524">
        <v>5.0</v>
      </c>
    </row>
    <row r="23">
      <c r="A23" s="525"/>
      <c r="B23" s="520" t="s">
        <v>139</v>
      </c>
      <c r="C23" s="521"/>
      <c r="D23" s="522">
        <v>2.0</v>
      </c>
      <c r="E23" s="523"/>
      <c r="F23" s="522">
        <v>1.0</v>
      </c>
      <c r="G23" s="523"/>
      <c r="H23" s="522">
        <v>1.0</v>
      </c>
      <c r="I23" s="523"/>
      <c r="J23" s="523"/>
      <c r="K23" s="523"/>
      <c r="L23" s="522">
        <v>1.0</v>
      </c>
      <c r="M23" s="523"/>
      <c r="N23" s="523"/>
      <c r="O23" s="523"/>
      <c r="P23" s="524">
        <v>5.0</v>
      </c>
    </row>
    <row r="24">
      <c r="A24" s="525"/>
      <c r="B24" s="520" t="s">
        <v>438</v>
      </c>
      <c r="C24" s="521"/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4">
        <v>7.0</v>
      </c>
    </row>
    <row r="25">
      <c r="A25" s="526"/>
      <c r="B25" s="527" t="s">
        <v>182</v>
      </c>
      <c r="C25" s="528"/>
      <c r="D25" s="527">
        <f t="shared" ref="D25:P25" si="7">SUM(D22:D24)</f>
        <v>3</v>
      </c>
      <c r="E25" s="527">
        <f t="shared" si="7"/>
        <v>1</v>
      </c>
      <c r="F25" s="527">
        <f t="shared" si="7"/>
        <v>1</v>
      </c>
      <c r="G25" s="527">
        <f t="shared" si="7"/>
        <v>0</v>
      </c>
      <c r="H25" s="527">
        <f t="shared" si="7"/>
        <v>1</v>
      </c>
      <c r="I25" s="527">
        <f t="shared" si="7"/>
        <v>1</v>
      </c>
      <c r="J25" s="527">
        <f t="shared" si="7"/>
        <v>1</v>
      </c>
      <c r="K25" s="527">
        <f t="shared" si="7"/>
        <v>0</v>
      </c>
      <c r="L25" s="527">
        <f t="shared" si="7"/>
        <v>1</v>
      </c>
      <c r="M25" s="527">
        <f t="shared" si="7"/>
        <v>0</v>
      </c>
      <c r="N25" s="527">
        <f t="shared" si="7"/>
        <v>1</v>
      </c>
      <c r="O25" s="527">
        <f t="shared" si="7"/>
        <v>0</v>
      </c>
      <c r="P25" s="52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8" t="s">
        <v>442</v>
      </c>
      <c r="I30" s="488">
        <v>438.0</v>
      </c>
      <c r="K30" s="148" t="s">
        <v>443</v>
      </c>
      <c r="L30" s="148" t="s">
        <v>444</v>
      </c>
    </row>
    <row r="31">
      <c r="H31" s="488" t="s">
        <v>445</v>
      </c>
      <c r="I31" s="488">
        <v>562.0</v>
      </c>
      <c r="K31" s="175">
        <f>AVERAGE(I30:I45)</f>
        <v>673.75</v>
      </c>
      <c r="L31" s="175">
        <f>K31/22</f>
        <v>30.625</v>
      </c>
    </row>
    <row r="32">
      <c r="H32" s="488" t="s">
        <v>446</v>
      </c>
      <c r="I32" s="488">
        <v>684.0</v>
      </c>
      <c r="K32" s="45"/>
      <c r="L32" s="45"/>
    </row>
    <row r="33">
      <c r="H33" s="488" t="s">
        <v>447</v>
      </c>
      <c r="I33" s="488">
        <v>645.0</v>
      </c>
      <c r="K33" s="491" t="s">
        <v>448</v>
      </c>
      <c r="L33" s="148" t="s">
        <v>449</v>
      </c>
    </row>
    <row r="34">
      <c r="H34" s="488" t="s">
        <v>450</v>
      </c>
      <c r="I34" s="488">
        <v>925.0</v>
      </c>
      <c r="K34" s="175">
        <f>AVERAGE(I35:I37)</f>
        <v>712</v>
      </c>
      <c r="L34" s="175">
        <f>K34/22</f>
        <v>32.36363636</v>
      </c>
    </row>
    <row r="35">
      <c r="H35" s="488" t="s">
        <v>452</v>
      </c>
      <c r="I35" s="488">
        <v>887.0</v>
      </c>
      <c r="K35" s="45"/>
      <c r="L35" s="45"/>
    </row>
    <row r="36">
      <c r="H36" s="488" t="s">
        <v>453</v>
      </c>
      <c r="I36" s="488">
        <v>779.0</v>
      </c>
      <c r="K36" s="148" t="s">
        <v>454</v>
      </c>
      <c r="L36" s="148" t="s">
        <v>444</v>
      </c>
    </row>
    <row r="37">
      <c r="H37" s="488" t="s">
        <v>455</v>
      </c>
      <c r="I37" s="488">
        <v>470.0</v>
      </c>
      <c r="K37" s="148">
        <v>470.0</v>
      </c>
      <c r="L37" s="175">
        <f>K37/22</f>
        <v>21.36363636</v>
      </c>
    </row>
    <row r="38">
      <c r="H38" s="492"/>
      <c r="I38" s="492"/>
    </row>
    <row r="39">
      <c r="H39" s="492"/>
      <c r="I39" s="492"/>
    </row>
    <row r="40">
      <c r="H40" s="492"/>
      <c r="I40" s="492"/>
    </row>
    <row r="41">
      <c r="H41" s="492"/>
      <c r="I41" s="492"/>
    </row>
    <row r="42">
      <c r="H42" s="492"/>
      <c r="I42" s="492"/>
    </row>
    <row r="43">
      <c r="H43" s="492"/>
      <c r="I43" s="492"/>
    </row>
    <row r="44">
      <c r="H44" s="492"/>
      <c r="I44" s="492"/>
    </row>
    <row r="45">
      <c r="H45" s="492"/>
      <c r="I45" s="492"/>
    </row>
    <row r="51">
      <c r="A51" s="175" t="s">
        <v>16</v>
      </c>
      <c r="B51" s="175" t="s">
        <v>2</v>
      </c>
      <c r="C51" s="148" t="s">
        <v>27</v>
      </c>
      <c r="D51" s="148" t="s">
        <v>17</v>
      </c>
      <c r="E51" s="493" t="s">
        <v>18</v>
      </c>
      <c r="F51" s="148" t="s">
        <v>32</v>
      </c>
      <c r="G51" s="494" t="s">
        <v>457</v>
      </c>
      <c r="H51" s="148" t="s">
        <v>458</v>
      </c>
    </row>
    <row r="52">
      <c r="A52" s="148" t="s">
        <v>106</v>
      </c>
      <c r="B52" s="148">
        <v>2739.0</v>
      </c>
      <c r="C52" s="175" t="str">
        <f t="array" ref="C52">XLOOKUP(B52,SILOMS!T7:T40,SILOMS!G7:G40,FALSE)</f>
        <v>1ETA</v>
      </c>
      <c r="D52" s="460">
        <v>25.211805555555557</v>
      </c>
      <c r="E52" s="493">
        <f t="shared" ref="E52:E72" si="1">IF(D52*24&lt;1500,1500-(D52*24),IF(D52*24&lt;3000,3000-(D52*24),IF(D52*24&lt;4000,4000-(D52*24),IF(D52*24&gt;4000,4000-(D52*24)))))</f>
        <v>894.9166667</v>
      </c>
      <c r="F52" s="358" t="str">
        <f t="shared" ref="F52:F72" si="2">IF(D52*24&lt;1500,"HSI",IF(D52*24&lt;3000,"HSI",IF(D52*24&lt;4000,"TBO",IF(D52*24&lt;6000,"TBO_VENC"))))</f>
        <v>HSI</v>
      </c>
      <c r="G52" s="358">
        <f t="shared" ref="G52:G72" si="3">E52/$L$37</f>
        <v>41.88971631</v>
      </c>
      <c r="H52" s="148" t="s">
        <v>437</v>
      </c>
    </row>
    <row r="53">
      <c r="A53" s="148" t="s">
        <v>67</v>
      </c>
      <c r="B53" s="148">
        <v>2708.0</v>
      </c>
      <c r="C53" s="175" t="b">
        <f t="array" ref="C53">XLOOKUP(B53,SILOMS!T8:T41,SILOMS!G8:G41,FALSE)</f>
        <v>0</v>
      </c>
      <c r="D53" s="460">
        <v>78.75694444444444</v>
      </c>
      <c r="E53" s="493">
        <f t="shared" si="1"/>
        <v>1109.833333</v>
      </c>
      <c r="F53" s="358" t="str">
        <f t="shared" si="2"/>
        <v>HSI</v>
      </c>
      <c r="G53" s="358">
        <f t="shared" si="3"/>
        <v>51.94964539</v>
      </c>
      <c r="H53" s="148" t="s">
        <v>437</v>
      </c>
    </row>
    <row r="54">
      <c r="A54" s="148" t="s">
        <v>132</v>
      </c>
      <c r="B54" s="148">
        <v>2709.0</v>
      </c>
      <c r="C54" s="175" t="str">
        <f t="array" ref="C54">XLOOKUP(B54,SILOMS!T9:T42,SILOMS!G9:G42,FALSE)</f>
        <v>6ETA</v>
      </c>
      <c r="D54" s="460">
        <v>103.09375</v>
      </c>
      <c r="E54" s="493">
        <f t="shared" si="1"/>
        <v>525.75</v>
      </c>
      <c r="F54" s="358" t="str">
        <f t="shared" si="2"/>
        <v>HSI</v>
      </c>
      <c r="G54" s="358">
        <f t="shared" si="3"/>
        <v>24.60957447</v>
      </c>
      <c r="H54" s="148" t="s">
        <v>437</v>
      </c>
    </row>
    <row r="55">
      <c r="A55" s="148" t="s">
        <v>76</v>
      </c>
      <c r="B55" s="148">
        <v>2723.0</v>
      </c>
      <c r="C55" s="175" t="str">
        <f t="array" ref="C55">XLOOKUP(B55,SILOMS!T10:T43,SILOMS!G10:G43,FALSE)</f>
        <v>CLA</v>
      </c>
      <c r="D55" s="460">
        <v>103.59722222222223</v>
      </c>
      <c r="E55" s="493">
        <f t="shared" si="1"/>
        <v>513.6666667</v>
      </c>
      <c r="F55" s="358" t="str">
        <f t="shared" si="2"/>
        <v>HSI</v>
      </c>
      <c r="G55" s="358">
        <f t="shared" si="3"/>
        <v>24.04397163</v>
      </c>
      <c r="H55" s="148" t="s">
        <v>437</v>
      </c>
    </row>
    <row r="56">
      <c r="A56" s="148" t="s">
        <v>144</v>
      </c>
      <c r="B56" s="148">
        <v>2729.0</v>
      </c>
      <c r="C56" s="175" t="str">
        <f t="array" ref="C56">XLOOKUP(B56,SILOMS!T11:T44,SILOMS!G11:G44,FALSE)</f>
        <v>1/5GAV</v>
      </c>
      <c r="D56" s="460">
        <v>104.21180555555556</v>
      </c>
      <c r="E56" s="493">
        <f t="shared" si="1"/>
        <v>498.9166667</v>
      </c>
      <c r="F56" s="358" t="str">
        <f t="shared" si="2"/>
        <v>HSI</v>
      </c>
      <c r="G56" s="358">
        <f t="shared" si="3"/>
        <v>23.3535461</v>
      </c>
      <c r="H56" s="148" t="s">
        <v>437</v>
      </c>
    </row>
    <row r="57">
      <c r="A57" s="148" t="s">
        <v>98</v>
      </c>
      <c r="B57" s="148">
        <v>2740.0</v>
      </c>
      <c r="C57" s="175" t="str">
        <f t="array" ref="C57">XLOOKUP(B57,SILOMS!T12:T45,SILOMS!G12:G45,FALSE)</f>
        <v>PAMASP</v>
      </c>
      <c r="D57" s="460">
        <v>109.55208333333333</v>
      </c>
      <c r="E57" s="493">
        <f t="shared" si="1"/>
        <v>370.75</v>
      </c>
      <c r="F57" s="358" t="str">
        <f t="shared" si="2"/>
        <v>HSI</v>
      </c>
      <c r="G57" s="358">
        <f t="shared" si="3"/>
        <v>17.35425532</v>
      </c>
      <c r="H57" s="148" t="s">
        <v>437</v>
      </c>
    </row>
    <row r="58">
      <c r="A58" s="148" t="s">
        <v>133</v>
      </c>
      <c r="B58" s="148">
        <v>2720.0</v>
      </c>
      <c r="C58" s="175" t="str">
        <f t="array" ref="C58">XLOOKUP(B58,SILOMS!T13:T46,SILOMS!G13:G46,FALSE)</f>
        <v>6ETA</v>
      </c>
      <c r="D58" s="460">
        <v>116.12847222222223</v>
      </c>
      <c r="E58" s="493">
        <f t="shared" si="1"/>
        <v>212.9166667</v>
      </c>
      <c r="F58" s="358" t="str">
        <f t="shared" si="2"/>
        <v>HSI</v>
      </c>
      <c r="G58" s="358">
        <f t="shared" si="3"/>
        <v>9.966312057</v>
      </c>
      <c r="H58" s="148" t="s">
        <v>437</v>
      </c>
    </row>
    <row r="59">
      <c r="A59" s="148" t="s">
        <v>160</v>
      </c>
      <c r="B59" s="148">
        <v>2741.0</v>
      </c>
      <c r="C59" s="175" t="str">
        <f t="array" ref="C59">XLOOKUP(B59,SILOMS!T14:T47,SILOMS!G14:G47,FALSE)</f>
        <v>7ETA</v>
      </c>
      <c r="D59" s="460">
        <v>127.19097222222223</v>
      </c>
      <c r="E59" s="493">
        <f t="shared" si="1"/>
        <v>947.4166667</v>
      </c>
      <c r="F59" s="358" t="str">
        <f t="shared" si="2"/>
        <v>TBO</v>
      </c>
      <c r="G59" s="358">
        <f t="shared" si="3"/>
        <v>44.34716312</v>
      </c>
      <c r="H59" s="148" t="s">
        <v>437</v>
      </c>
    </row>
    <row r="60">
      <c r="A60" s="148" t="s">
        <v>101</v>
      </c>
      <c r="B60" s="148">
        <v>2736.0</v>
      </c>
      <c r="C60" s="175" t="str">
        <f t="array" ref="C60">XLOOKUP(B60,SILOMS!T15:T48,SILOMS!G15:G48,FALSE)</f>
        <v>PAMASP</v>
      </c>
      <c r="D60" s="460">
        <v>141.17708333333334</v>
      </c>
      <c r="E60" s="493">
        <f t="shared" si="1"/>
        <v>611.75</v>
      </c>
      <c r="F60" s="358" t="str">
        <f t="shared" si="2"/>
        <v>TBO</v>
      </c>
      <c r="G60" s="358">
        <f t="shared" si="3"/>
        <v>28.63510638</v>
      </c>
      <c r="H60" s="148" t="s">
        <v>437</v>
      </c>
    </row>
    <row r="61">
      <c r="A61" s="148" t="s">
        <v>125</v>
      </c>
      <c r="B61" s="148">
        <v>2722.0</v>
      </c>
      <c r="C61" s="175" t="str">
        <f t="array" ref="C61">XLOOKUP(B61,SILOMS!T16:T49,SILOMS!G16:G49,FALSE)</f>
        <v>2ETA</v>
      </c>
      <c r="D61" s="460">
        <v>149.60763888888889</v>
      </c>
      <c r="E61" s="493">
        <f t="shared" si="1"/>
        <v>409.4166667</v>
      </c>
      <c r="F61" s="358" t="str">
        <f t="shared" si="2"/>
        <v>TBO</v>
      </c>
      <c r="G61" s="358">
        <f t="shared" si="3"/>
        <v>19.1641844</v>
      </c>
      <c r="H61" s="148" t="s">
        <v>437</v>
      </c>
    </row>
    <row r="62">
      <c r="A62" s="148" t="s">
        <v>21</v>
      </c>
      <c r="B62" s="148">
        <v>2737.0</v>
      </c>
      <c r="C62" s="175" t="str">
        <f t="array" ref="C62">XLOOKUP(B62,SILOMS!T17:T50,SILOMS!G17:G50,FALSE)</f>
        <v>7ETA</v>
      </c>
      <c r="D62" s="460">
        <v>151.28472222222223</v>
      </c>
      <c r="E62" s="493">
        <f t="shared" si="1"/>
        <v>369.1666667</v>
      </c>
      <c r="F62" s="358" t="str">
        <f t="shared" si="2"/>
        <v>TBO</v>
      </c>
      <c r="G62" s="358">
        <f t="shared" si="3"/>
        <v>17.28014184</v>
      </c>
      <c r="H62" s="148" t="s">
        <v>437</v>
      </c>
      <c r="J62" s="349" t="s">
        <v>464</v>
      </c>
    </row>
    <row r="63">
      <c r="A63" s="150" t="s">
        <v>74</v>
      </c>
      <c r="B63" s="148">
        <v>2703.0</v>
      </c>
      <c r="C63" s="175" t="b">
        <f t="array" ref="C63">XLOOKUP(B63,SILOMS!T18:T51,SILOMS!G18:G51,FALSE)</f>
        <v>0</v>
      </c>
      <c r="D63" s="460">
        <v>158.89583333333334</v>
      </c>
      <c r="E63" s="493">
        <f t="shared" si="1"/>
        <v>186.5</v>
      </c>
      <c r="F63" s="358" t="str">
        <f t="shared" si="2"/>
        <v>TBO</v>
      </c>
      <c r="G63" s="358">
        <f t="shared" si="3"/>
        <v>8.729787234</v>
      </c>
      <c r="H63" s="148" t="s">
        <v>437</v>
      </c>
      <c r="I63" s="349">
        <v>-100.0</v>
      </c>
      <c r="J63" s="501">
        <f t="shared" ref="J63:J67" si="4">D63*24+I63</f>
        <v>3713.5</v>
      </c>
      <c r="K63" s="349">
        <v>4000.0</v>
      </c>
    </row>
    <row r="64">
      <c r="A64" s="150" t="s">
        <v>113</v>
      </c>
      <c r="B64" s="148">
        <v>2743.0</v>
      </c>
      <c r="C64" s="175" t="str">
        <f t="array" ref="C64">XLOOKUP(B64,SILOMS!T19:T52,SILOMS!G19:G52,FALSE)</f>
        <v>5ETA</v>
      </c>
      <c r="D64" s="460">
        <v>159.35416666666666</v>
      </c>
      <c r="E64" s="493">
        <f t="shared" si="1"/>
        <v>175.5</v>
      </c>
      <c r="F64" s="358" t="str">
        <f t="shared" si="2"/>
        <v>TBO</v>
      </c>
      <c r="G64" s="358">
        <f t="shared" si="3"/>
        <v>8.214893617</v>
      </c>
      <c r="H64" s="148" t="s">
        <v>437</v>
      </c>
      <c r="I64" s="349">
        <v>-157.0</v>
      </c>
      <c r="J64" s="501">
        <f t="shared" si="4"/>
        <v>3667.5</v>
      </c>
      <c r="K64" s="349">
        <v>4000.0</v>
      </c>
    </row>
    <row r="65">
      <c r="A65" s="150" t="s">
        <v>59</v>
      </c>
      <c r="B65" s="148">
        <v>2738.0</v>
      </c>
      <c r="C65" s="175" t="str">
        <f t="array" ref="C65">XLOOKUP(B65,SILOMS!T20:T62,SILOMS!G20:G53,FALSE)</f>
        <v>#N/A</v>
      </c>
      <c r="D65" s="460">
        <v>161.89583333333334</v>
      </c>
      <c r="E65" s="493">
        <f t="shared" si="1"/>
        <v>114.5</v>
      </c>
      <c r="F65" s="358" t="str">
        <f t="shared" si="2"/>
        <v>TBO</v>
      </c>
      <c r="G65" s="358">
        <f t="shared" si="3"/>
        <v>5.359574468</v>
      </c>
      <c r="H65" s="148" t="s">
        <v>437</v>
      </c>
      <c r="I65" s="349">
        <v>-146.0</v>
      </c>
      <c r="J65" s="501">
        <f t="shared" si="4"/>
        <v>3739.5</v>
      </c>
      <c r="K65" s="349">
        <v>4000.0</v>
      </c>
    </row>
    <row r="66">
      <c r="A66" s="150" t="s">
        <v>90</v>
      </c>
      <c r="B66" s="148">
        <v>2733.0</v>
      </c>
      <c r="C66" s="175" t="b">
        <f t="array" ref="C66">XLOOKUP(B66,SILOMS!T21:T54,SILOMS!G21:G54,FALSE)</f>
        <v>0</v>
      </c>
      <c r="D66" s="460">
        <v>163.96527777777777</v>
      </c>
      <c r="E66" s="493">
        <f t="shared" si="1"/>
        <v>64.83333333</v>
      </c>
      <c r="F66" s="358" t="str">
        <f t="shared" si="2"/>
        <v>TBO</v>
      </c>
      <c r="G66" s="358">
        <f t="shared" si="3"/>
        <v>3.034751773</v>
      </c>
      <c r="H66" s="148" t="s">
        <v>466</v>
      </c>
      <c r="I66" s="349">
        <v>-474.0</v>
      </c>
      <c r="J66" s="501">
        <f t="shared" si="4"/>
        <v>3461.166667</v>
      </c>
      <c r="K66" s="503">
        <v>4200.0</v>
      </c>
    </row>
    <row r="67">
      <c r="A67" s="150" t="s">
        <v>81</v>
      </c>
      <c r="B67" s="148">
        <v>2719.0</v>
      </c>
      <c r="C67" s="175" t="b">
        <f t="array" ref="C67">XLOOKUP(B67,SILOMS!T22:T55,SILOMS!G22:G55,FALSE)</f>
        <v>0</v>
      </c>
      <c r="D67" s="460">
        <v>172.875</v>
      </c>
      <c r="E67" s="493">
        <f t="shared" si="1"/>
        <v>-149</v>
      </c>
      <c r="F67" s="358" t="str">
        <f t="shared" si="2"/>
        <v>TBO_VENC</v>
      </c>
      <c r="G67" s="358">
        <f t="shared" si="3"/>
        <v>-6.974468085</v>
      </c>
      <c r="H67" s="148" t="s">
        <v>466</v>
      </c>
      <c r="I67" s="349">
        <v>-359.0</v>
      </c>
      <c r="J67" s="501">
        <f t="shared" si="4"/>
        <v>3790</v>
      </c>
      <c r="K67" s="503">
        <v>4200.0</v>
      </c>
      <c r="L67" s="349" t="s">
        <v>467</v>
      </c>
    </row>
    <row r="68">
      <c r="A68" s="148" t="s">
        <v>152</v>
      </c>
      <c r="B68" s="148">
        <v>2731.0</v>
      </c>
      <c r="C68" s="175" t="str">
        <f t="array" ref="C68">XLOOKUP(B68,SILOMS!T23:T56,SILOMS!G23:G56,FALSE)</f>
        <v>PAMASP</v>
      </c>
      <c r="D68" s="460">
        <v>191.38888888888889</v>
      </c>
      <c r="E68" s="493">
        <f t="shared" si="1"/>
        <v>-593.3333333</v>
      </c>
      <c r="F68" s="358" t="str">
        <f t="shared" si="2"/>
        <v>TBO_VENC</v>
      </c>
      <c r="G68" s="358">
        <f t="shared" si="3"/>
        <v>-27.77304965</v>
      </c>
      <c r="H68" s="148" t="s">
        <v>466</v>
      </c>
    </row>
    <row r="69">
      <c r="A69" s="148" t="s">
        <v>95</v>
      </c>
      <c r="B69" s="148">
        <v>2704.0</v>
      </c>
      <c r="C69" s="175" t="str">
        <f t="array" ref="C69">XLOOKUP(B69,SILOMS!T24:T57,SILOMS!G24:G57,FALSE)</f>
        <v>PAMALS</v>
      </c>
      <c r="D69" s="460">
        <v>196.43055555555554</v>
      </c>
      <c r="E69" s="493">
        <f t="shared" si="1"/>
        <v>-714.3333333</v>
      </c>
      <c r="F69" s="358" t="str">
        <f t="shared" si="2"/>
        <v>TBO_VENC</v>
      </c>
      <c r="G69" s="358">
        <f t="shared" si="3"/>
        <v>-33.43687943</v>
      </c>
      <c r="H69" s="148" t="s">
        <v>466</v>
      </c>
    </row>
    <row r="70">
      <c r="A70" s="148" t="s">
        <v>65</v>
      </c>
      <c r="B70" s="148">
        <v>2702.0</v>
      </c>
      <c r="C70" s="175" t="str">
        <f t="array" ref="C70">XLOOKUP(B70,SILOMS!T25:T58,SILOMS!G25:G58,FALSE)</f>
        <v>1/5GAV</v>
      </c>
      <c r="D70" s="460">
        <v>211.54166666666666</v>
      </c>
      <c r="E70" s="493">
        <f t="shared" si="1"/>
        <v>-1077</v>
      </c>
      <c r="F70" s="358" t="str">
        <f t="shared" si="2"/>
        <v>TBO_VENC</v>
      </c>
      <c r="G70" s="358">
        <f t="shared" si="3"/>
        <v>-50.41276596</v>
      </c>
      <c r="H70" s="148" t="s">
        <v>466</v>
      </c>
    </row>
    <row r="71">
      <c r="A71" s="148" t="s">
        <v>140</v>
      </c>
      <c r="B71" s="148">
        <v>2727.0</v>
      </c>
      <c r="C71" s="175" t="b">
        <f t="array" ref="C71">XLOOKUP(B71,SILOMS!T26:T59,SILOMS!G26:G59,FALSE)</f>
        <v>0</v>
      </c>
      <c r="D71" s="460">
        <v>212.85763888888889</v>
      </c>
      <c r="E71" s="493">
        <f t="shared" si="1"/>
        <v>-1108.583333</v>
      </c>
      <c r="F71" s="358" t="str">
        <f t="shared" si="2"/>
        <v>TBO_VENC</v>
      </c>
      <c r="G71" s="358">
        <f t="shared" si="3"/>
        <v>-51.89113475</v>
      </c>
      <c r="H71" s="148" t="s">
        <v>466</v>
      </c>
    </row>
    <row r="72">
      <c r="A72" s="148" t="s">
        <v>163</v>
      </c>
      <c r="B72" s="148">
        <v>2742.0</v>
      </c>
      <c r="C72" s="175" t="str">
        <f t="array" ref="C72">XLOOKUP(B72,SILOMS!T27:T60,SILOMS!G27:G60,FALSE)</f>
        <v>PAMASP</v>
      </c>
      <c r="D72" s="460">
        <v>221.63888888888889</v>
      </c>
      <c r="E72" s="493">
        <f t="shared" si="1"/>
        <v>-1319.333333</v>
      </c>
      <c r="F72" s="358" t="str">
        <f t="shared" si="2"/>
        <v>TBO_VENC</v>
      </c>
      <c r="G72" s="358">
        <f t="shared" si="3"/>
        <v>-61.75602837</v>
      </c>
      <c r="H72" s="148" t="s">
        <v>466</v>
      </c>
    </row>
    <row r="81">
      <c r="A81" s="148"/>
      <c r="B81" s="148"/>
      <c r="C81" s="148"/>
      <c r="D81" s="491" t="s">
        <v>469</v>
      </c>
      <c r="E81" s="148" t="s">
        <v>51</v>
      </c>
      <c r="F81" s="148" t="s">
        <v>470</v>
      </c>
      <c r="G81" s="491" t="s">
        <v>471</v>
      </c>
      <c r="H81" s="491" t="s">
        <v>20</v>
      </c>
    </row>
    <row r="82">
      <c r="A82" s="148" t="s">
        <v>243</v>
      </c>
      <c r="B82" s="148" t="s">
        <v>74</v>
      </c>
      <c r="C82" s="148">
        <v>2703.0</v>
      </c>
      <c r="D82" s="148">
        <v>3750.0</v>
      </c>
      <c r="E82" s="148">
        <v>4000.0</v>
      </c>
      <c r="F82" s="460">
        <v>158.89583333333334</v>
      </c>
      <c r="G82" s="504">
        <f t="shared" ref="G82:G86" si="5">E82-F82*24</f>
        <v>186.5</v>
      </c>
      <c r="H82" s="505" t="s">
        <v>472</v>
      </c>
    </row>
    <row r="83">
      <c r="A83" s="148" t="s">
        <v>169</v>
      </c>
      <c r="B83" s="148" t="s">
        <v>113</v>
      </c>
      <c r="C83" s="148">
        <v>2743.0</v>
      </c>
      <c r="D83" s="148">
        <v>3790.0</v>
      </c>
      <c r="E83" s="148">
        <v>4000.0</v>
      </c>
      <c r="F83" s="460">
        <v>159.35416666666666</v>
      </c>
      <c r="G83" s="506">
        <f t="shared" si="5"/>
        <v>175.5</v>
      </c>
      <c r="H83" s="491" t="s">
        <v>474</v>
      </c>
    </row>
    <row r="84">
      <c r="A84" s="148" t="s">
        <v>360</v>
      </c>
      <c r="B84" s="148" t="s">
        <v>59</v>
      </c>
      <c r="C84" s="148">
        <v>2738.0</v>
      </c>
      <c r="D84" s="148">
        <v>3650.0</v>
      </c>
      <c r="E84" s="148">
        <v>4000.0</v>
      </c>
      <c r="F84" s="460">
        <v>161.89583333333334</v>
      </c>
      <c r="G84" s="506">
        <f t="shared" si="5"/>
        <v>114.5</v>
      </c>
      <c r="H84" s="491" t="s">
        <v>475</v>
      </c>
    </row>
    <row r="85">
      <c r="A85" s="148" t="s">
        <v>110</v>
      </c>
      <c r="B85" s="148" t="s">
        <v>90</v>
      </c>
      <c r="C85" s="148">
        <v>2733.0</v>
      </c>
      <c r="D85" s="148">
        <v>3890.0</v>
      </c>
      <c r="E85" s="148">
        <v>4200.0</v>
      </c>
      <c r="F85" s="460">
        <v>163.96527777777777</v>
      </c>
      <c r="G85" s="506">
        <f t="shared" si="5"/>
        <v>264.8333333</v>
      </c>
      <c r="H85" s="491" t="s">
        <v>476</v>
      </c>
    </row>
    <row r="86">
      <c r="A86" s="148" t="s">
        <v>79</v>
      </c>
      <c r="B86" s="148" t="s">
        <v>81</v>
      </c>
      <c r="C86" s="148">
        <v>2719.0</v>
      </c>
      <c r="D86" s="148">
        <v>3850.0</v>
      </c>
      <c r="E86" s="148">
        <v>4200.0</v>
      </c>
      <c r="F86" s="460">
        <v>172.875</v>
      </c>
      <c r="G86" s="511">
        <f t="shared" si="5"/>
        <v>51</v>
      </c>
      <c r="H86" s="491" t="s">
        <v>478</v>
      </c>
    </row>
    <row r="91">
      <c r="H91" s="513" t="s">
        <v>479</v>
      </c>
    </row>
    <row r="93">
      <c r="I93" s="515" t="s">
        <v>480</v>
      </c>
      <c r="J93" s="173"/>
    </row>
    <row r="94">
      <c r="I94" s="517" t="s">
        <v>481</v>
      </c>
      <c r="J94" s="216"/>
    </row>
    <row r="95">
      <c r="I95" s="517" t="s">
        <v>482</v>
      </c>
      <c r="J95" s="216"/>
    </row>
    <row r="96">
      <c r="I96" s="517" t="s">
        <v>483</v>
      </c>
      <c r="J96" s="216"/>
    </row>
    <row r="97">
      <c r="I97" s="517" t="s">
        <v>485</v>
      </c>
      <c r="J97" s="216"/>
    </row>
    <row r="98">
      <c r="I98" s="517" t="s">
        <v>486</v>
      </c>
      <c r="J98" s="2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