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Practices\"/>
    </mc:Choice>
  </mc:AlternateContent>
  <xr:revisionPtr revIDLastSave="0" documentId="13_ncr:1_{8219A3D9-656E-437B-B9E3-65D1DB4DC6B0}" xr6:coauthVersionLast="46" xr6:coauthVersionMax="46" xr10:uidLastSave="{00000000-0000-0000-0000-000000000000}"/>
  <bookViews>
    <workbookView xWindow="-120" yWindow="-120" windowWidth="29040" windowHeight="15840" firstSheet="7" activeTab="8" xr2:uid="{00000000-000D-0000-FFFF-FFFF00000000}"/>
  </bookViews>
  <sheets>
    <sheet name="Q1) Budget" sheetId="3" r:id="rId1"/>
    <sheet name="Q2) Space (W)" sheetId="4" r:id="rId2"/>
    <sheet name="Q3.1)No Aggregation" sheetId="5" r:id="rId3"/>
    <sheet name="Q3.2)Complete Aggregation" sheetId="6" r:id="rId4"/>
    <sheet name="Q4.1)No Aggregation" sheetId="8" r:id="rId5"/>
    <sheet name="Q4.2)Complete Aggregation" sheetId="9" r:id="rId6"/>
    <sheet name="Q5.1)No Aggregation " sheetId="10" r:id="rId7"/>
    <sheet name="Q5.2)Complete Aggregation " sheetId="11" r:id="rId8"/>
    <sheet name="Q5.3)Tailored Aggregation" sheetId="13" r:id="rId9"/>
    <sheet name="Q6.1)No Aggregation  " sheetId="14" r:id="rId10"/>
    <sheet name="Q6.2)Complete Aggregation  " sheetId="15" r:id="rId11"/>
    <sheet name="Q6.3)Tailored Aggregation " sheetId="16" r:id="rId12"/>
  </sheets>
  <definedNames>
    <definedName name="solver_adj" localSheetId="0" hidden="1">'Q1) Budget'!$D$31</definedName>
    <definedName name="solver_adj" localSheetId="1" hidden="1">'Q2) Space (W)'!$D$34</definedName>
    <definedName name="solver_adj" localSheetId="8" hidden="1">'Q5.3)Tailored Aggregation'!$F$22,'Q5.3)Tailored Aggregation'!$G$23:$H$23</definedName>
    <definedName name="solver_adj" localSheetId="11" hidden="1">'Q6.3)Tailored Aggregation '!$F$22,'Q6.3)Tailored Aggregation '!$G$23:$I$23</definedName>
    <definedName name="solver_cvg" localSheetId="0" hidden="1">0.0001</definedName>
    <definedName name="solver_cvg" localSheetId="8" hidden="1">0.0001</definedName>
    <definedName name="solver_cvg" localSheetId="11" hidden="1">0.0001</definedName>
    <definedName name="solver_drv" localSheetId="0" hidden="1">1</definedName>
    <definedName name="solver_drv" localSheetId="8" hidden="1">1</definedName>
    <definedName name="solver_drv" localSheetId="11" hidden="1">1</definedName>
    <definedName name="solver_eng" localSheetId="0" hidden="1">3</definedName>
    <definedName name="solver_eng" localSheetId="1" hidden="1">1</definedName>
    <definedName name="solver_eng" localSheetId="8" hidden="1">3</definedName>
    <definedName name="solver_eng" localSheetId="11" hidden="1">3</definedName>
    <definedName name="solver_est" localSheetId="0" hidden="1">1</definedName>
    <definedName name="solver_est" localSheetId="8" hidden="1">1</definedName>
    <definedName name="solver_est" localSheetId="11" hidden="1">1</definedName>
    <definedName name="solver_itr" localSheetId="0" hidden="1">2147483647</definedName>
    <definedName name="solver_itr" localSheetId="8" hidden="1">2147483647</definedName>
    <definedName name="solver_itr" localSheetId="11" hidden="1">2147483647</definedName>
    <definedName name="solver_lhs1" localSheetId="0" hidden="1">'Q1) Budget'!$D$31</definedName>
    <definedName name="solver_lhs1" localSheetId="1" hidden="1">'Q2) Space (W)'!$D$34</definedName>
    <definedName name="solver_lhs1" localSheetId="8" hidden="1">'Q5.3)Tailored Aggregation'!$F$22</definedName>
    <definedName name="solver_lhs1" localSheetId="11" hidden="1">'Q6.3)Tailored Aggregation '!$F$22</definedName>
    <definedName name="solver_lhs2" localSheetId="0" hidden="1">'Q1) Budget'!$D$31</definedName>
    <definedName name="solver_lhs2" localSheetId="1" hidden="1">'Q2) Space (W)'!$D$34</definedName>
    <definedName name="solver_lhs2" localSheetId="8" hidden="1">'Q5.3)Tailored Aggregation'!$F$22</definedName>
    <definedName name="solver_lhs2" localSheetId="11" hidden="1">'Q6.3)Tailored Aggregation '!$F$22</definedName>
    <definedName name="solver_lhs3" localSheetId="0" hidden="1">'Q1) Budget'!$H$31</definedName>
    <definedName name="solver_lhs3" localSheetId="1" hidden="1">'Q2) Space (W)'!$H$34</definedName>
    <definedName name="solver_lhs3" localSheetId="8" hidden="1">'Q5.3)Tailored Aggregation'!$G$23:$H$23</definedName>
    <definedName name="solver_lhs3" localSheetId="11" hidden="1">'Q6.3)Tailored Aggregation '!$G$23:$I$23</definedName>
    <definedName name="solver_lhs4" localSheetId="8" hidden="1">'Q5.3)Tailored Aggregation'!$G$23:$H$23</definedName>
    <definedName name="solver_lhs4" localSheetId="11" hidden="1">'Q6.3)Tailored Aggregation '!$G$23:$I$23</definedName>
    <definedName name="solver_lhs5" localSheetId="11" hidden="1">'Q6.3)Tailored Aggregation '!$G$23:$I$23</definedName>
    <definedName name="solver_mip" localSheetId="0" hidden="1">2147483647</definedName>
    <definedName name="solver_mip" localSheetId="8" hidden="1">2147483647</definedName>
    <definedName name="solver_mip" localSheetId="11" hidden="1">2147483647</definedName>
    <definedName name="solver_mni" localSheetId="0" hidden="1">30</definedName>
    <definedName name="solver_mni" localSheetId="8" hidden="1">30</definedName>
    <definedName name="solver_mni" localSheetId="11" hidden="1">30</definedName>
    <definedName name="solver_mrt" localSheetId="0" hidden="1">0.075</definedName>
    <definedName name="solver_mrt" localSheetId="8" hidden="1">0.075</definedName>
    <definedName name="solver_mrt" localSheetId="11" hidden="1">0.075</definedName>
    <definedName name="solver_msl" localSheetId="0" hidden="1">2</definedName>
    <definedName name="solver_msl" localSheetId="8" hidden="1">2</definedName>
    <definedName name="solver_msl" localSheetId="11" hidden="1">2</definedName>
    <definedName name="solver_neg" localSheetId="0" hidden="1">1</definedName>
    <definedName name="solver_neg" localSheetId="1" hidden="1">1</definedName>
    <definedName name="solver_neg" localSheetId="8" hidden="1">1</definedName>
    <definedName name="solver_neg" localSheetId="11" hidden="1">1</definedName>
    <definedName name="solver_nod" localSheetId="0" hidden="1">2147483647</definedName>
    <definedName name="solver_nod" localSheetId="8" hidden="1">2147483647</definedName>
    <definedName name="solver_nod" localSheetId="11" hidden="1">2147483647</definedName>
    <definedName name="solver_num" localSheetId="0" hidden="1">3</definedName>
    <definedName name="solver_num" localSheetId="1" hidden="1">3</definedName>
    <definedName name="solver_num" localSheetId="8" hidden="1">4</definedName>
    <definedName name="solver_num" localSheetId="11" hidden="1">5</definedName>
    <definedName name="solver_nwt" localSheetId="0" hidden="1">1</definedName>
    <definedName name="solver_nwt" localSheetId="8" hidden="1">1</definedName>
    <definedName name="solver_nwt" localSheetId="11" hidden="1">1</definedName>
    <definedName name="solver_opt" localSheetId="0" hidden="1">'Q1) Budget'!$H$31</definedName>
    <definedName name="solver_opt" localSheetId="1" hidden="1">'Q2) Space (W)'!$H$34</definedName>
    <definedName name="solver_opt" localSheetId="8" hidden="1">'Q5.3)Tailored Aggregation'!$F$28</definedName>
    <definedName name="solver_opt" localSheetId="11" hidden="1">'Q6.3)Tailored Aggregation '!$F$28</definedName>
    <definedName name="solver_pre" localSheetId="0" hidden="1">0.000001</definedName>
    <definedName name="solver_pre" localSheetId="8" hidden="1">0.000001</definedName>
    <definedName name="solver_pre" localSheetId="11" hidden="1">0.000001</definedName>
    <definedName name="solver_rbv" localSheetId="0" hidden="1">1</definedName>
    <definedName name="solver_rbv" localSheetId="8" hidden="1">1</definedName>
    <definedName name="solver_rbv" localSheetId="11" hidden="1">1</definedName>
    <definedName name="solver_rel1" localSheetId="0" hidden="1">1</definedName>
    <definedName name="solver_rel1" localSheetId="1" hidden="1">1</definedName>
    <definedName name="solver_rel1" localSheetId="8" hidden="1">1</definedName>
    <definedName name="solver_rel1" localSheetId="11" hidden="1">1</definedName>
    <definedName name="solver_rel2" localSheetId="0" hidden="1">3</definedName>
    <definedName name="solver_rel2" localSheetId="1" hidden="1">3</definedName>
    <definedName name="solver_rel2" localSheetId="8" hidden="1">3</definedName>
    <definedName name="solver_rel2" localSheetId="11" hidden="1">3</definedName>
    <definedName name="solver_rel3" localSheetId="0" hidden="1">1</definedName>
    <definedName name="solver_rel3" localSheetId="1" hidden="1">1</definedName>
    <definedName name="solver_rel3" localSheetId="8" hidden="1">1</definedName>
    <definedName name="solver_rel3" localSheetId="11" hidden="1">1</definedName>
    <definedName name="solver_rel4" localSheetId="8" hidden="1">4</definedName>
    <definedName name="solver_rel4" localSheetId="11" hidden="1">4</definedName>
    <definedName name="solver_rel5" localSheetId="11" hidden="1">3</definedName>
    <definedName name="solver_rhs1" localSheetId="0" hidden="1">1</definedName>
    <definedName name="solver_rhs1" localSheetId="1" hidden="1">1</definedName>
    <definedName name="solver_rhs1" localSheetId="8" hidden="1">30</definedName>
    <definedName name="solver_rhs1" localSheetId="11" hidden="1">30</definedName>
    <definedName name="solver_rhs2" localSheetId="0" hidden="1">0</definedName>
    <definedName name="solver_rhs2" localSheetId="1" hidden="1">0</definedName>
    <definedName name="solver_rhs2" localSheetId="8" hidden="1">0</definedName>
    <definedName name="solver_rhs2" localSheetId="11" hidden="1">0</definedName>
    <definedName name="solver_rhs3" localSheetId="0" hidden="1">'Q1) Budget'!$F$11</definedName>
    <definedName name="solver_rhs3" localSheetId="1" hidden="1">'Q2) Space (W)'!$F$12</definedName>
    <definedName name="solver_rhs3" localSheetId="8" hidden="1">30</definedName>
    <definedName name="solver_rhs3" localSheetId="11" hidden="1">30</definedName>
    <definedName name="solver_rhs4" localSheetId="8" hidden="1">"integer"</definedName>
    <definedName name="solver_rhs4" localSheetId="11" hidden="1">"integer"</definedName>
    <definedName name="solver_rhs5" localSheetId="11" hidden="1">0</definedName>
    <definedName name="solver_rlx" localSheetId="0" hidden="1">2</definedName>
    <definedName name="solver_rlx" localSheetId="8" hidden="1">2</definedName>
    <definedName name="solver_rlx" localSheetId="11" hidden="1">2</definedName>
    <definedName name="solver_rsd" localSheetId="0" hidden="1">0</definedName>
    <definedName name="solver_rsd" localSheetId="8" hidden="1">0</definedName>
    <definedName name="solver_rsd" localSheetId="11" hidden="1">0</definedName>
    <definedName name="solver_scl" localSheetId="0" hidden="1">1</definedName>
    <definedName name="solver_scl" localSheetId="8" hidden="1">1</definedName>
    <definedName name="solver_scl" localSheetId="11" hidden="1">1</definedName>
    <definedName name="solver_sho" localSheetId="0" hidden="1">2</definedName>
    <definedName name="solver_sho" localSheetId="8" hidden="1">2</definedName>
    <definedName name="solver_sho" localSheetId="11" hidden="1">2</definedName>
    <definedName name="solver_ssz" localSheetId="0" hidden="1">100</definedName>
    <definedName name="solver_ssz" localSheetId="8" hidden="1">100</definedName>
    <definedName name="solver_ssz" localSheetId="11" hidden="1">100</definedName>
    <definedName name="solver_tim" localSheetId="0" hidden="1">2147483647</definedName>
    <definedName name="solver_tim" localSheetId="8" hidden="1">2147483647</definedName>
    <definedName name="solver_tim" localSheetId="11" hidden="1">2147483647</definedName>
    <definedName name="solver_tol" localSheetId="0" hidden="1">0.01</definedName>
    <definedName name="solver_tol" localSheetId="8" hidden="1">0.01</definedName>
    <definedName name="solver_tol" localSheetId="11" hidden="1">0.01</definedName>
    <definedName name="solver_typ" localSheetId="0" hidden="1">1</definedName>
    <definedName name="solver_typ" localSheetId="1" hidden="1">1</definedName>
    <definedName name="solver_typ" localSheetId="8" hidden="1">2</definedName>
    <definedName name="solver_typ" localSheetId="11" hidden="1">2</definedName>
    <definedName name="solver_val" localSheetId="0" hidden="1">0</definedName>
    <definedName name="solver_val" localSheetId="1" hidden="1">0</definedName>
    <definedName name="solver_val" localSheetId="8" hidden="1">0</definedName>
    <definedName name="solver_val" localSheetId="11" hidden="1">0</definedName>
    <definedName name="solver_ver" localSheetId="0" hidden="1">3</definedName>
    <definedName name="solver_ver" localSheetId="1" hidden="1">3</definedName>
    <definedName name="solver_ver" localSheetId="8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6" l="1"/>
  <c r="H15" i="16"/>
  <c r="G15" i="16"/>
  <c r="F15" i="16"/>
  <c r="F23" i="15"/>
  <c r="F24" i="14"/>
  <c r="F23" i="11"/>
  <c r="H21" i="13"/>
  <c r="F17" i="5"/>
  <c r="F14" i="5"/>
  <c r="F11" i="5"/>
  <c r="I8" i="5"/>
  <c r="F8" i="5"/>
  <c r="I27" i="16"/>
  <c r="I29" i="16" s="1"/>
  <c r="G27" i="16"/>
  <c r="H27" i="16"/>
  <c r="H29" i="16" s="1"/>
  <c r="G21" i="16"/>
  <c r="I21" i="16"/>
  <c r="H21" i="16"/>
  <c r="G11" i="16"/>
  <c r="I8" i="16"/>
  <c r="G11" i="15"/>
  <c r="I8" i="15"/>
  <c r="H8" i="15"/>
  <c r="G8" i="15"/>
  <c r="F8" i="15"/>
  <c r="G14" i="15" s="1"/>
  <c r="G19" i="15" s="1"/>
  <c r="I14" i="14"/>
  <c r="I15" i="14" s="1"/>
  <c r="I17" i="14" s="1"/>
  <c r="I11" i="14"/>
  <c r="I8" i="14"/>
  <c r="F21" i="16"/>
  <c r="H8" i="16"/>
  <c r="G8" i="16"/>
  <c r="F8" i="16"/>
  <c r="H11" i="14"/>
  <c r="G11" i="14"/>
  <c r="F11" i="14"/>
  <c r="H8" i="14"/>
  <c r="G8" i="14"/>
  <c r="F8" i="14"/>
  <c r="F15" i="13"/>
  <c r="H15" i="13"/>
  <c r="G15" i="13"/>
  <c r="F8" i="13"/>
  <c r="F27" i="13" s="1"/>
  <c r="H27" i="13"/>
  <c r="H29" i="13" s="1"/>
  <c r="G21" i="13"/>
  <c r="F21" i="13"/>
  <c r="G11" i="13"/>
  <c r="H8" i="13"/>
  <c r="G8" i="13"/>
  <c r="G27" i="13" s="1"/>
  <c r="G29" i="13" s="1"/>
  <c r="G11" i="11"/>
  <c r="H8" i="11"/>
  <c r="G8" i="11"/>
  <c r="F8" i="11"/>
  <c r="H11" i="10"/>
  <c r="G11" i="10"/>
  <c r="F11" i="10"/>
  <c r="H8" i="10"/>
  <c r="G8" i="10"/>
  <c r="F8" i="10"/>
  <c r="F31" i="8"/>
  <c r="G11" i="9"/>
  <c r="H8" i="9"/>
  <c r="G8" i="9"/>
  <c r="F8" i="9"/>
  <c r="G8" i="8"/>
  <c r="H8" i="8"/>
  <c r="F8" i="8"/>
  <c r="H11" i="8"/>
  <c r="G11" i="8"/>
  <c r="F11" i="8"/>
  <c r="G19" i="6"/>
  <c r="I16" i="6"/>
  <c r="I17" i="6" s="1"/>
  <c r="I18" i="6" s="1"/>
  <c r="J27" i="6"/>
  <c r="G11" i="6"/>
  <c r="G14" i="6" s="1"/>
  <c r="G8" i="6"/>
  <c r="H8" i="6"/>
  <c r="I8" i="6"/>
  <c r="F8" i="6"/>
  <c r="H8" i="5"/>
  <c r="U17" i="6"/>
  <c r="T17" i="6"/>
  <c r="S17" i="6"/>
  <c r="R17" i="6"/>
  <c r="U14" i="6"/>
  <c r="T14" i="6"/>
  <c r="S14" i="6"/>
  <c r="R14" i="6"/>
  <c r="G14" i="5"/>
  <c r="I15" i="5"/>
  <c r="I16" i="5"/>
  <c r="I17" i="5"/>
  <c r="I18" i="5"/>
  <c r="I19" i="5"/>
  <c r="I20" i="5"/>
  <c r="I14" i="5"/>
  <c r="H14" i="5"/>
  <c r="I11" i="5"/>
  <c r="H11" i="5"/>
  <c r="G8" i="5"/>
  <c r="G11" i="5"/>
  <c r="E17" i="4"/>
  <c r="E22" i="4" s="1"/>
  <c r="E16" i="4"/>
  <c r="E23" i="4"/>
  <c r="E18" i="4"/>
  <c r="E19" i="4"/>
  <c r="E24" i="4" s="1"/>
  <c r="H9" i="4"/>
  <c r="I9" i="4"/>
  <c r="G9" i="4"/>
  <c r="F9" i="4"/>
  <c r="G31" i="3"/>
  <c r="F31" i="3"/>
  <c r="H9" i="3"/>
  <c r="E17" i="3"/>
  <c r="E21" i="3" s="1"/>
  <c r="E19" i="3"/>
  <c r="E20" i="3"/>
  <c r="E16" i="3"/>
  <c r="G9" i="3"/>
  <c r="F9" i="3"/>
  <c r="E31" i="3" s="1"/>
  <c r="G29" i="16" l="1"/>
  <c r="I18" i="14"/>
  <c r="F27" i="16"/>
  <c r="F28" i="16" s="1"/>
  <c r="I16" i="15"/>
  <c r="I17" i="15" s="1"/>
  <c r="I18" i="15" s="1"/>
  <c r="I16" i="14"/>
  <c r="I19" i="14"/>
  <c r="I20" i="14" s="1"/>
  <c r="F14" i="14"/>
  <c r="F18" i="14" s="1"/>
  <c r="G14" i="14"/>
  <c r="G18" i="14" s="1"/>
  <c r="H14" i="14"/>
  <c r="F29" i="13"/>
  <c r="F30" i="13" s="1"/>
  <c r="F28" i="13"/>
  <c r="F17" i="13"/>
  <c r="G14" i="11"/>
  <c r="G19" i="11" s="1"/>
  <c r="H14" i="10"/>
  <c r="F14" i="10"/>
  <c r="G14" i="10"/>
  <c r="G14" i="9"/>
  <c r="H16" i="9" s="1"/>
  <c r="H17" i="9" s="1"/>
  <c r="H18" i="9" s="1"/>
  <c r="F14" i="8"/>
  <c r="G14" i="8"/>
  <c r="H14" i="8"/>
  <c r="G19" i="5"/>
  <c r="G20" i="5" s="1"/>
  <c r="F19" i="5"/>
  <c r="F20" i="5" s="1"/>
  <c r="H19" i="5"/>
  <c r="H20" i="5" s="1"/>
  <c r="H15" i="5"/>
  <c r="H17" i="5" s="1"/>
  <c r="F15" i="5"/>
  <c r="H18" i="5"/>
  <c r="F18" i="5"/>
  <c r="F34" i="4"/>
  <c r="E34" i="4"/>
  <c r="E21" i="4"/>
  <c r="J21" i="4" s="1"/>
  <c r="H31" i="3"/>
  <c r="I19" i="3"/>
  <c r="F24" i="3" s="1"/>
  <c r="E36" i="3"/>
  <c r="E15" i="3"/>
  <c r="E35" i="3"/>
  <c r="F29" i="16" l="1"/>
  <c r="F30" i="16" s="1"/>
  <c r="F17" i="16"/>
  <c r="F16" i="15"/>
  <c r="F17" i="15" s="1"/>
  <c r="F18" i="15" s="1"/>
  <c r="G16" i="15"/>
  <c r="G17" i="15" s="1"/>
  <c r="G18" i="15" s="1"/>
  <c r="H16" i="15"/>
  <c r="H17" i="15" s="1"/>
  <c r="H18" i="15" s="1"/>
  <c r="H19" i="14"/>
  <c r="H20" i="14" s="1"/>
  <c r="H15" i="14"/>
  <c r="H17" i="14" s="1"/>
  <c r="G19" i="14"/>
  <c r="G20" i="14" s="1"/>
  <c r="G15" i="14"/>
  <c r="F19" i="14"/>
  <c r="F20" i="14" s="1"/>
  <c r="F15" i="14"/>
  <c r="F17" i="14" s="1"/>
  <c r="H18" i="14"/>
  <c r="H16" i="11"/>
  <c r="H17" i="11" s="1"/>
  <c r="H18" i="11" s="1"/>
  <c r="F16" i="11"/>
  <c r="F17" i="11" s="1"/>
  <c r="F18" i="11" s="1"/>
  <c r="G16" i="11"/>
  <c r="G17" i="11" s="1"/>
  <c r="G18" i="11" s="1"/>
  <c r="G19" i="10"/>
  <c r="G20" i="10" s="1"/>
  <c r="G15" i="10"/>
  <c r="G17" i="10" s="1"/>
  <c r="H15" i="10"/>
  <c r="H17" i="10" s="1"/>
  <c r="H18" i="10"/>
  <c r="H19" i="10"/>
  <c r="H20" i="10" s="1"/>
  <c r="G18" i="10"/>
  <c r="F19" i="10"/>
  <c r="F20" i="10" s="1"/>
  <c r="F15" i="10"/>
  <c r="F18" i="10"/>
  <c r="F16" i="9"/>
  <c r="F17" i="9" s="1"/>
  <c r="F18" i="9" s="1"/>
  <c r="F23" i="9" s="1"/>
  <c r="F24" i="9" s="1"/>
  <c r="G16" i="9"/>
  <c r="G17" i="9" s="1"/>
  <c r="G18" i="9" s="1"/>
  <c r="G19" i="9"/>
  <c r="H19" i="8"/>
  <c r="H20" i="8" s="1"/>
  <c r="H15" i="8"/>
  <c r="H17" i="8" s="1"/>
  <c r="H18" i="8"/>
  <c r="G19" i="8"/>
  <c r="G20" i="8" s="1"/>
  <c r="G15" i="8"/>
  <c r="G17" i="8" s="1"/>
  <c r="G18" i="8"/>
  <c r="F19" i="8"/>
  <c r="F20" i="8" s="1"/>
  <c r="F15" i="8"/>
  <c r="F17" i="8" s="1"/>
  <c r="F18" i="8"/>
  <c r="H16" i="6"/>
  <c r="H17" i="6" s="1"/>
  <c r="H18" i="6" s="1"/>
  <c r="G16" i="6"/>
  <c r="F16" i="6"/>
  <c r="F17" i="6" s="1"/>
  <c r="F18" i="6" s="1"/>
  <c r="G18" i="5"/>
  <c r="G15" i="5"/>
  <c r="G17" i="5" s="1"/>
  <c r="H16" i="5"/>
  <c r="F16" i="5"/>
  <c r="H34" i="4"/>
  <c r="F27" i="4"/>
  <c r="E38" i="4" s="1"/>
  <c r="F24" i="15" l="1"/>
  <c r="H16" i="14"/>
  <c r="F16" i="14"/>
  <c r="G17" i="14"/>
  <c r="G16" i="14"/>
  <c r="F24" i="11"/>
  <c r="G16" i="10"/>
  <c r="H16" i="10"/>
  <c r="F17" i="10"/>
  <c r="F16" i="10"/>
  <c r="H16" i="8"/>
  <c r="G16" i="8"/>
  <c r="F16" i="8"/>
  <c r="F24" i="8" s="1"/>
  <c r="G17" i="6"/>
  <c r="G18" i="6" s="1"/>
  <c r="G16" i="5"/>
  <c r="F24" i="5" s="1"/>
  <c r="E39" i="4"/>
  <c r="F24" i="10" l="1"/>
  <c r="F23" i="6"/>
  <c r="F24" i="6" s="1"/>
</calcChain>
</file>

<file path=xl/sharedStrings.xml><?xml version="1.0" encoding="utf-8"?>
<sst xmlns="http://schemas.openxmlformats.org/spreadsheetml/2006/main" count="343" uniqueCount="85">
  <si>
    <t>Step 1)</t>
  </si>
  <si>
    <t>A</t>
  </si>
  <si>
    <t>B</t>
  </si>
  <si>
    <t>Input the demand for Item A &amp; B</t>
  </si>
  <si>
    <t>Annual demand D</t>
  </si>
  <si>
    <r>
      <t>i</t>
    </r>
    <r>
      <rPr>
        <sz val="11"/>
        <color theme="1"/>
        <rFont val="Tahoma"/>
        <family val="2"/>
        <scheme val="minor"/>
      </rPr>
      <t xml:space="preserve"> (optional)</t>
    </r>
  </si>
  <si>
    <t>Order cost K</t>
  </si>
  <si>
    <t>Unit Price c</t>
  </si>
  <si>
    <t>Step 2)</t>
  </si>
  <si>
    <r>
      <t xml:space="preserve">EOQ </t>
    </r>
    <r>
      <rPr>
        <sz val="8"/>
        <color theme="1"/>
        <rFont val="Tahoma"/>
        <family val="2"/>
        <scheme val="minor"/>
      </rPr>
      <t>A</t>
    </r>
  </si>
  <si>
    <t>Find EOQ &amp; n of each Item</t>
  </si>
  <si>
    <r>
      <t xml:space="preserve">EOQ </t>
    </r>
    <r>
      <rPr>
        <sz val="8"/>
        <color theme="1"/>
        <rFont val="Tahoma"/>
        <family val="2"/>
        <scheme val="minor"/>
      </rPr>
      <t>B</t>
    </r>
  </si>
  <si>
    <t>Step 3)</t>
  </si>
  <si>
    <t>Violent the constraint :</t>
  </si>
  <si>
    <t>Check Constrain</t>
  </si>
  <si>
    <t xml:space="preserve">λ </t>
  </si>
  <si>
    <t>Step 4)</t>
  </si>
  <si>
    <r>
      <t xml:space="preserve">Q* </t>
    </r>
    <r>
      <rPr>
        <sz val="8"/>
        <color theme="1"/>
        <rFont val="Tahoma"/>
        <family val="2"/>
        <scheme val="minor"/>
      </rPr>
      <t>a</t>
    </r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</si>
  <si>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</si>
  <si>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r>
      <t xml:space="preserve">Q* </t>
    </r>
    <r>
      <rPr>
        <sz val="8"/>
        <color theme="1"/>
        <rFont val="Tahoma"/>
        <family val="2"/>
        <scheme val="minor"/>
      </rPr>
      <t>b</t>
    </r>
  </si>
  <si>
    <t>C</t>
  </si>
  <si>
    <t>Constraint Type 3 : Limitation of Budget (B)</t>
  </si>
  <si>
    <t>Holding cost (h)</t>
  </si>
  <si>
    <t xml:space="preserve">Limitation of budget(B) ($) </t>
  </si>
  <si>
    <r>
      <t xml:space="preserve">w </t>
    </r>
    <r>
      <rPr>
        <sz val="8"/>
        <color theme="1"/>
        <rFont val="Tahoma"/>
        <family val="2"/>
        <scheme val="minor"/>
      </rPr>
      <t>A</t>
    </r>
  </si>
  <si>
    <t xml:space="preserve">Total Budget: </t>
  </si>
  <si>
    <r>
      <t xml:space="preserve">w </t>
    </r>
    <r>
      <rPr>
        <sz val="8"/>
        <color theme="1"/>
        <rFont val="Tahoma"/>
        <family val="2"/>
        <scheme val="minor"/>
      </rPr>
      <t>B</t>
    </r>
  </si>
  <si>
    <t>Budget used</t>
  </si>
  <si>
    <t xml:space="preserve">Find the best λ </t>
  </si>
  <si>
    <t>In fact, we need to set Qa QB &gt;=0 too</t>
  </si>
  <si>
    <t>Q*c</t>
  </si>
  <si>
    <t>EOQc</t>
  </si>
  <si>
    <t>Wc</t>
  </si>
  <si>
    <t>Constraint Type 2 : Space (W)</t>
  </si>
  <si>
    <t>Storage space (w) required (sq ft/unit)</t>
  </si>
  <si>
    <t>Space limitation (W)  (sq ft/unit)</t>
  </si>
  <si>
    <t xml:space="preserve">Total Space: </t>
  </si>
  <si>
    <t>Space Required</t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</si>
  <si>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*,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</si>
  <si>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t>D</t>
  </si>
  <si>
    <t>EOQ c</t>
  </si>
  <si>
    <t>EOQ d</t>
  </si>
  <si>
    <t>W c</t>
  </si>
  <si>
    <t>Wd</t>
  </si>
  <si>
    <t>Total Average Inventory Cost =</t>
  </si>
  <si>
    <t>Compute Total Inventory cost:</t>
  </si>
  <si>
    <t>Order cycle time (year)</t>
  </si>
  <si>
    <t>Order per year</t>
  </si>
  <si>
    <t>Total Ordering cost</t>
  </si>
  <si>
    <t>Total Holding cost</t>
  </si>
  <si>
    <t>AIC</t>
  </si>
  <si>
    <t>Average Inventory</t>
  </si>
  <si>
    <t>Computing</t>
  </si>
  <si>
    <t>Q</t>
  </si>
  <si>
    <t>Fixed cost</t>
  </si>
  <si>
    <t>Individual Ordering cost</t>
  </si>
  <si>
    <t>Common Ordering cost K</t>
  </si>
  <si>
    <t>Holding cost per unit h</t>
  </si>
  <si>
    <t>Option 1 : No aggregation</t>
  </si>
  <si>
    <t>Option 2 : Complete aggregation</t>
  </si>
  <si>
    <t>Ordering cost (k)</t>
  </si>
  <si>
    <t>Optimal number of orders per year (n*)</t>
  </si>
  <si>
    <t>Total Average Total Cost       =</t>
  </si>
  <si>
    <t>T</t>
  </si>
  <si>
    <t>Using Complete Aggregation</t>
  </si>
  <si>
    <t>from Q4.2)</t>
  </si>
  <si>
    <t>Diff.</t>
  </si>
  <si>
    <t>Option 3 : Tailored aggregation</t>
  </si>
  <si>
    <t>Step 0)</t>
  </si>
  <si>
    <t>icⱼDⱼ/(2(S+sⱼ))</t>
  </si>
  <si>
    <t>for each product j, calculatei cⱼDⱼ/(2(S+sⱼ))</t>
  </si>
  <si>
    <t xml:space="preserve">and choose the item that yields the </t>
  </si>
  <si>
    <t>so, product 1 =</t>
  </si>
  <si>
    <t>largest value to be item 1</t>
  </si>
  <si>
    <t>Qⱼ</t>
  </si>
  <si>
    <t>. Find the optimal n₁ and mⱼ</t>
  </si>
  <si>
    <t xml:space="preserve">n₁ </t>
  </si>
  <si>
    <r>
      <t xml:space="preserve">. </t>
    </r>
    <r>
      <rPr>
        <sz val="12"/>
        <color theme="1"/>
        <rFont val="Tahoma"/>
        <family val="2"/>
        <scheme val="minor"/>
      </rPr>
      <t>Which give the lowest AIC</t>
    </r>
  </si>
  <si>
    <t>mⱼ</t>
  </si>
  <si>
    <t>Note: mⱼ &gt;= 0, n₁ = integer</t>
  </si>
  <si>
    <t>Result:</t>
  </si>
  <si>
    <t>Total AIC + Total Common ordering cost</t>
  </si>
  <si>
    <t>ATC</t>
  </si>
  <si>
    <t>Total ATC</t>
  </si>
  <si>
    <t>Solve for n1 &amp;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</si>
</sst>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4"/>
      <color theme="2"/>
      <name val="Tahoma"/>
      <family val="2"/>
      <charset val="222"/>
      <scheme val="minor"/>
    </font>
    <font>
      <sz val="8"/>
      <color theme="1"/>
      <name val="Tahoma"/>
      <family val="2"/>
      <scheme val="minor"/>
    </font>
    <font>
      <sz val="14"/>
      <color rgb="FF222222"/>
      <name val="Arial"/>
      <family val="2"/>
    </font>
    <font>
      <b/>
      <sz val="8"/>
      <color theme="1"/>
      <name val="Tahoma"/>
      <family val="2"/>
      <scheme val="minor"/>
    </font>
    <font>
      <b/>
      <sz val="14"/>
      <color rgb="FF222222"/>
      <name val="Arial"/>
      <family val="2"/>
    </font>
    <font>
      <sz val="11"/>
      <color theme="3" tint="0.3999755851924192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4"/>
      <color theme="3" tint="0.3999755851924192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00"/>
        <bgColor indexed="64"/>
      </patternFill>
    </fill>
  </fills>
  <borders count="44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0" fontId="1" fillId="0" borderId="1" xfId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0" borderId="5" xfId="1" applyBorder="1"/>
    <xf numFmtId="0" fontId="1" fillId="0" borderId="2" xfId="1" applyBorder="1"/>
    <xf numFmtId="0" fontId="1" fillId="0" borderId="4" xfId="1" applyBorder="1"/>
    <xf numFmtId="0" fontId="2" fillId="0" borderId="6" xfId="1" applyFon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6" xfId="1" applyBorder="1"/>
    <xf numFmtId="0" fontId="3" fillId="0" borderId="2" xfId="1" applyFont="1" applyBorder="1"/>
    <xf numFmtId="0" fontId="4" fillId="3" borderId="16" xfId="1" applyFont="1" applyFill="1" applyBorder="1"/>
    <xf numFmtId="0" fontId="1" fillId="0" borderId="17" xfId="1" applyBorder="1"/>
    <xf numFmtId="0" fontId="2" fillId="0" borderId="0" xfId="1" applyFont="1"/>
    <xf numFmtId="0" fontId="1" fillId="0" borderId="16" xfId="1" applyBorder="1"/>
    <xf numFmtId="0" fontId="6" fillId="0" borderId="0" xfId="1" applyFont="1"/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0" xfId="1" applyBorder="1"/>
    <xf numFmtId="0" fontId="1" fillId="0" borderId="3" xfId="1" applyBorder="1"/>
    <xf numFmtId="0" fontId="1" fillId="0" borderId="22" xfId="1" applyBorder="1"/>
    <xf numFmtId="0" fontId="7" fillId="0" borderId="2" xfId="1" applyFont="1" applyBorder="1"/>
    <xf numFmtId="0" fontId="8" fillId="0" borderId="16" xfId="1" applyFont="1" applyBorder="1"/>
    <xf numFmtId="0" fontId="9" fillId="0" borderId="0" xfId="1" applyFont="1"/>
    <xf numFmtId="0" fontId="10" fillId="0" borderId="0" xfId="1" applyFont="1"/>
    <xf numFmtId="0" fontId="2" fillId="0" borderId="0" xfId="1" applyFont="1" applyBorder="1"/>
    <xf numFmtId="0" fontId="1" fillId="0" borderId="23" xfId="1" applyBorder="1"/>
    <xf numFmtId="0" fontId="5" fillId="0" borderId="2" xfId="1" applyFont="1" applyBorder="1"/>
    <xf numFmtId="0" fontId="11" fillId="0" borderId="0" xfId="1" applyFont="1"/>
    <xf numFmtId="0" fontId="1" fillId="3" borderId="16" xfId="1" applyFill="1" applyBorder="1"/>
    <xf numFmtId="0" fontId="1" fillId="0" borderId="24" xfId="1" applyBorder="1"/>
    <xf numFmtId="0" fontId="1" fillId="0" borderId="25" xfId="1" applyBorder="1"/>
    <xf numFmtId="0" fontId="1" fillId="4" borderId="4" xfId="1" applyFill="1" applyBorder="1"/>
    <xf numFmtId="0" fontId="1" fillId="4" borderId="3" xfId="1" applyFill="1" applyBorder="1"/>
    <xf numFmtId="0" fontId="1" fillId="4" borderId="2" xfId="1" applyFill="1" applyBorder="1"/>
    <xf numFmtId="0" fontId="1" fillId="0" borderId="26" xfId="1" applyBorder="1"/>
    <xf numFmtId="0" fontId="1" fillId="0" borderId="27" xfId="1" applyBorder="1"/>
    <xf numFmtId="0" fontId="1" fillId="0" borderId="14" xfId="1" applyBorder="1" applyAlignment="1">
      <alignment horizontal="center"/>
    </xf>
    <xf numFmtId="0" fontId="1" fillId="0" borderId="28" xfId="1" applyBorder="1"/>
    <xf numFmtId="0" fontId="1" fillId="4" borderId="29" xfId="1" applyFill="1" applyBorder="1"/>
    <xf numFmtId="0" fontId="1" fillId="4" borderId="28" xfId="1" applyFill="1" applyBorder="1"/>
    <xf numFmtId="0" fontId="2" fillId="0" borderId="12" xfId="1" applyFont="1" applyBorder="1"/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0" xfId="1" applyBorder="1" applyAlignment="1">
      <alignment horizontal="center"/>
    </xf>
    <xf numFmtId="0" fontId="12" fillId="0" borderId="0" xfId="1" applyFont="1"/>
    <xf numFmtId="0" fontId="1" fillId="0" borderId="35" xfId="1" applyBorder="1"/>
    <xf numFmtId="0" fontId="1" fillId="0" borderId="36" xfId="1" applyBorder="1"/>
    <xf numFmtId="0" fontId="5" fillId="0" borderId="12" xfId="1" applyFont="1" applyBorder="1"/>
    <xf numFmtId="0" fontId="5" fillId="0" borderId="37" xfId="1" applyFont="1" applyBorder="1"/>
    <xf numFmtId="0" fontId="5" fillId="0" borderId="36" xfId="1" applyFont="1" applyBorder="1"/>
    <xf numFmtId="0" fontId="1" fillId="0" borderId="38" xfId="1" applyBorder="1"/>
    <xf numFmtId="0" fontId="1" fillId="0" borderId="39" xfId="1" applyBorder="1"/>
    <xf numFmtId="0" fontId="1" fillId="0" borderId="39" xfId="1" applyBorder="1" applyAlignment="1">
      <alignment horizontal="right"/>
    </xf>
    <xf numFmtId="0" fontId="1" fillId="0" borderId="40" xfId="1" applyBorder="1"/>
    <xf numFmtId="0" fontId="5" fillId="0" borderId="6" xfId="1" applyFont="1" applyBorder="1"/>
    <xf numFmtId="0" fontId="5" fillId="0" borderId="41" xfId="1" applyFont="1" applyBorder="1"/>
    <xf numFmtId="0" fontId="13" fillId="0" borderId="12" xfId="1" applyFont="1" applyBorder="1"/>
    <xf numFmtId="0" fontId="1" fillId="0" borderId="42" xfId="1" applyBorder="1"/>
    <xf numFmtId="0" fontId="14" fillId="0" borderId="0" xfId="1" applyFont="1"/>
    <xf numFmtId="0" fontId="2" fillId="0" borderId="25" xfId="1" applyFont="1" applyBorder="1"/>
    <xf numFmtId="0" fontId="1" fillId="0" borderId="43" xfId="1" applyBorder="1"/>
    <xf numFmtId="0" fontId="1" fillId="5" borderId="24" xfId="1" applyFill="1" applyBorder="1"/>
  </cellXfs>
  <cellStyles count="2">
    <cellStyle name="ปกติ" xfId="0" builtinId="0"/>
    <cellStyle name="ปกติ 2" xfId="1" xr:uid="{76FB4DDE-BA1A-402E-9F62-71F5658EB2B4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18</xdr:row>
      <xdr:rowOff>219075</xdr:rowOff>
    </xdr:from>
    <xdr:to>
      <xdr:col>5</xdr:col>
      <xdr:colOff>990600</xdr:colOff>
      <xdr:row>18</xdr:row>
      <xdr:rowOff>219076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182B31B6-985C-4EE7-9C32-F14B9C8EEC88}"/>
            </a:ext>
          </a:extLst>
        </xdr:cNvPr>
        <xdr:cNvCxnSpPr/>
      </xdr:nvCxnSpPr>
      <xdr:spPr>
        <a:xfrm flipV="1">
          <a:off x="5238750" y="4295775"/>
          <a:ext cx="752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31</xdr:row>
      <xdr:rowOff>85725</xdr:rowOff>
    </xdr:from>
    <xdr:to>
      <xdr:col>4</xdr:col>
      <xdr:colOff>476250</xdr:colOff>
      <xdr:row>33</xdr:row>
      <xdr:rowOff>95250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BD1F8109-5912-48BD-B46C-C68F591C1748}"/>
            </a:ext>
          </a:extLst>
        </xdr:cNvPr>
        <xdr:cNvCxnSpPr/>
      </xdr:nvCxnSpPr>
      <xdr:spPr>
        <a:xfrm flipH="1">
          <a:off x="4457700" y="7019925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30</xdr:row>
      <xdr:rowOff>142875</xdr:rowOff>
    </xdr:from>
    <xdr:to>
      <xdr:col>14</xdr:col>
      <xdr:colOff>752475</xdr:colOff>
      <xdr:row>30</xdr:row>
      <xdr:rowOff>161925</xdr:rowOff>
    </xdr:to>
    <xdr:cxnSp macro="">
      <xdr:nvCxnSpPr>
        <xdr:cNvPr id="4" name="ลูกศรเชื่อมต่อแบบตรง 3">
          <a:extLst>
            <a:ext uri="{FF2B5EF4-FFF2-40B4-BE49-F238E27FC236}">
              <a16:creationId xmlns:a16="http://schemas.microsoft.com/office/drawing/2014/main" id="{ABFCC144-CB16-40D7-8719-374BBD102653}"/>
            </a:ext>
          </a:extLst>
        </xdr:cNvPr>
        <xdr:cNvCxnSpPr/>
      </xdr:nvCxnSpPr>
      <xdr:spPr>
        <a:xfrm flipH="1" flipV="1">
          <a:off x="8143875" y="6838950"/>
          <a:ext cx="40767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95250</xdr:colOff>
      <xdr:row>22</xdr:row>
      <xdr:rowOff>1</xdr:rowOff>
    </xdr:from>
    <xdr:to>
      <xdr:col>18</xdr:col>
      <xdr:colOff>596857</xdr:colOff>
      <xdr:row>39</xdr:row>
      <xdr:rowOff>28576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A334ACB3-AE2A-4380-9793-895184B05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791076"/>
          <a:ext cx="3854407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21</xdr:row>
      <xdr:rowOff>9525</xdr:rowOff>
    </xdr:from>
    <xdr:to>
      <xdr:col>5</xdr:col>
      <xdr:colOff>1266825</xdr:colOff>
      <xdr:row>21</xdr:row>
      <xdr:rowOff>9526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045E3967-20C1-4051-A731-27F5627A8276}"/>
            </a:ext>
          </a:extLst>
        </xdr:cNvPr>
        <xdr:cNvCxnSpPr/>
      </xdr:nvCxnSpPr>
      <xdr:spPr>
        <a:xfrm flipV="1">
          <a:off x="5334000" y="4572000"/>
          <a:ext cx="5143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34</xdr:row>
      <xdr:rowOff>85725</xdr:rowOff>
    </xdr:from>
    <xdr:to>
      <xdr:col>4</xdr:col>
      <xdr:colOff>476250</xdr:colOff>
      <xdr:row>36</xdr:row>
      <xdr:rowOff>95250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7EC144C7-9961-4166-8B67-1CDFA3A309FD}"/>
            </a:ext>
          </a:extLst>
        </xdr:cNvPr>
        <xdr:cNvCxnSpPr/>
      </xdr:nvCxnSpPr>
      <xdr:spPr>
        <a:xfrm flipH="1">
          <a:off x="4391025" y="7267575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733425</xdr:colOff>
      <xdr:row>27</xdr:row>
      <xdr:rowOff>0</xdr:rowOff>
    </xdr:from>
    <xdr:to>
      <xdr:col>19</xdr:col>
      <xdr:colOff>1382</xdr:colOff>
      <xdr:row>41</xdr:row>
      <xdr:rowOff>198904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739067F8-A35A-4986-9774-FBA0286E8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850" y="5524500"/>
          <a:ext cx="3392282" cy="3494554"/>
        </a:xfrm>
        <a:prstGeom prst="rect">
          <a:avLst/>
        </a:prstGeom>
      </xdr:spPr>
    </xdr:pic>
    <xdr:clientData/>
  </xdr:twoCellAnchor>
  <xdr:twoCellAnchor>
    <xdr:from>
      <xdr:col>10</xdr:col>
      <xdr:colOff>771525</xdr:colOff>
      <xdr:row>34</xdr:row>
      <xdr:rowOff>66675</xdr:rowOff>
    </xdr:from>
    <xdr:to>
      <xdr:col>16</xdr:col>
      <xdr:colOff>45383</xdr:colOff>
      <xdr:row>34</xdr:row>
      <xdr:rowOff>89087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D183B535-3F42-47DF-B044-BADBE25A360B}"/>
            </a:ext>
          </a:extLst>
        </xdr:cNvPr>
        <xdr:cNvCxnSpPr/>
      </xdr:nvCxnSpPr>
      <xdr:spPr>
        <a:xfrm flipH="1">
          <a:off x="7981950" y="7248525"/>
          <a:ext cx="4303058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627529</xdr:colOff>
      <xdr:row>9</xdr:row>
      <xdr:rowOff>201705</xdr:rowOff>
    </xdr:from>
    <xdr:to>
      <xdr:col>20</xdr:col>
      <xdr:colOff>96821</xdr:colOff>
      <xdr:row>33</xdr:row>
      <xdr:rowOff>160100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3A0626FF-7661-44C1-9433-5CC191287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8104" y="2363880"/>
          <a:ext cx="5336692" cy="56924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627529</xdr:colOff>
      <xdr:row>9</xdr:row>
      <xdr:rowOff>201705</xdr:rowOff>
    </xdr:from>
    <xdr:to>
      <xdr:col>21</xdr:col>
      <xdr:colOff>96821</xdr:colOff>
      <xdr:row>33</xdr:row>
      <xdr:rowOff>160100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6D0BEB55-F5B5-4B9F-9EF9-635C0B5AA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1679" y="2363880"/>
          <a:ext cx="4269892" cy="5692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BAA9-6AAE-4BA8-8AFC-9415532706AA}">
  <dimension ref="A1:O41"/>
  <sheetViews>
    <sheetView topLeftCell="A16" workbookViewId="0">
      <selection activeCell="H32" sqref="H32"/>
    </sheetView>
  </sheetViews>
  <sheetFormatPr defaultRowHeight="18" x14ac:dyDescent="0.25"/>
  <cols>
    <col min="1" max="1" width="9" style="1"/>
    <col min="2" max="2" width="14.875" style="1" customWidth="1"/>
    <col min="3" max="3" width="9" style="1"/>
    <col min="4" max="4" width="15.5" style="1" customWidth="1"/>
    <col min="5" max="5" width="13.25" style="1" customWidth="1"/>
    <col min="6" max="6" width="14.125" style="1" customWidth="1"/>
    <col min="7" max="7" width="15.75" style="1" customWidth="1"/>
    <col min="8" max="8" width="13.25" style="1" customWidth="1"/>
    <col min="9" max="16384" width="9" style="1"/>
  </cols>
  <sheetData>
    <row r="1" spans="1:13" ht="19.5" thickTop="1" thickBot="1" x14ac:dyDescent="0.3">
      <c r="M1" s="2"/>
    </row>
    <row r="2" spans="1:13" ht="18.75" thickBot="1" x14ac:dyDescent="0.3">
      <c r="A2" s="3" t="s">
        <v>21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0</v>
      </c>
      <c r="B5" s="8"/>
      <c r="F5" s="7" t="s">
        <v>1</v>
      </c>
      <c r="G5" s="8" t="s">
        <v>2</v>
      </c>
      <c r="H5" s="30" t="s">
        <v>20</v>
      </c>
      <c r="M5" s="6"/>
    </row>
    <row r="6" spans="1:13" ht="18.75" thickBot="1" x14ac:dyDescent="0.3">
      <c r="A6" s="9" t="s">
        <v>3</v>
      </c>
      <c r="B6" s="10"/>
      <c r="D6" s="11" t="s">
        <v>4</v>
      </c>
      <c r="E6" s="12"/>
      <c r="F6" s="13">
        <v>1000</v>
      </c>
      <c r="G6" s="14">
        <v>1000</v>
      </c>
      <c r="H6" s="14">
        <v>2000</v>
      </c>
      <c r="I6" s="32"/>
      <c r="J6" s="7" t="s">
        <v>5</v>
      </c>
      <c r="K6" s="8">
        <v>0.2</v>
      </c>
      <c r="M6" s="6"/>
    </row>
    <row r="7" spans="1:13" ht="19.5" thickTop="1" thickBot="1" x14ac:dyDescent="0.3">
      <c r="D7" s="7" t="s">
        <v>6</v>
      </c>
      <c r="E7" s="8"/>
      <c r="F7" s="17">
        <v>50</v>
      </c>
      <c r="G7" s="17">
        <v>50</v>
      </c>
      <c r="H7" s="17">
        <v>50</v>
      </c>
      <c r="M7" s="6"/>
    </row>
    <row r="8" spans="1:13" ht="19.5" thickTop="1" thickBot="1" x14ac:dyDescent="0.3">
      <c r="D8" s="19" t="s">
        <v>7</v>
      </c>
      <c r="E8" s="10"/>
      <c r="F8" s="17">
        <v>50</v>
      </c>
      <c r="G8" s="18">
        <v>20</v>
      </c>
      <c r="H8" s="30">
        <v>80</v>
      </c>
      <c r="M8" s="6"/>
    </row>
    <row r="9" spans="1:13" ht="19.5" thickTop="1" thickBot="1" x14ac:dyDescent="0.3">
      <c r="D9" s="19" t="s">
        <v>22</v>
      </c>
      <c r="E9" s="10"/>
      <c r="F9" s="17">
        <f>F8*$K$6</f>
        <v>10</v>
      </c>
      <c r="G9" s="18">
        <f>G8*$K$6</f>
        <v>4</v>
      </c>
      <c r="H9" s="18">
        <f>H8*$K$6</f>
        <v>16</v>
      </c>
      <c r="M9" s="6"/>
    </row>
    <row r="10" spans="1:13" ht="18.75" thickBot="1" x14ac:dyDescent="0.3">
      <c r="M10" s="6"/>
    </row>
    <row r="11" spans="1:13" ht="18.75" thickBot="1" x14ac:dyDescent="0.3">
      <c r="D11" s="33" t="s">
        <v>23</v>
      </c>
      <c r="E11" s="8"/>
      <c r="F11" s="21">
        <v>15000</v>
      </c>
      <c r="M11" s="6"/>
    </row>
    <row r="12" spans="1:13" x14ac:dyDescent="0.25">
      <c r="M12" s="6"/>
    </row>
    <row r="13" spans="1:13" ht="18.75" thickBo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3"/>
    </row>
    <row r="14" spans="1:13" ht="19.5" thickTop="1" thickBot="1" x14ac:dyDescent="0.3">
      <c r="M14" s="2"/>
    </row>
    <row r="15" spans="1:13" ht="18.75" thickBot="1" x14ac:dyDescent="0.3">
      <c r="A15" s="7" t="s">
        <v>8</v>
      </c>
      <c r="B15" s="8"/>
      <c r="D15" s="11" t="s">
        <v>9</v>
      </c>
      <c r="E15" s="12">
        <f xml:space="preserve"> SQRT(2*F7*F6/F9)</f>
        <v>100</v>
      </c>
      <c r="M15" s="6"/>
    </row>
    <row r="16" spans="1:13" ht="18.75" thickBot="1" x14ac:dyDescent="0.3">
      <c r="A16" s="9" t="s">
        <v>10</v>
      </c>
      <c r="B16" s="10"/>
      <c r="D16" s="19" t="s">
        <v>11</v>
      </c>
      <c r="E16" s="10">
        <f xml:space="preserve"> SQRT(2*G7*G6/G9)</f>
        <v>158.11388300841898</v>
      </c>
      <c r="M16" s="6"/>
    </row>
    <row r="17" spans="1:14" x14ac:dyDescent="0.25">
      <c r="A17" s="37"/>
      <c r="B17" s="30"/>
      <c r="D17" s="30" t="s">
        <v>31</v>
      </c>
      <c r="E17" s="30">
        <f xml:space="preserve"> SQRT(2*H7*H6/H9)</f>
        <v>111.80339887498948</v>
      </c>
      <c r="M17" s="6"/>
    </row>
    <row r="18" spans="1:14" ht="18.75" thickBot="1" x14ac:dyDescent="0.3">
      <c r="A18" s="23"/>
      <c r="M18" s="6"/>
    </row>
    <row r="19" spans="1:14" ht="18.75" thickBot="1" x14ac:dyDescent="0.3">
      <c r="A19" s="23"/>
      <c r="D19" s="11" t="s">
        <v>24</v>
      </c>
      <c r="E19" s="12">
        <f>F8* E15</f>
        <v>5000</v>
      </c>
      <c r="G19" s="7" t="s">
        <v>25</v>
      </c>
      <c r="H19" s="31"/>
      <c r="I19" s="8">
        <f>E19+E20+E21</f>
        <v>17106.549570167539</v>
      </c>
      <c r="M19" s="6"/>
    </row>
    <row r="20" spans="1:14" ht="18.75" thickBot="1" x14ac:dyDescent="0.3">
      <c r="D20" s="19" t="s">
        <v>26</v>
      </c>
      <c r="E20" s="10">
        <f>G8* E16</f>
        <v>3162.2776601683795</v>
      </c>
      <c r="M20" s="6"/>
    </row>
    <row r="21" spans="1:14" ht="18.75" thickBot="1" x14ac:dyDescent="0.3">
      <c r="D21" s="38" t="s">
        <v>32</v>
      </c>
      <c r="E21" s="10">
        <f>H8* E17</f>
        <v>8944.2719099991591</v>
      </c>
      <c r="M21" s="6"/>
    </row>
    <row r="22" spans="1:14" ht="18.75" thickBot="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3"/>
    </row>
    <row r="23" spans="1:14" ht="19.5" thickTop="1" thickBot="1" x14ac:dyDescent="0.3">
      <c r="M23" s="2"/>
    </row>
    <row r="24" spans="1:14" ht="18.75" thickBot="1" x14ac:dyDescent="0.3">
      <c r="A24" s="7" t="s">
        <v>12</v>
      </c>
      <c r="B24" s="8"/>
      <c r="D24" s="1" t="s">
        <v>13</v>
      </c>
      <c r="F24" s="24" t="b">
        <f xml:space="preserve"> IF(I19 &lt;= F11, FALSE, TRUE)</f>
        <v>1</v>
      </c>
      <c r="M24" s="6"/>
    </row>
    <row r="25" spans="1:14" ht="18.75" thickBot="1" x14ac:dyDescent="0.3">
      <c r="A25" s="9" t="s">
        <v>14</v>
      </c>
      <c r="B25" s="10"/>
      <c r="M25" s="6"/>
    </row>
    <row r="26" spans="1:14" ht="18.75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3"/>
    </row>
    <row r="27" spans="1:14" ht="18.75" thickTop="1" x14ac:dyDescent="0.25">
      <c r="M27" s="2"/>
    </row>
    <row r="28" spans="1:14" x14ac:dyDescent="0.25">
      <c r="N28" s="6"/>
    </row>
    <row r="29" spans="1:14" ht="18.75" thickBot="1" x14ac:dyDescent="0.3">
      <c r="N29" s="6"/>
    </row>
    <row r="30" spans="1:14" ht="18.75" thickBot="1" x14ac:dyDescent="0.3">
      <c r="D30" s="34" t="s">
        <v>15</v>
      </c>
      <c r="E30" s="24" t="s">
        <v>17</v>
      </c>
      <c r="F30" s="8" t="s">
        <v>19</v>
      </c>
      <c r="G30" s="8" t="s">
        <v>30</v>
      </c>
      <c r="H30" s="24" t="s">
        <v>27</v>
      </c>
      <c r="I30" s="30"/>
      <c r="L30" s="35" t="s">
        <v>28</v>
      </c>
      <c r="M30" s="35"/>
      <c r="N30" s="6"/>
    </row>
    <row r="31" spans="1:14" ht="18.75" thickBot="1" x14ac:dyDescent="0.3">
      <c r="D31" s="24">
        <v>3.005908210605648E-2</v>
      </c>
      <c r="E31" s="31">
        <f xml:space="preserve"> SQRT(2*F7*F6/(F9+2*$D$31*F8))</f>
        <v>87.685878554219343</v>
      </c>
      <c r="F31" s="31">
        <f xml:space="preserve"> SQRT(2*G7*G6/(G9+2*$D$31*G8))</f>
        <v>138.64354743212272</v>
      </c>
      <c r="G31" s="31">
        <f xml:space="preserve"> SQRT(2*H7*H6/(H9+2*$D$31*H8))</f>
        <v>98.035792557012712</v>
      </c>
      <c r="H31" s="8">
        <f>F8* E31 +G8* F31+H8*G31</f>
        <v>15000.028280914437</v>
      </c>
      <c r="I31" s="30"/>
      <c r="N31" s="6"/>
    </row>
    <row r="32" spans="1:14" x14ac:dyDescent="0.25">
      <c r="N32" s="6"/>
    </row>
    <row r="33" spans="1:15" x14ac:dyDescent="0.25">
      <c r="D33" s="25"/>
      <c r="M33" s="6"/>
    </row>
    <row r="34" spans="1:15" ht="18.75" thickBot="1" x14ac:dyDescent="0.3">
      <c r="M34" s="6"/>
    </row>
    <row r="35" spans="1:15" ht="18.75" thickBot="1" x14ac:dyDescent="0.3">
      <c r="A35" s="7" t="s">
        <v>16</v>
      </c>
      <c r="B35" s="8"/>
      <c r="D35" s="26" t="s">
        <v>17</v>
      </c>
      <c r="E35" s="26">
        <f>E31</f>
        <v>87.685878554219343</v>
      </c>
      <c r="M35" s="6"/>
    </row>
    <row r="36" spans="1:15" ht="18.75" thickBot="1" x14ac:dyDescent="0.3">
      <c r="A36" s="9" t="s">
        <v>18</v>
      </c>
      <c r="B36" s="10"/>
      <c r="D36" s="27" t="s">
        <v>19</v>
      </c>
      <c r="E36" s="27">
        <f>F31</f>
        <v>138.64354743212272</v>
      </c>
      <c r="M36" s="6"/>
    </row>
    <row r="37" spans="1:15" x14ac:dyDescent="0.25">
      <c r="M37" s="6"/>
    </row>
    <row r="38" spans="1:15" ht="18.75" thickBo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41" spans="1:15" x14ac:dyDescent="0.25">
      <c r="O41" s="36" t="s">
        <v>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0AD5-7735-4945-8BF2-1D2D01E75E11}">
  <dimension ref="A1:N29"/>
  <sheetViews>
    <sheetView workbookViewId="0">
      <selection activeCell="F25" sqref="F25"/>
    </sheetView>
  </sheetViews>
  <sheetFormatPr defaultRowHeight="18" x14ac:dyDescent="0.25"/>
  <cols>
    <col min="1" max="1" width="9" style="1"/>
    <col min="2" max="2" width="14.625" style="1" customWidth="1"/>
    <col min="3" max="3" width="14.75" style="1" customWidth="1"/>
    <col min="4" max="4" width="20.625" style="1" customWidth="1"/>
    <col min="5" max="5" width="13.875" style="1" customWidth="1"/>
    <col min="6" max="6" width="11.875" style="1" customWidth="1"/>
    <col min="7" max="16384" width="9" style="1"/>
  </cols>
  <sheetData>
    <row r="1" spans="1:14" ht="19.5" thickTop="1" thickBot="1" x14ac:dyDescent="0.3">
      <c r="N1" s="2"/>
    </row>
    <row r="2" spans="1:14" ht="18.75" thickBot="1" x14ac:dyDescent="0.3">
      <c r="A2" s="3" t="s">
        <v>58</v>
      </c>
      <c r="B2" s="4"/>
      <c r="C2" s="4"/>
      <c r="D2" s="5"/>
      <c r="N2" s="6"/>
    </row>
    <row r="3" spans="1:14" x14ac:dyDescent="0.25">
      <c r="N3" s="6"/>
    </row>
    <row r="4" spans="1:14" ht="18.75" thickBot="1" x14ac:dyDescent="0.3">
      <c r="N4" s="6"/>
    </row>
    <row r="5" spans="1:14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I5" s="30"/>
      <c r="N5" s="6"/>
    </row>
    <row r="6" spans="1:14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3000</v>
      </c>
      <c r="H6" s="14">
        <v>4000</v>
      </c>
      <c r="I6" s="30">
        <v>500</v>
      </c>
      <c r="K6" s="7" t="s">
        <v>5</v>
      </c>
      <c r="L6" s="8">
        <v>0.2</v>
      </c>
      <c r="N6" s="6"/>
    </row>
    <row r="7" spans="1:14" ht="19.5" thickTop="1" thickBot="1" x14ac:dyDescent="0.3">
      <c r="D7" s="19" t="s">
        <v>7</v>
      </c>
      <c r="E7" s="10"/>
      <c r="F7" s="17">
        <v>400</v>
      </c>
      <c r="G7" s="17">
        <v>300</v>
      </c>
      <c r="H7" s="17">
        <v>200</v>
      </c>
      <c r="I7" s="30">
        <v>900</v>
      </c>
      <c r="N7" s="6"/>
    </row>
    <row r="8" spans="1:14" ht="19.5" thickTop="1" thickBot="1" x14ac:dyDescent="0.3">
      <c r="D8" s="7" t="s">
        <v>57</v>
      </c>
      <c r="E8" s="8"/>
      <c r="F8" s="17">
        <f>F7*$L$6</f>
        <v>80</v>
      </c>
      <c r="G8" s="17">
        <f t="shared" ref="G8:I8" si="0">G7*$L$6</f>
        <v>60</v>
      </c>
      <c r="H8" s="17">
        <f t="shared" si="0"/>
        <v>40</v>
      </c>
      <c r="I8" s="17">
        <f t="shared" si="0"/>
        <v>180</v>
      </c>
      <c r="N8" s="6"/>
    </row>
    <row r="9" spans="1:14" ht="19.5" thickTop="1" thickBot="1" x14ac:dyDescent="0.3">
      <c r="D9" s="15" t="s">
        <v>56</v>
      </c>
      <c r="E9" s="16"/>
      <c r="F9" s="48"/>
      <c r="G9" s="42">
        <v>10000</v>
      </c>
      <c r="H9" s="17"/>
      <c r="I9" s="30"/>
      <c r="N9" s="6"/>
    </row>
    <row r="10" spans="1:14" ht="19.5" thickTop="1" thickBot="1" x14ac:dyDescent="0.3">
      <c r="D10" s="7" t="s">
        <v>55</v>
      </c>
      <c r="E10" s="8"/>
      <c r="F10" s="47">
        <v>800</v>
      </c>
      <c r="G10" s="47">
        <v>1000</v>
      </c>
      <c r="H10" s="47">
        <v>1000</v>
      </c>
      <c r="I10" s="30">
        <v>1000</v>
      </c>
      <c r="N10" s="6"/>
    </row>
    <row r="11" spans="1:14" ht="19.5" thickTop="1" thickBot="1" x14ac:dyDescent="0.3">
      <c r="D11" s="7" t="s">
        <v>54</v>
      </c>
      <c r="E11" s="8"/>
      <c r="F11" s="48">
        <f>$G$9+F10</f>
        <v>10800</v>
      </c>
      <c r="G11" s="42">
        <f xml:space="preserve"> $G$9+G10</f>
        <v>11000</v>
      </c>
      <c r="H11" s="42">
        <f xml:space="preserve"> $G$9+H10</f>
        <v>11000</v>
      </c>
      <c r="I11" s="42">
        <f xml:space="preserve"> $G$9+I10</f>
        <v>11000</v>
      </c>
      <c r="N11" s="6"/>
    </row>
    <row r="12" spans="1:14" x14ac:dyDescent="0.25">
      <c r="N12" s="6"/>
    </row>
    <row r="13" spans="1:14" ht="18.75" thickBot="1" x14ac:dyDescent="0.3">
      <c r="N13" s="6"/>
    </row>
    <row r="14" spans="1:14" ht="18.75" thickBot="1" x14ac:dyDescent="0.3">
      <c r="A14" s="7" t="s">
        <v>8</v>
      </c>
      <c r="B14" s="8"/>
      <c r="D14" s="7" t="s">
        <v>53</v>
      </c>
      <c r="E14" s="8"/>
      <c r="F14" s="46">
        <f xml:space="preserve"> SQRT(2*F11*F6/F8)</f>
        <v>1643.1676725154985</v>
      </c>
      <c r="G14" s="45">
        <f xml:space="preserve"> SQRT(2*G11*G6/G8)</f>
        <v>1048.8088481701516</v>
      </c>
      <c r="H14" s="44">
        <f xml:space="preserve"> SQRT(2*H11*H6/H8)</f>
        <v>1483.2396974191327</v>
      </c>
      <c r="I14" s="46">
        <f xml:space="preserve"> SQRT(2*I11*I6/I8)</f>
        <v>247.20661623652211</v>
      </c>
      <c r="N14" s="6"/>
    </row>
    <row r="15" spans="1:14" ht="18.75" thickBot="1" x14ac:dyDescent="0.3">
      <c r="A15" s="9" t="s">
        <v>52</v>
      </c>
      <c r="B15" s="10"/>
      <c r="D15" s="19" t="s">
        <v>51</v>
      </c>
      <c r="E15" s="10"/>
      <c r="F15" s="15">
        <f>F14/2</f>
        <v>821.58383625774923</v>
      </c>
      <c r="G15" s="1">
        <f>G14/2</f>
        <v>524.40442408507579</v>
      </c>
      <c r="H15" s="16">
        <f>H14/2</f>
        <v>741.61984870956633</v>
      </c>
      <c r="I15" s="15">
        <f>I14/2</f>
        <v>123.60330811826105</v>
      </c>
      <c r="N15" s="6"/>
    </row>
    <row r="16" spans="1:14" ht="18.75" thickBot="1" x14ac:dyDescent="0.3">
      <c r="D16" s="7" t="s">
        <v>50</v>
      </c>
      <c r="E16" s="8"/>
      <c r="F16" s="46">
        <f>(F11*F6/F14)+(F8*F15)</f>
        <v>131453.41380123986</v>
      </c>
      <c r="G16" s="45">
        <f>(G11*G6/G14)+(G8*G15)</f>
        <v>62928.530890209091</v>
      </c>
      <c r="H16" s="44">
        <f>(H11*H6/H14)+(H8*H15)</f>
        <v>59329.587896765304</v>
      </c>
      <c r="I16" s="46">
        <f>(I11*I6/I14)+(I8*I15)</f>
        <v>44497.19092257398</v>
      </c>
      <c r="N16" s="6"/>
    </row>
    <row r="17" spans="1:14" ht="18.75" thickBot="1" x14ac:dyDescent="0.3">
      <c r="D17" s="15" t="s">
        <v>49</v>
      </c>
      <c r="E17" s="16"/>
      <c r="F17" s="15">
        <f xml:space="preserve"> (F8*F15)</f>
        <v>65726.706900619931</v>
      </c>
      <c r="G17" s="1">
        <f xml:space="preserve"> (G8*G15)</f>
        <v>31464.265445104546</v>
      </c>
      <c r="H17" s="16">
        <f xml:space="preserve"> (H8*H15)</f>
        <v>29664.793948382652</v>
      </c>
      <c r="I17" s="15">
        <f xml:space="preserve"> (I8*I15)</f>
        <v>22248.59546128699</v>
      </c>
      <c r="N17" s="6"/>
    </row>
    <row r="18" spans="1:14" ht="18.75" thickBot="1" x14ac:dyDescent="0.3">
      <c r="D18" s="7" t="s">
        <v>48</v>
      </c>
      <c r="E18" s="8"/>
      <c r="F18" s="15">
        <f>(F11*F6/F14)</f>
        <v>65726.706900619931</v>
      </c>
      <c r="G18" s="1">
        <f>(G11*G6/G14)</f>
        <v>31464.265445104546</v>
      </c>
      <c r="H18" s="16">
        <f>(H11*H6/H14)</f>
        <v>29664.793948382652</v>
      </c>
      <c r="I18" s="15">
        <f>(I11*I6/I14)</f>
        <v>22248.595461286986</v>
      </c>
      <c r="N18" s="6"/>
    </row>
    <row r="19" spans="1:14" ht="18.75" thickBot="1" x14ac:dyDescent="0.3">
      <c r="D19" s="7" t="s">
        <v>47</v>
      </c>
      <c r="E19" s="8"/>
      <c r="F19" s="15">
        <f>F6/F14</f>
        <v>6.0858061945018456</v>
      </c>
      <c r="G19" s="1">
        <f>G6/G14</f>
        <v>2.8603877677367771</v>
      </c>
      <c r="H19" s="16">
        <f>H6/H14</f>
        <v>2.6967994498529682</v>
      </c>
      <c r="I19" s="15">
        <f>I6/I14</f>
        <v>2.0225995873897262</v>
      </c>
      <c r="N19" s="6"/>
    </row>
    <row r="20" spans="1:14" ht="18.75" thickBot="1" x14ac:dyDescent="0.3">
      <c r="D20" s="7" t="s">
        <v>46</v>
      </c>
      <c r="E20" s="8"/>
      <c r="F20" s="19">
        <f>1/F19</f>
        <v>0.16431676725154984</v>
      </c>
      <c r="G20" s="28">
        <f>1/G19</f>
        <v>0.34960294939005049</v>
      </c>
      <c r="H20" s="10">
        <f>1/H19</f>
        <v>0.37080992435478316</v>
      </c>
      <c r="I20" s="19">
        <f>1/I19</f>
        <v>0.4944132324730442</v>
      </c>
      <c r="N20" s="6"/>
    </row>
    <row r="21" spans="1:14" x14ac:dyDescent="0.25">
      <c r="N21" s="6"/>
    </row>
    <row r="22" spans="1:14" ht="18.75" thickBot="1" x14ac:dyDescent="0.3">
      <c r="N22" s="6"/>
    </row>
    <row r="23" spans="1:14" ht="18.75" thickBot="1" x14ac:dyDescent="0.3">
      <c r="A23" s="7" t="s">
        <v>12</v>
      </c>
      <c r="B23" s="8"/>
      <c r="N23" s="6"/>
    </row>
    <row r="24" spans="1:14" ht="19.5" thickTop="1" thickBot="1" x14ac:dyDescent="0.3">
      <c r="A24" s="9" t="s">
        <v>45</v>
      </c>
      <c r="B24" s="10"/>
      <c r="D24" s="43" t="s">
        <v>44</v>
      </c>
      <c r="E24" s="42"/>
      <c r="F24" s="41">
        <f>F16+G16+H16+I16</f>
        <v>298208.72351078823</v>
      </c>
      <c r="N24" s="6"/>
    </row>
    <row r="25" spans="1:14" x14ac:dyDescent="0.25">
      <c r="N25" s="6"/>
    </row>
    <row r="26" spans="1:14" ht="18.75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"/>
    </row>
    <row r="27" spans="1:14" ht="19.5" thickTop="1" thickBot="1" x14ac:dyDescent="0.3"/>
    <row r="28" spans="1:14" ht="18.75" thickBot="1" x14ac:dyDescent="0.3">
      <c r="A28" s="7"/>
      <c r="B28" s="31"/>
      <c r="C28" s="31"/>
      <c r="D28" s="8"/>
    </row>
    <row r="29" spans="1:14" x14ac:dyDescent="0.25">
      <c r="F29" s="6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BBDE-18F2-4A29-B68C-5D00C8509ED4}">
  <dimension ref="A1:N26"/>
  <sheetViews>
    <sheetView workbookViewId="0">
      <selection activeCell="H16" sqref="H16"/>
    </sheetView>
  </sheetViews>
  <sheetFormatPr defaultRowHeight="18" x14ac:dyDescent="0.25"/>
  <cols>
    <col min="1" max="1" width="9" style="1"/>
    <col min="2" max="2" width="14.125" style="1" customWidth="1"/>
    <col min="3" max="4" width="9" style="1"/>
    <col min="5" max="5" width="22.5" style="1" customWidth="1"/>
    <col min="6" max="6" width="11" style="1" customWidth="1"/>
    <col min="7" max="7" width="9" style="1"/>
    <col min="8" max="9" width="12.75" style="1" customWidth="1"/>
    <col min="10" max="16384" width="9" style="1"/>
  </cols>
  <sheetData>
    <row r="1" spans="1:14" ht="18.75" thickBot="1" x14ac:dyDescent="0.3"/>
    <row r="2" spans="1:14" ht="18.75" thickBot="1" x14ac:dyDescent="0.3">
      <c r="A2" s="3" t="s">
        <v>59</v>
      </c>
      <c r="B2" s="4"/>
      <c r="C2" s="4"/>
      <c r="D2" s="5"/>
      <c r="N2" s="6"/>
    </row>
    <row r="3" spans="1:14" x14ac:dyDescent="0.25">
      <c r="N3" s="6"/>
    </row>
    <row r="4" spans="1:14" ht="18.75" thickBot="1" x14ac:dyDescent="0.3">
      <c r="N4" s="6"/>
    </row>
    <row r="5" spans="1:14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I5" s="30" t="s">
        <v>39</v>
      </c>
      <c r="N5" s="6"/>
    </row>
    <row r="6" spans="1:14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3000</v>
      </c>
      <c r="H6" s="14">
        <v>4000</v>
      </c>
      <c r="I6" s="30">
        <v>500</v>
      </c>
      <c r="K6" s="7" t="s">
        <v>5</v>
      </c>
      <c r="L6" s="8">
        <v>0.2</v>
      </c>
      <c r="N6" s="6"/>
    </row>
    <row r="7" spans="1:14" ht="19.5" thickTop="1" thickBot="1" x14ac:dyDescent="0.3">
      <c r="D7" s="19" t="s">
        <v>7</v>
      </c>
      <c r="E7" s="10"/>
      <c r="F7" s="17">
        <v>400</v>
      </c>
      <c r="G7" s="17">
        <v>300</v>
      </c>
      <c r="H7" s="17">
        <v>200</v>
      </c>
      <c r="I7" s="30">
        <v>900</v>
      </c>
      <c r="N7" s="6"/>
    </row>
    <row r="8" spans="1:14" ht="19.5" thickTop="1" thickBot="1" x14ac:dyDescent="0.3">
      <c r="D8" s="7" t="s">
        <v>57</v>
      </c>
      <c r="E8" s="8"/>
      <c r="F8" s="17">
        <f>F7*$L$6</f>
        <v>80</v>
      </c>
      <c r="G8" s="17">
        <f t="shared" ref="G8:H8" si="0">G7*$L$6</f>
        <v>60</v>
      </c>
      <c r="H8" s="17">
        <f t="shared" si="0"/>
        <v>40</v>
      </c>
      <c r="I8" s="17">
        <f>I7*$L$6</f>
        <v>180</v>
      </c>
      <c r="N8" s="6"/>
    </row>
    <row r="9" spans="1:14" ht="19.5" thickTop="1" thickBot="1" x14ac:dyDescent="0.3">
      <c r="D9" s="15" t="s">
        <v>56</v>
      </c>
      <c r="E9" s="16"/>
      <c r="F9" s="48"/>
      <c r="G9" s="42">
        <v>10000</v>
      </c>
      <c r="H9" s="17"/>
      <c r="I9" s="30"/>
      <c r="N9" s="6"/>
    </row>
    <row r="10" spans="1:14" ht="19.5" thickTop="1" thickBot="1" x14ac:dyDescent="0.3">
      <c r="D10" s="7" t="s">
        <v>55</v>
      </c>
      <c r="E10" s="8"/>
      <c r="F10" s="47">
        <v>800</v>
      </c>
      <c r="G10" s="47">
        <v>1000</v>
      </c>
      <c r="H10" s="47">
        <v>1000</v>
      </c>
      <c r="I10" s="30">
        <v>1000</v>
      </c>
      <c r="N10" s="6"/>
    </row>
    <row r="11" spans="1:14" ht="19.5" thickTop="1" thickBot="1" x14ac:dyDescent="0.3">
      <c r="D11" s="7" t="s">
        <v>60</v>
      </c>
      <c r="E11" s="8"/>
      <c r="F11" s="48"/>
      <c r="G11" s="42">
        <f xml:space="preserve"> $G$9+F10+G10+H10+I10</f>
        <v>13800</v>
      </c>
      <c r="H11" s="42"/>
      <c r="I11" s="30"/>
      <c r="N11" s="6"/>
    </row>
    <row r="12" spans="1:14" x14ac:dyDescent="0.25">
      <c r="N12" s="6"/>
    </row>
    <row r="13" spans="1:14" ht="18.75" thickBot="1" x14ac:dyDescent="0.3">
      <c r="N13" s="6"/>
    </row>
    <row r="14" spans="1:14" ht="18.75" thickBot="1" x14ac:dyDescent="0.3">
      <c r="A14" s="7" t="s">
        <v>8</v>
      </c>
      <c r="B14" s="8"/>
      <c r="D14" s="20" t="s">
        <v>61</v>
      </c>
      <c r="E14" s="50"/>
      <c r="F14" s="31"/>
      <c r="G14" s="45">
        <f xml:space="preserve"> SQRT(($F$8*$F$6+$G$6*$G$8+$H$6*$H$8+I6*I8)/(2*$G$11))</f>
        <v>6.6757184925148207</v>
      </c>
      <c r="H14" s="8"/>
      <c r="I14" s="30"/>
      <c r="N14" s="6"/>
    </row>
    <row r="15" spans="1:14" ht="18.75" thickBot="1" x14ac:dyDescent="0.3">
      <c r="A15" s="9" t="s">
        <v>52</v>
      </c>
      <c r="B15" s="10"/>
      <c r="N15" s="6"/>
    </row>
    <row r="16" spans="1:14" ht="18.75" thickBot="1" x14ac:dyDescent="0.3">
      <c r="A16" s="15"/>
      <c r="C16" s="16"/>
      <c r="D16" s="7" t="s">
        <v>53</v>
      </c>
      <c r="E16" s="8"/>
      <c r="F16" s="51">
        <f xml:space="preserve"> F6/$G$14</f>
        <v>1497.9661007594232</v>
      </c>
      <c r="G16" s="52">
        <f xml:space="preserve"> G6/$G$14</f>
        <v>449.38983022782691</v>
      </c>
      <c r="H16" s="52">
        <f xml:space="preserve"> H6/$G$14</f>
        <v>599.18644030376925</v>
      </c>
      <c r="I16" s="51">
        <f xml:space="preserve"> I6/$G$14</f>
        <v>74.898305037971156</v>
      </c>
      <c r="N16" s="6"/>
    </row>
    <row r="17" spans="1:14" ht="18.75" thickBot="1" x14ac:dyDescent="0.3">
      <c r="A17" s="53"/>
      <c r="D17" s="19" t="s">
        <v>51</v>
      </c>
      <c r="E17" s="10"/>
      <c r="F17" s="54">
        <f>F16/2</f>
        <v>748.98305037971159</v>
      </c>
      <c r="G17" s="55">
        <f>G16/2</f>
        <v>224.69491511391345</v>
      </c>
      <c r="H17" s="16">
        <f>H16/2</f>
        <v>299.59322015188462</v>
      </c>
      <c r="I17" s="54">
        <f>I16/2</f>
        <v>37.449152518985578</v>
      </c>
      <c r="N17" s="6"/>
    </row>
    <row r="18" spans="1:14" ht="18.75" thickBot="1" x14ac:dyDescent="0.3">
      <c r="D18" s="15" t="s">
        <v>49</v>
      </c>
      <c r="E18" s="16"/>
      <c r="F18" s="56">
        <f xml:space="preserve"> (F8*F17)</f>
        <v>59918.644030376927</v>
      </c>
      <c r="G18" s="57">
        <f xml:space="preserve"> (G8*G17)</f>
        <v>13481.694906834808</v>
      </c>
      <c r="H18" s="58">
        <f xml:space="preserve"> (H8*H17)</f>
        <v>11983.728806075385</v>
      </c>
      <c r="I18" s="56">
        <f xml:space="preserve"> (I8*I17)</f>
        <v>6740.8474534174038</v>
      </c>
      <c r="N18" s="6"/>
    </row>
    <row r="19" spans="1:14" ht="19.5" thickTop="1" thickBot="1" x14ac:dyDescent="0.3">
      <c r="D19" s="7" t="s">
        <v>48</v>
      </c>
      <c r="E19" s="8"/>
      <c r="F19" s="48"/>
      <c r="G19" s="42">
        <f>(G11*G14)</f>
        <v>92124.915196704533</v>
      </c>
      <c r="H19" s="59"/>
      <c r="I19" s="48"/>
      <c r="N19" s="6"/>
    </row>
    <row r="20" spans="1:14" x14ac:dyDescent="0.25">
      <c r="N20" s="6"/>
    </row>
    <row r="21" spans="1:14" ht="18.75" thickBot="1" x14ac:dyDescent="0.3">
      <c r="N21" s="6"/>
    </row>
    <row r="22" spans="1:14" ht="18.75" thickBot="1" x14ac:dyDescent="0.3">
      <c r="A22" s="7" t="s">
        <v>12</v>
      </c>
      <c r="B22" s="8"/>
      <c r="N22" s="6"/>
    </row>
    <row r="23" spans="1:14" ht="19.5" thickTop="1" thickBot="1" x14ac:dyDescent="0.3">
      <c r="A23" s="9" t="s">
        <v>45</v>
      </c>
      <c r="B23" s="10"/>
      <c r="D23" s="43" t="s">
        <v>44</v>
      </c>
      <c r="E23" s="42"/>
      <c r="F23" s="41">
        <f>F18+G18+H18+I18+G19</f>
        <v>184249.83039340907</v>
      </c>
      <c r="N23" s="6"/>
    </row>
    <row r="24" spans="1:14" ht="19.5" thickTop="1" thickBot="1" x14ac:dyDescent="0.3">
      <c r="D24" s="43" t="s">
        <v>62</v>
      </c>
      <c r="E24" s="17"/>
      <c r="F24" s="57">
        <f>F7*F6+G7*G6+H7*H6+F23</f>
        <v>5884249.8303934094</v>
      </c>
      <c r="N24" s="6"/>
    </row>
    <row r="25" spans="1:14" ht="19.5" thickTop="1" thickBo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3"/>
    </row>
    <row r="26" spans="1:14" ht="18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5215-34AE-4A59-AB71-0ABAF72B7EAC}">
  <dimension ref="A1:P38"/>
  <sheetViews>
    <sheetView topLeftCell="B4" zoomScaleNormal="100" workbookViewId="0">
      <selection activeCell="F17" sqref="F17"/>
    </sheetView>
  </sheetViews>
  <sheetFormatPr defaultRowHeight="18" x14ac:dyDescent="0.25"/>
  <cols>
    <col min="1" max="1" width="9" style="1"/>
    <col min="2" max="2" width="17" style="1" customWidth="1"/>
    <col min="3" max="4" width="9" style="1"/>
    <col min="5" max="5" width="18.5" style="1" customWidth="1"/>
    <col min="6" max="6" width="10.25" style="1" customWidth="1"/>
    <col min="7" max="16384" width="9" style="1"/>
  </cols>
  <sheetData>
    <row r="1" spans="1:14" ht="18.75" thickBot="1" x14ac:dyDescent="0.3"/>
    <row r="2" spans="1:14" ht="18.75" thickBot="1" x14ac:dyDescent="0.3">
      <c r="A2" s="3" t="s">
        <v>67</v>
      </c>
      <c r="B2" s="4"/>
      <c r="C2" s="4"/>
      <c r="D2" s="5"/>
      <c r="N2" s="6"/>
    </row>
    <row r="3" spans="1:14" x14ac:dyDescent="0.25">
      <c r="N3" s="6"/>
    </row>
    <row r="4" spans="1:14" ht="18.75" thickBot="1" x14ac:dyDescent="0.3">
      <c r="N4" s="6"/>
    </row>
    <row r="5" spans="1:14" ht="18.75" thickBot="1" x14ac:dyDescent="0.3">
      <c r="A5" s="7" t="s">
        <v>68</v>
      </c>
      <c r="B5" s="8"/>
      <c r="F5" s="7" t="s">
        <v>1</v>
      </c>
      <c r="G5" s="8" t="s">
        <v>2</v>
      </c>
      <c r="H5" s="8" t="s">
        <v>20</v>
      </c>
      <c r="I5" s="30"/>
      <c r="N5" s="6"/>
    </row>
    <row r="6" spans="1:14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3000</v>
      </c>
      <c r="H6" s="14">
        <v>4000</v>
      </c>
      <c r="I6" s="30">
        <v>500</v>
      </c>
      <c r="K6" s="7" t="s">
        <v>5</v>
      </c>
      <c r="L6" s="8">
        <v>0.2</v>
      </c>
      <c r="N6" s="6"/>
    </row>
    <row r="7" spans="1:14" ht="19.5" thickTop="1" thickBot="1" x14ac:dyDescent="0.3">
      <c r="D7" s="19" t="s">
        <v>7</v>
      </c>
      <c r="E7" s="10"/>
      <c r="F7" s="17">
        <v>400</v>
      </c>
      <c r="G7" s="17">
        <v>300</v>
      </c>
      <c r="H7" s="17">
        <v>200</v>
      </c>
      <c r="I7" s="30">
        <v>900</v>
      </c>
      <c r="N7" s="6"/>
    </row>
    <row r="8" spans="1:14" ht="19.5" thickTop="1" thickBot="1" x14ac:dyDescent="0.3">
      <c r="D8" s="7" t="s">
        <v>57</v>
      </c>
      <c r="E8" s="8"/>
      <c r="F8" s="17">
        <f>F7*L6</f>
        <v>80</v>
      </c>
      <c r="G8" s="18">
        <f>G7*L6</f>
        <v>60</v>
      </c>
      <c r="H8" s="18">
        <f>H7*L6</f>
        <v>40</v>
      </c>
      <c r="I8" s="17">
        <f>I7*$L$6</f>
        <v>180</v>
      </c>
      <c r="N8" s="6"/>
    </row>
    <row r="9" spans="1:14" ht="19.5" thickTop="1" thickBot="1" x14ac:dyDescent="0.3">
      <c r="D9" s="15" t="s">
        <v>56</v>
      </c>
      <c r="E9" s="16"/>
      <c r="F9" s="48"/>
      <c r="G9" s="42">
        <v>10000</v>
      </c>
      <c r="H9" s="17"/>
      <c r="I9" s="30"/>
      <c r="N9" s="6"/>
    </row>
    <row r="10" spans="1:14" ht="19.5" thickTop="1" thickBot="1" x14ac:dyDescent="0.3">
      <c r="D10" s="7" t="s">
        <v>55</v>
      </c>
      <c r="E10" s="8"/>
      <c r="F10" s="47">
        <v>800</v>
      </c>
      <c r="G10" s="47">
        <v>1000</v>
      </c>
      <c r="H10" s="47">
        <v>1000</v>
      </c>
      <c r="I10" s="30">
        <v>1000</v>
      </c>
      <c r="N10" s="6"/>
    </row>
    <row r="11" spans="1:14" ht="19.5" thickTop="1" thickBot="1" x14ac:dyDescent="0.3">
      <c r="D11" s="7" t="s">
        <v>60</v>
      </c>
      <c r="E11" s="8"/>
      <c r="F11" s="48"/>
      <c r="G11" s="42">
        <f xml:space="preserve"> G9+F10+G10+H10+I10</f>
        <v>13800</v>
      </c>
      <c r="H11" s="49"/>
      <c r="I11" s="60"/>
      <c r="N11" s="6"/>
    </row>
    <row r="12" spans="1:14" x14ac:dyDescent="0.25">
      <c r="N12" s="6"/>
    </row>
    <row r="13" spans="1:14" x14ac:dyDescent="0.25">
      <c r="N13" s="6"/>
    </row>
    <row r="14" spans="1:14" ht="18.75" thickBot="1" x14ac:dyDescent="0.3">
      <c r="N14" s="6"/>
    </row>
    <row r="15" spans="1:14" ht="18.75" thickBot="1" x14ac:dyDescent="0.3">
      <c r="A15" s="7" t="s">
        <v>0</v>
      </c>
      <c r="B15" s="62"/>
      <c r="C15" s="63"/>
      <c r="D15" s="7" t="s">
        <v>69</v>
      </c>
      <c r="E15" s="62"/>
      <c r="F15" s="31">
        <f>F8*F6/(2*($G$9+F10))</f>
        <v>37.037037037037038</v>
      </c>
      <c r="G15" s="31">
        <f>G8*G6/(2*(G9+G10))</f>
        <v>8.1818181818181817</v>
      </c>
      <c r="H15" s="8">
        <f>H8*H6/(2*($G$9+H10))</f>
        <v>7.2727272727272725</v>
      </c>
      <c r="I15" s="8">
        <f>I8*I6/(2*($G$9+I10))</f>
        <v>4.0909090909090908</v>
      </c>
      <c r="N15" s="6"/>
    </row>
    <row r="16" spans="1:14" x14ac:dyDescent="0.25">
      <c r="A16" s="64" t="s">
        <v>70</v>
      </c>
      <c r="B16" s="65"/>
      <c r="C16" s="66"/>
      <c r="N16" s="6"/>
    </row>
    <row r="17" spans="1:14" x14ac:dyDescent="0.25">
      <c r="A17" s="64" t="s">
        <v>71</v>
      </c>
      <c r="B17" s="65"/>
      <c r="C17" s="66"/>
      <c r="D17" s="67"/>
      <c r="E17" s="68" t="s">
        <v>72</v>
      </c>
      <c r="F17" s="69" t="str">
        <f xml:space="preserve"> IF(MAX(F15:H15) = F15, "A", IF(MAX(F15:H15) =G15, "B", "C"))</f>
        <v>A</v>
      </c>
      <c r="G17" s="68"/>
      <c r="H17" s="70"/>
      <c r="I17" s="30"/>
      <c r="N17" s="6"/>
    </row>
    <row r="18" spans="1:14" ht="18.75" thickBot="1" x14ac:dyDescent="0.3">
      <c r="A18" s="71" t="s">
        <v>73</v>
      </c>
      <c r="B18" s="72"/>
      <c r="C18" s="66"/>
      <c r="N18" s="6"/>
    </row>
    <row r="19" spans="1:14" x14ac:dyDescent="0.25">
      <c r="N19" s="6"/>
    </row>
    <row r="20" spans="1:14" ht="18.75" thickBot="1" x14ac:dyDescent="0.3">
      <c r="N20" s="6"/>
    </row>
    <row r="21" spans="1:14" ht="19.5" thickTop="1" thickBot="1" x14ac:dyDescent="0.3">
      <c r="A21" s="7" t="s">
        <v>8</v>
      </c>
      <c r="B21" s="62"/>
      <c r="D21" s="43" t="s">
        <v>74</v>
      </c>
      <c r="E21" s="17"/>
      <c r="F21" s="42">
        <f>F6/$F$22</f>
        <v>1497.9649935500272</v>
      </c>
      <c r="G21" s="42">
        <f>G6/$F$22</f>
        <v>449.38949806500813</v>
      </c>
      <c r="H21" s="17">
        <f>H6/$F$22</f>
        <v>599.18599742001084</v>
      </c>
      <c r="I21" s="17">
        <f>I6/$F$22</f>
        <v>74.898249677501354</v>
      </c>
      <c r="N21" s="6"/>
    </row>
    <row r="22" spans="1:14" ht="19.5" thickTop="1" thickBot="1" x14ac:dyDescent="0.3">
      <c r="A22" s="73" t="s">
        <v>75</v>
      </c>
      <c r="B22" s="65"/>
      <c r="D22" s="43" t="s">
        <v>76</v>
      </c>
      <c r="E22" s="17"/>
      <c r="F22" s="42">
        <v>6.6757234268212109</v>
      </c>
      <c r="G22" s="42"/>
      <c r="H22" s="17"/>
      <c r="I22" s="30"/>
      <c r="N22" s="6"/>
    </row>
    <row r="23" spans="1:14" ht="19.5" thickTop="1" thickBot="1" x14ac:dyDescent="0.3">
      <c r="A23" s="64" t="s">
        <v>77</v>
      </c>
      <c r="B23" s="65"/>
      <c r="D23" s="74" t="s">
        <v>78</v>
      </c>
      <c r="E23" s="13"/>
      <c r="F23" s="22">
        <v>1</v>
      </c>
      <c r="G23" s="22">
        <v>1</v>
      </c>
      <c r="H23" s="13">
        <v>1</v>
      </c>
      <c r="I23" s="13">
        <v>1</v>
      </c>
      <c r="N23" s="6"/>
    </row>
    <row r="24" spans="1:14" ht="19.5" thickTop="1" thickBot="1" x14ac:dyDescent="0.3">
      <c r="A24" s="71"/>
      <c r="B24" s="72"/>
      <c r="N24" s="6"/>
    </row>
    <row r="25" spans="1:14" x14ac:dyDescent="0.25">
      <c r="A25" s="75" t="s">
        <v>79</v>
      </c>
      <c r="N25" s="6"/>
    </row>
    <row r="26" spans="1:14" ht="18.75" thickBot="1" x14ac:dyDescent="0.3">
      <c r="A26" s="75"/>
      <c r="N26" s="6"/>
    </row>
    <row r="27" spans="1:14" ht="19.5" thickTop="1" thickBot="1" x14ac:dyDescent="0.3">
      <c r="A27" s="7" t="s">
        <v>80</v>
      </c>
      <c r="B27" s="8"/>
      <c r="D27" s="43" t="s">
        <v>50</v>
      </c>
      <c r="E27" s="17"/>
      <c r="F27" s="17">
        <f>F10*F22/F23+F8*F6*F23/(2*F22)</f>
        <v>65259.178483458054</v>
      </c>
      <c r="G27" s="18">
        <f>G10*$F$22/G23+G8*G6*G23/(2*F22)</f>
        <v>20157.408368771452</v>
      </c>
      <c r="H27" s="17">
        <f>H10*$F$22/H23+H8*H6*H23/(2*$F$22)</f>
        <v>18659.443375221428</v>
      </c>
      <c r="I27" s="17">
        <f>I10*$F$22/I23+I8*I6*I23/(2*$F$22)</f>
        <v>13416.565897796332</v>
      </c>
      <c r="N27" s="6"/>
    </row>
    <row r="28" spans="1:14" ht="19.5" thickTop="1" thickBot="1" x14ac:dyDescent="0.3">
      <c r="A28" s="19" t="s">
        <v>50</v>
      </c>
      <c r="B28" s="10"/>
      <c r="D28" s="76" t="s">
        <v>81</v>
      </c>
      <c r="E28" s="17"/>
      <c r="F28" s="78">
        <f>SUM(F27:I27)+F22*G9</f>
        <v>184249.83039345936</v>
      </c>
      <c r="G28" s="42"/>
      <c r="H28" s="17"/>
      <c r="I28" s="30"/>
      <c r="N28" s="6"/>
    </row>
    <row r="29" spans="1:14" ht="19.5" thickTop="1" thickBot="1" x14ac:dyDescent="0.3">
      <c r="D29" s="43" t="s">
        <v>82</v>
      </c>
      <c r="E29" s="17"/>
      <c r="F29" s="2">
        <f>F27+F7*F6</f>
        <v>4065259.1784834582</v>
      </c>
      <c r="G29" s="17">
        <f>G27+G7*G6</f>
        <v>920157.40836877143</v>
      </c>
      <c r="H29" s="17">
        <f>H27+H7*H6</f>
        <v>818659.44337522145</v>
      </c>
      <c r="I29" s="17">
        <f>I27+I7*I6</f>
        <v>463416.5658977963</v>
      </c>
      <c r="N29" s="6"/>
    </row>
    <row r="30" spans="1:14" ht="19.5" thickTop="1" thickBot="1" x14ac:dyDescent="0.3">
      <c r="D30" s="74" t="s">
        <v>83</v>
      </c>
      <c r="E30" s="13"/>
      <c r="F30" s="77">
        <f>SUM(F29:I29)</f>
        <v>6267492.5961252479</v>
      </c>
      <c r="G30" s="22"/>
      <c r="H30" s="13"/>
      <c r="I30" s="30"/>
      <c r="N30" s="6"/>
    </row>
    <row r="31" spans="1:14" ht="18.75" thickTop="1" x14ac:dyDescent="0.25">
      <c r="N31" s="6"/>
    </row>
    <row r="32" spans="1:14" x14ac:dyDescent="0.25">
      <c r="N32" s="6"/>
    </row>
    <row r="33" spans="1:16" x14ac:dyDescent="0.25">
      <c r="N33" s="6"/>
    </row>
    <row r="34" spans="1:16" x14ac:dyDescent="0.25">
      <c r="N34" s="6"/>
    </row>
    <row r="35" spans="1:16" x14ac:dyDescent="0.25">
      <c r="N35" s="6"/>
      <c r="P35" s="1" t="s">
        <v>84</v>
      </c>
    </row>
    <row r="36" spans="1:16" x14ac:dyDescent="0.25">
      <c r="N36" s="6"/>
    </row>
    <row r="37" spans="1:16" ht="18.75" thickBo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3"/>
    </row>
    <row r="38" spans="1:16" ht="18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BFB7-FE4C-46CB-AEAC-56C86FE68BD1}">
  <dimension ref="A1:S44"/>
  <sheetViews>
    <sheetView topLeftCell="A4" workbookViewId="0">
      <selection activeCell="F7" sqref="F7"/>
    </sheetView>
  </sheetViews>
  <sheetFormatPr defaultRowHeight="18" x14ac:dyDescent="0.25"/>
  <cols>
    <col min="1" max="1" width="9" style="1"/>
    <col min="2" max="2" width="18.5" style="1" customWidth="1"/>
    <col min="3" max="4" width="9" style="1"/>
    <col min="5" max="5" width="14.25" style="1" customWidth="1"/>
    <col min="6" max="6" width="9" style="1"/>
    <col min="7" max="9" width="17.875" style="1" customWidth="1"/>
    <col min="10" max="16384" width="9" style="1"/>
  </cols>
  <sheetData>
    <row r="1" spans="1:14" ht="19.5" thickTop="1" thickBot="1" x14ac:dyDescent="0.3">
      <c r="N1" s="2"/>
    </row>
    <row r="2" spans="1:14" ht="18.75" thickBot="1" x14ac:dyDescent="0.3">
      <c r="A2" s="3" t="s">
        <v>33</v>
      </c>
      <c r="B2" s="4"/>
      <c r="C2" s="4"/>
      <c r="D2" s="5"/>
      <c r="N2" s="6"/>
    </row>
    <row r="3" spans="1:14" x14ac:dyDescent="0.25">
      <c r="N3" s="6"/>
    </row>
    <row r="4" spans="1:14" ht="18.75" thickBot="1" x14ac:dyDescent="0.3">
      <c r="N4" s="6"/>
    </row>
    <row r="5" spans="1:14" ht="18.75" thickBot="1" x14ac:dyDescent="0.3">
      <c r="A5" s="7" t="s">
        <v>0</v>
      </c>
      <c r="B5" s="8"/>
      <c r="F5" s="7" t="s">
        <v>1</v>
      </c>
      <c r="G5" s="8" t="s">
        <v>2</v>
      </c>
      <c r="H5" s="30" t="s">
        <v>20</v>
      </c>
      <c r="I5" s="30" t="s">
        <v>39</v>
      </c>
      <c r="N5" s="6"/>
    </row>
    <row r="6" spans="1:14" ht="18.75" thickBot="1" x14ac:dyDescent="0.3">
      <c r="A6" s="9" t="s">
        <v>3</v>
      </c>
      <c r="B6" s="10"/>
      <c r="D6" s="11" t="s">
        <v>4</v>
      </c>
      <c r="E6" s="12"/>
      <c r="F6" s="13">
        <v>1000</v>
      </c>
      <c r="G6" s="14">
        <v>5000</v>
      </c>
      <c r="H6" s="32">
        <v>10000</v>
      </c>
      <c r="I6" s="32">
        <v>8000</v>
      </c>
      <c r="J6" s="32"/>
      <c r="K6" s="7" t="s">
        <v>5</v>
      </c>
      <c r="L6" s="8">
        <v>0.1</v>
      </c>
      <c r="N6" s="6"/>
    </row>
    <row r="7" spans="1:14" ht="19.5" thickTop="1" thickBot="1" x14ac:dyDescent="0.3">
      <c r="D7" s="7" t="s">
        <v>6</v>
      </c>
      <c r="E7" s="8"/>
      <c r="F7" s="17">
        <v>6</v>
      </c>
      <c r="G7" s="18">
        <v>10</v>
      </c>
      <c r="H7" s="30">
        <v>10</v>
      </c>
      <c r="I7" s="30">
        <v>8</v>
      </c>
      <c r="N7" s="6"/>
    </row>
    <row r="8" spans="1:14" ht="19.5" thickTop="1" thickBot="1" x14ac:dyDescent="0.3">
      <c r="D8" s="19" t="s">
        <v>7</v>
      </c>
      <c r="E8" s="10"/>
      <c r="F8" s="17">
        <v>10</v>
      </c>
      <c r="G8" s="18">
        <v>3</v>
      </c>
      <c r="H8" s="30">
        <v>5</v>
      </c>
      <c r="I8" s="30">
        <v>2</v>
      </c>
      <c r="N8" s="6"/>
    </row>
    <row r="9" spans="1:14" ht="19.5" thickTop="1" thickBot="1" x14ac:dyDescent="0.3">
      <c r="D9" s="19" t="s">
        <v>22</v>
      </c>
      <c r="E9" s="10"/>
      <c r="F9" s="17">
        <f>F8*$L$6</f>
        <v>1</v>
      </c>
      <c r="G9" s="18">
        <f>G8*$L$6</f>
        <v>0.30000000000000004</v>
      </c>
      <c r="H9" s="18">
        <f>H8*$L$6</f>
        <v>0.5</v>
      </c>
      <c r="I9" s="18">
        <f t="shared" ref="I9" si="0">I8*$L$6</f>
        <v>0.2</v>
      </c>
      <c r="N9" s="6"/>
    </row>
    <row r="10" spans="1:14" ht="19.5" thickTop="1" thickBot="1" x14ac:dyDescent="0.3">
      <c r="D10" s="39" t="s">
        <v>34</v>
      </c>
      <c r="E10" s="8"/>
      <c r="F10" s="17">
        <v>5</v>
      </c>
      <c r="G10" s="18">
        <v>1</v>
      </c>
      <c r="H10" s="30">
        <v>1</v>
      </c>
      <c r="I10" s="30">
        <v>1.5</v>
      </c>
      <c r="N10" s="6"/>
    </row>
    <row r="11" spans="1:14" ht="18.75" thickBot="1" x14ac:dyDescent="0.3">
      <c r="N11" s="6"/>
    </row>
    <row r="12" spans="1:14" ht="18.75" thickBot="1" x14ac:dyDescent="0.3">
      <c r="D12" s="33" t="s">
        <v>35</v>
      </c>
      <c r="E12" s="8"/>
      <c r="F12" s="21">
        <v>15000</v>
      </c>
      <c r="N12" s="6"/>
    </row>
    <row r="13" spans="1:14" x14ac:dyDescent="0.25">
      <c r="N13" s="6"/>
    </row>
    <row r="14" spans="1:14" ht="18.75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3"/>
    </row>
    <row r="15" spans="1:14" ht="19.5" thickTop="1" thickBot="1" x14ac:dyDescent="0.3">
      <c r="N15" s="2"/>
    </row>
    <row r="16" spans="1:14" ht="18.75" thickBot="1" x14ac:dyDescent="0.3">
      <c r="A16" s="7" t="s">
        <v>8</v>
      </c>
      <c r="B16" s="8"/>
      <c r="D16" s="11" t="s">
        <v>9</v>
      </c>
      <c r="E16" s="12">
        <f xml:space="preserve"> SQRT(2*F7*F6/F9)</f>
        <v>109.54451150103323</v>
      </c>
      <c r="N16" s="6"/>
    </row>
    <row r="17" spans="1:15" ht="18.75" thickBot="1" x14ac:dyDescent="0.3">
      <c r="A17" s="9" t="s">
        <v>10</v>
      </c>
      <c r="B17" s="10"/>
      <c r="D17" s="19" t="s">
        <v>11</v>
      </c>
      <c r="E17" s="10">
        <f xml:space="preserve"> SQRT(2*G7*G6/G9)</f>
        <v>577.35026918962569</v>
      </c>
      <c r="N17" s="6"/>
    </row>
    <row r="18" spans="1:15" ht="18.75" thickBot="1" x14ac:dyDescent="0.3">
      <c r="A18" s="37"/>
      <c r="B18" s="30"/>
      <c r="D18" s="30" t="s">
        <v>40</v>
      </c>
      <c r="E18" s="10">
        <f xml:space="preserve"> SQRT(2*H6*H7/H9)</f>
        <v>632.45553203367592</v>
      </c>
      <c r="N18" s="6"/>
    </row>
    <row r="19" spans="1:15" x14ac:dyDescent="0.25">
      <c r="A19" s="37"/>
      <c r="B19" s="30"/>
      <c r="D19" s="30" t="s">
        <v>41</v>
      </c>
      <c r="E19" s="30">
        <f xml:space="preserve"> SQRT(2*I7*I6/I9)</f>
        <v>800</v>
      </c>
      <c r="N19" s="6"/>
    </row>
    <row r="20" spans="1:15" ht="18.75" thickBot="1" x14ac:dyDescent="0.3">
      <c r="A20" s="23"/>
      <c r="N20" s="6"/>
    </row>
    <row r="21" spans="1:15" ht="18.75" thickBot="1" x14ac:dyDescent="0.3">
      <c r="A21" s="23"/>
      <c r="D21" s="11" t="s">
        <v>24</v>
      </c>
      <c r="E21" s="12">
        <f xml:space="preserve"> F10*E16</f>
        <v>547.72255750516615</v>
      </c>
      <c r="G21" s="7" t="s">
        <v>36</v>
      </c>
      <c r="H21" s="31"/>
      <c r="I21" s="31"/>
      <c r="J21" s="8">
        <f>E21+E22+E23+E24</f>
        <v>2957.5283587284675</v>
      </c>
      <c r="N21" s="6"/>
    </row>
    <row r="22" spans="1:15" ht="18.75" thickBot="1" x14ac:dyDescent="0.3">
      <c r="D22" s="19" t="s">
        <v>26</v>
      </c>
      <c r="E22" s="10">
        <f xml:space="preserve"> G10*E17</f>
        <v>577.35026918962569</v>
      </c>
      <c r="N22" s="6"/>
    </row>
    <row r="23" spans="1:15" x14ac:dyDescent="0.25">
      <c r="D23" s="30" t="s">
        <v>42</v>
      </c>
      <c r="E23" s="30">
        <f xml:space="preserve"> H10*E18</f>
        <v>632.45553203367592</v>
      </c>
      <c r="N23" s="6"/>
    </row>
    <row r="24" spans="1:15" x14ac:dyDescent="0.25">
      <c r="D24" s="30" t="s">
        <v>43</v>
      </c>
      <c r="E24" s="30">
        <f xml:space="preserve"> I10*E19</f>
        <v>1200</v>
      </c>
      <c r="N24" s="6"/>
    </row>
    <row r="25" spans="1:15" ht="18.75" thickBo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3"/>
    </row>
    <row r="26" spans="1:15" ht="19.5" thickTop="1" thickBot="1" x14ac:dyDescent="0.3">
      <c r="N26" s="2"/>
    </row>
    <row r="27" spans="1:15" ht="18.75" thickBot="1" x14ac:dyDescent="0.3">
      <c r="A27" s="7" t="s">
        <v>12</v>
      </c>
      <c r="B27" s="8"/>
      <c r="D27" s="1" t="s">
        <v>13</v>
      </c>
      <c r="F27" s="24" t="b">
        <f xml:space="preserve"> IF(J21 &lt;= F12, FALSE, TRUE)</f>
        <v>0</v>
      </c>
      <c r="N27" s="6"/>
    </row>
    <row r="28" spans="1:15" ht="18.75" thickBot="1" x14ac:dyDescent="0.3">
      <c r="A28" s="9" t="s">
        <v>14</v>
      </c>
      <c r="B28" s="10"/>
      <c r="N28" s="6"/>
    </row>
    <row r="29" spans="1:15" ht="18.75" thickBo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3"/>
    </row>
    <row r="30" spans="1:15" ht="18.75" thickTop="1" x14ac:dyDescent="0.25">
      <c r="O30" s="2"/>
    </row>
    <row r="31" spans="1:15" x14ac:dyDescent="0.25">
      <c r="O31" s="6"/>
    </row>
    <row r="32" spans="1:15" ht="18.75" thickBot="1" x14ac:dyDescent="0.3">
      <c r="O32" s="6"/>
    </row>
    <row r="33" spans="1:19" ht="18.75" thickBot="1" x14ac:dyDescent="0.3">
      <c r="D33" s="34" t="s">
        <v>15</v>
      </c>
      <c r="E33" s="24" t="s">
        <v>17</v>
      </c>
      <c r="F33" s="8" t="s">
        <v>19</v>
      </c>
      <c r="G33" s="8" t="s">
        <v>30</v>
      </c>
      <c r="H33" s="24" t="s">
        <v>37</v>
      </c>
      <c r="I33" s="30"/>
      <c r="J33" s="30"/>
      <c r="O33" s="6"/>
    </row>
    <row r="34" spans="1:19" ht="18.75" thickBot="1" x14ac:dyDescent="0.3">
      <c r="D34" s="24">
        <v>0.33438746404372743</v>
      </c>
      <c r="E34" s="31">
        <f xml:space="preserve"> SQRT(2*F7*F6/(F9+2*$D$34*F10))</f>
        <v>52.559591513065833</v>
      </c>
      <c r="F34" s="31">
        <f xml:space="preserve"> SQRT(2*G7*G6/(G9+2*$D$34*G10))</f>
        <v>321.28359791759044</v>
      </c>
      <c r="G34" s="31"/>
      <c r="H34" s="8">
        <f xml:space="preserve"> F10*E34 + G10*F34</f>
        <v>584.08155548291961</v>
      </c>
      <c r="I34" s="30"/>
      <c r="J34" s="30"/>
      <c r="M34" s="40" t="s">
        <v>28</v>
      </c>
      <c r="O34" s="6"/>
    </row>
    <row r="35" spans="1:19" x14ac:dyDescent="0.25">
      <c r="O35" s="6"/>
    </row>
    <row r="36" spans="1:19" x14ac:dyDescent="0.25">
      <c r="D36" s="25"/>
      <c r="O36" s="6"/>
    </row>
    <row r="37" spans="1:19" ht="18.75" thickBot="1" x14ac:dyDescent="0.3">
      <c r="O37" s="6"/>
    </row>
    <row r="38" spans="1:19" ht="18.75" thickBot="1" x14ac:dyDescent="0.3">
      <c r="A38" s="7" t="s">
        <v>16</v>
      </c>
      <c r="B38" s="8"/>
      <c r="D38" s="26" t="s">
        <v>17</v>
      </c>
      <c r="E38" s="26">
        <f>IF(F27=TRUE,E34,E16)</f>
        <v>109.54451150103323</v>
      </c>
      <c r="O38" s="6"/>
    </row>
    <row r="39" spans="1:19" ht="18.75" thickBot="1" x14ac:dyDescent="0.3">
      <c r="A39" s="9" t="s">
        <v>38</v>
      </c>
      <c r="B39" s="10"/>
      <c r="D39" s="27" t="s">
        <v>19</v>
      </c>
      <c r="E39" s="27">
        <f>IF(F27=TRUE,F34,E17)</f>
        <v>577.35026918962569</v>
      </c>
      <c r="O39" s="6"/>
    </row>
    <row r="40" spans="1:19" x14ac:dyDescent="0.25">
      <c r="O40" s="6"/>
    </row>
    <row r="41" spans="1:19" ht="18.75" thickBo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</row>
    <row r="44" spans="1:19" x14ac:dyDescent="0.25">
      <c r="P44" s="36" t="s">
        <v>29</v>
      </c>
      <c r="Q44" s="36"/>
      <c r="R44" s="36"/>
      <c r="S44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FB72-21A7-4431-B414-11EC983E24FA}">
  <dimension ref="A1:N28"/>
  <sheetViews>
    <sheetView workbookViewId="0">
      <selection activeCell="F18" sqref="F18"/>
    </sheetView>
  </sheetViews>
  <sheetFormatPr defaultRowHeight="18" x14ac:dyDescent="0.25"/>
  <cols>
    <col min="1" max="1" width="9" style="1"/>
    <col min="2" max="2" width="14.625" style="1" customWidth="1"/>
    <col min="3" max="3" width="9" style="1"/>
    <col min="4" max="4" width="20.625" style="1" customWidth="1"/>
    <col min="5" max="5" width="13.875" style="1" customWidth="1"/>
    <col min="6" max="6" width="11.875" style="1" customWidth="1"/>
    <col min="7" max="16384" width="9" style="1"/>
  </cols>
  <sheetData>
    <row r="1" spans="1:14" ht="19.5" thickTop="1" thickBot="1" x14ac:dyDescent="0.3">
      <c r="N1" s="2"/>
    </row>
    <row r="2" spans="1:14" ht="18.75" thickBot="1" x14ac:dyDescent="0.3">
      <c r="A2" s="3" t="s">
        <v>58</v>
      </c>
      <c r="B2" s="4"/>
      <c r="C2" s="4"/>
      <c r="D2" s="5"/>
      <c r="N2" s="6"/>
    </row>
    <row r="3" spans="1:14" x14ac:dyDescent="0.25">
      <c r="N3" s="6"/>
    </row>
    <row r="4" spans="1:14" ht="18.75" thickBot="1" x14ac:dyDescent="0.3">
      <c r="N4" s="6"/>
    </row>
    <row r="5" spans="1:14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I5" s="30" t="s">
        <v>39</v>
      </c>
      <c r="N5" s="6"/>
    </row>
    <row r="6" spans="1:14" ht="18.75" thickBot="1" x14ac:dyDescent="0.3">
      <c r="A6" s="9" t="s">
        <v>3</v>
      </c>
      <c r="B6" s="10"/>
      <c r="D6" s="7" t="s">
        <v>4</v>
      </c>
      <c r="E6" s="8"/>
      <c r="F6" s="13">
        <v>100000</v>
      </c>
      <c r="G6" s="14">
        <v>20000</v>
      </c>
      <c r="H6" s="14">
        <v>1000</v>
      </c>
      <c r="I6" s="30">
        <v>300</v>
      </c>
      <c r="K6" s="7" t="s">
        <v>5</v>
      </c>
      <c r="L6" s="8">
        <v>0.2</v>
      </c>
      <c r="N6" s="6"/>
    </row>
    <row r="7" spans="1:14" ht="19.5" thickTop="1" thickBot="1" x14ac:dyDescent="0.3">
      <c r="D7" s="19" t="s">
        <v>7</v>
      </c>
      <c r="E7" s="10"/>
      <c r="F7" s="17">
        <v>1</v>
      </c>
      <c r="G7" s="17">
        <v>1</v>
      </c>
      <c r="H7" s="17">
        <v>1</v>
      </c>
      <c r="I7" s="30">
        <v>1</v>
      </c>
      <c r="N7" s="6"/>
    </row>
    <row r="8" spans="1:14" ht="19.5" thickTop="1" thickBot="1" x14ac:dyDescent="0.3">
      <c r="D8" s="7" t="s">
        <v>57</v>
      </c>
      <c r="E8" s="8"/>
      <c r="F8" s="17">
        <f>F7*L6</f>
        <v>0.2</v>
      </c>
      <c r="G8" s="18">
        <f>G7*L6</f>
        <v>0.2</v>
      </c>
      <c r="H8" s="18">
        <f>H7*$L$6</f>
        <v>0.2</v>
      </c>
      <c r="I8" s="18">
        <f>I7*$L$6</f>
        <v>0.2</v>
      </c>
      <c r="N8" s="6"/>
    </row>
    <row r="9" spans="1:14" ht="19.5" thickTop="1" thickBot="1" x14ac:dyDescent="0.3">
      <c r="D9" s="15" t="s">
        <v>56</v>
      </c>
      <c r="E9" s="16"/>
      <c r="F9" s="17">
        <v>100</v>
      </c>
      <c r="G9" s="18">
        <v>100</v>
      </c>
      <c r="H9" s="18">
        <v>100</v>
      </c>
      <c r="I9" s="30">
        <v>100</v>
      </c>
      <c r="N9" s="6"/>
    </row>
    <row r="10" spans="1:14" ht="19.5" thickTop="1" thickBot="1" x14ac:dyDescent="0.3">
      <c r="D10" s="7" t="s">
        <v>55</v>
      </c>
      <c r="E10" s="8"/>
      <c r="F10" s="47">
        <v>5</v>
      </c>
      <c r="G10" s="47">
        <v>5</v>
      </c>
      <c r="H10" s="47">
        <v>21.5</v>
      </c>
      <c r="I10" s="30">
        <v>5</v>
      </c>
      <c r="N10" s="6"/>
    </row>
    <row r="11" spans="1:14" ht="19.5" thickTop="1" thickBot="1" x14ac:dyDescent="0.3">
      <c r="D11" s="7" t="s">
        <v>54</v>
      </c>
      <c r="E11" s="8"/>
      <c r="F11" s="47">
        <f>F9+F10</f>
        <v>105</v>
      </c>
      <c r="G11" s="47">
        <f>G9+G10</f>
        <v>105</v>
      </c>
      <c r="H11" s="47">
        <f>H9+H10</f>
        <v>121.5</v>
      </c>
      <c r="I11" s="47">
        <f>I9+I10</f>
        <v>105</v>
      </c>
      <c r="N11" s="6"/>
    </row>
    <row r="12" spans="1:14" x14ac:dyDescent="0.25">
      <c r="N12" s="6"/>
    </row>
    <row r="13" spans="1:14" ht="18.75" thickBot="1" x14ac:dyDescent="0.3">
      <c r="N13" s="6"/>
    </row>
    <row r="14" spans="1:14" ht="18.75" thickBot="1" x14ac:dyDescent="0.3">
      <c r="A14" s="7" t="s">
        <v>8</v>
      </c>
      <c r="B14" s="8"/>
      <c r="D14" s="7" t="s">
        <v>53</v>
      </c>
      <c r="E14" s="8"/>
      <c r="F14" s="46">
        <f xml:space="preserve"> SQRT(2*F11*F6/F8)</f>
        <v>10246.950765959598</v>
      </c>
      <c r="G14" s="45">
        <f xml:space="preserve"> SQRT(2*G11*G6/G8)</f>
        <v>4582.5756949558399</v>
      </c>
      <c r="H14" s="44">
        <f xml:space="preserve"> SQRT(2*H11*H6/H8)</f>
        <v>1102.2703842524302</v>
      </c>
      <c r="I14" s="44">
        <f xml:space="preserve"> SQRT(2*I11*I6/I8)</f>
        <v>561.24860801609123</v>
      </c>
      <c r="N14" s="6"/>
    </row>
    <row r="15" spans="1:14" ht="18.75" thickBot="1" x14ac:dyDescent="0.3">
      <c r="A15" s="9" t="s">
        <v>52</v>
      </c>
      <c r="B15" s="10"/>
      <c r="D15" s="19" t="s">
        <v>51</v>
      </c>
      <c r="E15" s="10"/>
      <c r="F15" s="15">
        <f>F14/2</f>
        <v>5123.4753829797992</v>
      </c>
      <c r="G15" s="1">
        <f>G14/2</f>
        <v>2291.28784747792</v>
      </c>
      <c r="H15" s="16">
        <f>H14/2</f>
        <v>551.13519212621509</v>
      </c>
      <c r="I15" s="16">
        <f>I14/2</f>
        <v>280.62430400804561</v>
      </c>
      <c r="N15" s="6"/>
    </row>
    <row r="16" spans="1:14" ht="18.75" thickBot="1" x14ac:dyDescent="0.3">
      <c r="D16" s="7" t="s">
        <v>50</v>
      </c>
      <c r="E16" s="8"/>
      <c r="F16" s="46">
        <f>(F11*F6/F14)+(F8*F15)</f>
        <v>2049.3901531919196</v>
      </c>
      <c r="G16" s="45">
        <f>(G11*G6/G14)+(G8*G15)</f>
        <v>916.51513899116799</v>
      </c>
      <c r="H16" s="44">
        <f>(H11*H6/H14)+(H8*H15)</f>
        <v>220.45407685048605</v>
      </c>
      <c r="I16" s="44">
        <f>(I11*I6/I14)+(I8*I15)</f>
        <v>112.24972160321823</v>
      </c>
      <c r="N16" s="6"/>
    </row>
    <row r="17" spans="1:14" ht="18.75" thickBot="1" x14ac:dyDescent="0.3">
      <c r="D17" s="15" t="s">
        <v>49</v>
      </c>
      <c r="E17" s="16"/>
      <c r="F17" s="15">
        <f xml:space="preserve"> (F8*F15)</f>
        <v>1024.6950765959598</v>
      </c>
      <c r="G17" s="1">
        <f xml:space="preserve"> (G8*G15)</f>
        <v>458.25756949558399</v>
      </c>
      <c r="H17" s="16">
        <f xml:space="preserve"> (H8*H15)</f>
        <v>110.22703842524302</v>
      </c>
      <c r="I17" s="16">
        <f xml:space="preserve"> (I8*I15)</f>
        <v>56.124860801609124</v>
      </c>
      <c r="N17" s="6"/>
    </row>
    <row r="18" spans="1:14" ht="18.75" thickBot="1" x14ac:dyDescent="0.3">
      <c r="D18" s="7" t="s">
        <v>48</v>
      </c>
      <c r="E18" s="8"/>
      <c r="F18" s="15">
        <f>(F11*F6/F14)</f>
        <v>1024.6950765959598</v>
      </c>
      <c r="G18" s="1">
        <f>(G11*G6/G14)</f>
        <v>458.25756949558399</v>
      </c>
      <c r="H18" s="16">
        <f>(H11*H6/H14)</f>
        <v>110.22703842524301</v>
      </c>
      <c r="I18" s="16">
        <f>(I11*I6/I14)</f>
        <v>56.124860801609117</v>
      </c>
      <c r="N18" s="6"/>
    </row>
    <row r="19" spans="1:14" ht="18.75" thickBot="1" x14ac:dyDescent="0.3">
      <c r="D19" s="7" t="s">
        <v>47</v>
      </c>
      <c r="E19" s="8"/>
      <c r="F19" s="15">
        <f>F6/F14</f>
        <v>9.7590007294853311</v>
      </c>
      <c r="G19" s="1">
        <f>G6/G14</f>
        <v>4.3643578047198481</v>
      </c>
      <c r="H19" s="16">
        <f>H6/H14</f>
        <v>0.90721842325302893</v>
      </c>
      <c r="I19" s="16">
        <f>I6/I14</f>
        <v>0.53452248382484879</v>
      </c>
      <c r="N19" s="6"/>
    </row>
    <row r="20" spans="1:14" ht="18.75" thickBot="1" x14ac:dyDescent="0.3">
      <c r="D20" s="7" t="s">
        <v>46</v>
      </c>
      <c r="E20" s="8"/>
      <c r="F20" s="19">
        <f>1/F19</f>
        <v>0.10246950765959599</v>
      </c>
      <c r="G20" s="28">
        <f>1/G19</f>
        <v>0.22912878474779197</v>
      </c>
      <c r="H20" s="10">
        <f>1/H19</f>
        <v>1.1022703842524302</v>
      </c>
      <c r="I20" s="10">
        <f>1/I19</f>
        <v>1.8708286933869707</v>
      </c>
      <c r="N20" s="6"/>
    </row>
    <row r="21" spans="1:14" x14ac:dyDescent="0.25">
      <c r="N21" s="6"/>
    </row>
    <row r="22" spans="1:14" ht="18.75" thickBot="1" x14ac:dyDescent="0.3">
      <c r="N22" s="6"/>
    </row>
    <row r="23" spans="1:14" ht="18.75" thickBot="1" x14ac:dyDescent="0.3">
      <c r="A23" s="7" t="s">
        <v>12</v>
      </c>
      <c r="B23" s="8"/>
      <c r="N23" s="6"/>
    </row>
    <row r="24" spans="1:14" ht="19.5" thickTop="1" thickBot="1" x14ac:dyDescent="0.3">
      <c r="A24" s="9" t="s">
        <v>45</v>
      </c>
      <c r="B24" s="10"/>
      <c r="D24" s="43" t="s">
        <v>44</v>
      </c>
      <c r="E24" s="42"/>
      <c r="F24" s="41">
        <f>F16+G16+H16+I16</f>
        <v>3298.6090906367922</v>
      </c>
      <c r="N24" s="6"/>
    </row>
    <row r="25" spans="1:14" x14ac:dyDescent="0.25">
      <c r="N25" s="6"/>
    </row>
    <row r="26" spans="1:14" ht="18.75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"/>
    </row>
    <row r="27" spans="1:14" ht="19.5" thickTop="1" thickBot="1" x14ac:dyDescent="0.3"/>
    <row r="28" spans="1:14" ht="18.75" thickBot="1" x14ac:dyDescent="0.3">
      <c r="A28" s="7"/>
      <c r="B28" s="31"/>
      <c r="C28" s="31"/>
      <c r="D2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56F2-B932-494F-861B-A6FF8F2A1A9B}">
  <dimension ref="A1:U27"/>
  <sheetViews>
    <sheetView workbookViewId="0">
      <selection activeCell="J27" sqref="J27"/>
    </sheetView>
  </sheetViews>
  <sheetFormatPr defaultRowHeight="18" x14ac:dyDescent="0.25"/>
  <cols>
    <col min="1" max="1" width="9" style="1"/>
    <col min="2" max="2" width="14.125" style="1" customWidth="1"/>
    <col min="3" max="4" width="9" style="1"/>
    <col min="5" max="5" width="22.5" style="1" customWidth="1"/>
    <col min="6" max="6" width="11" style="1" customWidth="1"/>
    <col min="7" max="7" width="9" style="1"/>
    <col min="8" max="8" width="12.25" style="1" customWidth="1"/>
    <col min="9" max="9" width="12.75" style="1" customWidth="1"/>
    <col min="10" max="16384" width="9" style="1"/>
  </cols>
  <sheetData>
    <row r="1" spans="1:21" ht="18.75" thickBot="1" x14ac:dyDescent="0.3"/>
    <row r="2" spans="1:21" ht="18.75" thickBot="1" x14ac:dyDescent="0.3">
      <c r="A2" s="3" t="s">
        <v>59</v>
      </c>
      <c r="B2" s="4"/>
      <c r="C2" s="4"/>
      <c r="D2" s="5"/>
      <c r="N2" s="6"/>
    </row>
    <row r="3" spans="1:21" x14ac:dyDescent="0.25">
      <c r="N3" s="6"/>
    </row>
    <row r="4" spans="1:21" ht="18.75" thickBot="1" x14ac:dyDescent="0.3">
      <c r="N4" s="6"/>
    </row>
    <row r="5" spans="1:21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I5" s="30" t="s">
        <v>39</v>
      </c>
      <c r="N5" s="6"/>
    </row>
    <row r="6" spans="1:21" ht="18.75" thickBot="1" x14ac:dyDescent="0.3">
      <c r="A6" s="9" t="s">
        <v>3</v>
      </c>
      <c r="B6" s="10"/>
      <c r="D6" s="7" t="s">
        <v>4</v>
      </c>
      <c r="E6" s="8"/>
      <c r="F6" s="13">
        <v>100000</v>
      </c>
      <c r="G6" s="14">
        <v>20000</v>
      </c>
      <c r="H6" s="14">
        <v>1000</v>
      </c>
      <c r="I6" s="30">
        <v>300</v>
      </c>
      <c r="K6" s="7" t="s">
        <v>5</v>
      </c>
      <c r="L6" s="8">
        <v>0.2</v>
      </c>
      <c r="N6" s="6"/>
    </row>
    <row r="7" spans="1:21" ht="19.5" thickTop="1" thickBot="1" x14ac:dyDescent="0.3">
      <c r="D7" s="19" t="s">
        <v>7</v>
      </c>
      <c r="E7" s="10"/>
      <c r="F7" s="17">
        <v>1</v>
      </c>
      <c r="G7" s="17">
        <v>1</v>
      </c>
      <c r="H7" s="17">
        <v>1</v>
      </c>
      <c r="I7" s="30">
        <v>1</v>
      </c>
      <c r="N7" s="6"/>
    </row>
    <row r="8" spans="1:21" ht="19.5" thickTop="1" thickBot="1" x14ac:dyDescent="0.3">
      <c r="D8" s="7" t="s">
        <v>57</v>
      </c>
      <c r="E8" s="8"/>
      <c r="F8" s="17">
        <f>F7*$L$6</f>
        <v>0.2</v>
      </c>
      <c r="G8" s="17">
        <f t="shared" ref="G8:I8" si="0">G7*$L$6</f>
        <v>0.2</v>
      </c>
      <c r="H8" s="17">
        <f t="shared" si="0"/>
        <v>0.2</v>
      </c>
      <c r="I8" s="17">
        <f t="shared" si="0"/>
        <v>0.2</v>
      </c>
      <c r="N8" s="6"/>
    </row>
    <row r="9" spans="1:21" ht="19.5" thickTop="1" thickBot="1" x14ac:dyDescent="0.3">
      <c r="D9" s="15" t="s">
        <v>56</v>
      </c>
      <c r="E9" s="16"/>
      <c r="F9" s="17">
        <v>100</v>
      </c>
      <c r="G9" s="18">
        <v>100</v>
      </c>
      <c r="H9" s="18">
        <v>100</v>
      </c>
      <c r="I9" s="30">
        <v>100</v>
      </c>
      <c r="N9" s="6"/>
    </row>
    <row r="10" spans="1:21" ht="19.5" thickTop="1" thickBot="1" x14ac:dyDescent="0.3">
      <c r="D10" s="7" t="s">
        <v>55</v>
      </c>
      <c r="E10" s="8"/>
      <c r="F10" s="47">
        <v>5</v>
      </c>
      <c r="G10" s="47">
        <v>5</v>
      </c>
      <c r="H10" s="47">
        <v>21.5</v>
      </c>
      <c r="I10" s="30">
        <v>5</v>
      </c>
      <c r="N10" s="6"/>
    </row>
    <row r="11" spans="1:21" ht="19.5" thickTop="1" thickBot="1" x14ac:dyDescent="0.3">
      <c r="D11" s="7" t="s">
        <v>60</v>
      </c>
      <c r="E11" s="8"/>
      <c r="F11" s="47"/>
      <c r="G11" s="47">
        <f>G9+F10+G10+H10+I10</f>
        <v>136.5</v>
      </c>
      <c r="H11" s="47"/>
      <c r="I11" s="47"/>
      <c r="N11" s="6"/>
    </row>
    <row r="12" spans="1:21" ht="18.75" thickBot="1" x14ac:dyDescent="0.3">
      <c r="N12" s="6"/>
      <c r="R12" s="13">
        <v>100000</v>
      </c>
      <c r="S12" s="14">
        <v>20000</v>
      </c>
      <c r="T12" s="14">
        <v>1000</v>
      </c>
      <c r="U12" s="30">
        <v>300</v>
      </c>
    </row>
    <row r="13" spans="1:21" ht="19.5" thickTop="1" thickBot="1" x14ac:dyDescent="0.3">
      <c r="N13" s="6"/>
      <c r="R13" s="17">
        <v>1</v>
      </c>
      <c r="S13" s="17">
        <v>1</v>
      </c>
      <c r="T13" s="17">
        <v>1</v>
      </c>
      <c r="U13" s="30">
        <v>1</v>
      </c>
    </row>
    <row r="14" spans="1:21" ht="19.5" thickTop="1" thickBot="1" x14ac:dyDescent="0.3">
      <c r="A14" s="7" t="s">
        <v>8</v>
      </c>
      <c r="B14" s="8"/>
      <c r="D14" s="20" t="s">
        <v>61</v>
      </c>
      <c r="E14" s="50"/>
      <c r="F14" s="31"/>
      <c r="G14" s="45">
        <f xml:space="preserve"> SQRT(($F$8*$F$6+$G$6*$G$8+$H$6*$H$8+I6*I8)/(2*$G$11))</f>
        <v>9.426795259496668</v>
      </c>
      <c r="H14" s="8"/>
      <c r="I14" s="30"/>
      <c r="N14" s="6"/>
      <c r="R14" s="17">
        <f>R13*X12</f>
        <v>0</v>
      </c>
      <c r="S14" s="18">
        <f>S13*X12</f>
        <v>0</v>
      </c>
      <c r="T14" s="18">
        <f>T13*$M$6</f>
        <v>0</v>
      </c>
      <c r="U14" s="18">
        <f>U13*$M$6</f>
        <v>0</v>
      </c>
    </row>
    <row r="15" spans="1:21" ht="19.5" thickTop="1" thickBot="1" x14ac:dyDescent="0.3">
      <c r="A15" s="9" t="s">
        <v>52</v>
      </c>
      <c r="B15" s="10"/>
      <c r="N15" s="6"/>
      <c r="R15" s="17">
        <v>100</v>
      </c>
      <c r="S15" s="18">
        <v>100</v>
      </c>
      <c r="T15" s="18">
        <v>100</v>
      </c>
      <c r="U15" s="30">
        <v>100</v>
      </c>
    </row>
    <row r="16" spans="1:21" ht="19.5" thickTop="1" thickBot="1" x14ac:dyDescent="0.3">
      <c r="A16" s="15"/>
      <c r="C16" s="16"/>
      <c r="D16" s="7" t="s">
        <v>53</v>
      </c>
      <c r="E16" s="8"/>
      <c r="F16" s="51">
        <f xml:space="preserve"> F6/$G$14</f>
        <v>10608.058968848272</v>
      </c>
      <c r="G16" s="52">
        <f xml:space="preserve"> G6/$G$14</f>
        <v>2121.6117937696545</v>
      </c>
      <c r="H16" s="52">
        <f xml:space="preserve"> H6/$G$14</f>
        <v>106.08058968848272</v>
      </c>
      <c r="I16" s="52">
        <f xml:space="preserve"> I6/$G$14</f>
        <v>31.824176906544814</v>
      </c>
      <c r="N16" s="6"/>
      <c r="R16" s="47">
        <v>5</v>
      </c>
      <c r="S16" s="47">
        <v>5</v>
      </c>
      <c r="T16" s="47">
        <v>21.5</v>
      </c>
      <c r="U16" s="30">
        <v>5</v>
      </c>
    </row>
    <row r="17" spans="1:21" ht="19.5" thickTop="1" thickBot="1" x14ac:dyDescent="0.3">
      <c r="A17" s="53"/>
      <c r="D17" s="19" t="s">
        <v>51</v>
      </c>
      <c r="E17" s="10"/>
      <c r="F17" s="54">
        <f>F16/2</f>
        <v>5304.0294844241362</v>
      </c>
      <c r="G17" s="55">
        <f>G16/2</f>
        <v>1060.8058968848272</v>
      </c>
      <c r="H17" s="16">
        <f>H16/2</f>
        <v>53.040294844241359</v>
      </c>
      <c r="I17" s="16">
        <f>I16/2</f>
        <v>15.912088453272407</v>
      </c>
      <c r="N17" s="6"/>
      <c r="R17" s="47">
        <f>R15+R16</f>
        <v>105</v>
      </c>
      <c r="S17" s="47">
        <f>S15+S16</f>
        <v>105</v>
      </c>
      <c r="T17" s="47">
        <f>T15+T16</f>
        <v>121.5</v>
      </c>
      <c r="U17" s="47">
        <f>U15+U16</f>
        <v>105</v>
      </c>
    </row>
    <row r="18" spans="1:21" ht="18.75" thickBot="1" x14ac:dyDescent="0.3">
      <c r="D18" s="15" t="s">
        <v>49</v>
      </c>
      <c r="E18" s="16"/>
      <c r="F18" s="56">
        <f xml:space="preserve"> (F8*F17)</f>
        <v>1060.8058968848272</v>
      </c>
      <c r="G18" s="57">
        <f xml:space="preserve"> (G8*G17)</f>
        <v>212.16117937696546</v>
      </c>
      <c r="H18" s="58">
        <f xml:space="preserve"> (H8*H17)</f>
        <v>10.608058968848272</v>
      </c>
      <c r="I18" s="58">
        <f xml:space="preserve"> (I8*I17)</f>
        <v>3.1824176906544817</v>
      </c>
      <c r="N18" s="6"/>
    </row>
    <row r="19" spans="1:21" ht="19.5" thickTop="1" thickBot="1" x14ac:dyDescent="0.3">
      <c r="D19" s="7" t="s">
        <v>48</v>
      </c>
      <c r="E19" s="8"/>
      <c r="F19" s="48"/>
      <c r="G19" s="42">
        <f>(G11*G14)</f>
        <v>1286.7575529212952</v>
      </c>
      <c r="H19" s="59"/>
      <c r="I19" s="30"/>
      <c r="N19" s="6"/>
    </row>
    <row r="20" spans="1:21" x14ac:dyDescent="0.25">
      <c r="N20" s="6"/>
    </row>
    <row r="21" spans="1:21" ht="18.75" thickBot="1" x14ac:dyDescent="0.3">
      <c r="N21" s="6"/>
    </row>
    <row r="22" spans="1:21" ht="18.75" thickBot="1" x14ac:dyDescent="0.3">
      <c r="A22" s="7" t="s">
        <v>12</v>
      </c>
      <c r="B22" s="8"/>
      <c r="N22" s="6"/>
    </row>
    <row r="23" spans="1:21" ht="19.5" thickTop="1" thickBot="1" x14ac:dyDescent="0.3">
      <c r="A23" s="9" t="s">
        <v>45</v>
      </c>
      <c r="B23" s="10"/>
      <c r="D23" s="43" t="s">
        <v>44</v>
      </c>
      <c r="E23" s="42"/>
      <c r="F23" s="41">
        <f>F18+G18+H18+G19</f>
        <v>2570.3326881519361</v>
      </c>
      <c r="N23" s="6"/>
    </row>
    <row r="24" spans="1:21" ht="19.5" thickTop="1" thickBot="1" x14ac:dyDescent="0.3">
      <c r="D24" s="43" t="s">
        <v>62</v>
      </c>
      <c r="E24" s="17"/>
      <c r="F24" s="57">
        <f>F7*F6+G7*G6+H7*H6+F23</f>
        <v>123570.33268815193</v>
      </c>
      <c r="N24" s="6"/>
    </row>
    <row r="25" spans="1:21" ht="19.5" thickTop="1" thickBo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3"/>
    </row>
    <row r="26" spans="1:21" ht="18.75" thickTop="1" x14ac:dyDescent="0.25"/>
    <row r="27" spans="1:21" x14ac:dyDescent="0.25">
      <c r="I27" s="1" t="s">
        <v>63</v>
      </c>
      <c r="J27" s="1">
        <f>1/G14</f>
        <v>0.10608058968848272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9CA8-D5BA-4A57-91C9-9141DAED5D78}">
  <dimension ref="A1:M31"/>
  <sheetViews>
    <sheetView topLeftCell="A7" workbookViewId="0">
      <selection activeCell="D32" sqref="D32"/>
    </sheetView>
  </sheetViews>
  <sheetFormatPr defaultRowHeight="18" x14ac:dyDescent="0.25"/>
  <cols>
    <col min="1" max="1" width="9" style="1"/>
    <col min="2" max="2" width="14.625" style="1" customWidth="1"/>
    <col min="3" max="3" width="14.75" style="1" customWidth="1"/>
    <col min="4" max="4" width="20.625" style="1" customWidth="1"/>
    <col min="5" max="5" width="13.875" style="1" customWidth="1"/>
    <col min="6" max="6" width="11.875" style="1" customWidth="1"/>
    <col min="7" max="16384" width="9" style="1"/>
  </cols>
  <sheetData>
    <row r="1" spans="1:13" ht="19.5" thickTop="1" thickBot="1" x14ac:dyDescent="0.3">
      <c r="M1" s="2"/>
    </row>
    <row r="2" spans="1:13" ht="18.75" thickBot="1" x14ac:dyDescent="0.3">
      <c r="A2" s="3" t="s">
        <v>58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M5" s="6"/>
    </row>
    <row r="6" spans="1:13" ht="18.75" thickBot="1" x14ac:dyDescent="0.3">
      <c r="A6" s="9" t="s">
        <v>3</v>
      </c>
      <c r="B6" s="10"/>
      <c r="D6" s="7" t="s">
        <v>4</v>
      </c>
      <c r="E6" s="8"/>
      <c r="F6" s="13">
        <v>120000</v>
      </c>
      <c r="G6" s="14">
        <v>95000</v>
      </c>
      <c r="H6" s="14">
        <v>80000</v>
      </c>
      <c r="J6" s="7" t="s">
        <v>5</v>
      </c>
      <c r="K6" s="8">
        <v>0.24</v>
      </c>
      <c r="M6" s="6"/>
    </row>
    <row r="7" spans="1:13" ht="19.5" thickTop="1" thickBot="1" x14ac:dyDescent="0.3">
      <c r="D7" s="19" t="s">
        <v>7</v>
      </c>
      <c r="E7" s="10"/>
      <c r="F7" s="17">
        <v>0.3</v>
      </c>
      <c r="G7" s="17">
        <v>0.48</v>
      </c>
      <c r="H7" s="17">
        <v>0.6</v>
      </c>
      <c r="M7" s="6"/>
    </row>
    <row r="8" spans="1:13" ht="19.5" thickTop="1" thickBot="1" x14ac:dyDescent="0.3">
      <c r="D8" s="7" t="s">
        <v>57</v>
      </c>
      <c r="E8" s="8"/>
      <c r="F8" s="17">
        <f>F7*$K$6</f>
        <v>7.1999999999999995E-2</v>
      </c>
      <c r="G8" s="17">
        <f t="shared" ref="G8:H8" si="0">G7*$K$6</f>
        <v>0.1152</v>
      </c>
      <c r="H8" s="17">
        <f t="shared" si="0"/>
        <v>0.14399999999999999</v>
      </c>
      <c r="M8" s="6"/>
    </row>
    <row r="9" spans="1:13" ht="19.5" thickTop="1" thickBot="1" x14ac:dyDescent="0.3">
      <c r="D9" s="15" t="s">
        <v>56</v>
      </c>
      <c r="E9" s="16"/>
      <c r="F9" s="48"/>
      <c r="G9" s="42">
        <v>60</v>
      </c>
      <c r="H9" s="17"/>
      <c r="M9" s="6"/>
    </row>
    <row r="10" spans="1:13" ht="19.5" thickTop="1" thickBot="1" x14ac:dyDescent="0.3">
      <c r="D10" s="7" t="s">
        <v>55</v>
      </c>
      <c r="E10" s="8"/>
      <c r="F10" s="47">
        <v>22</v>
      </c>
      <c r="G10" s="47">
        <v>22</v>
      </c>
      <c r="H10" s="47">
        <v>22</v>
      </c>
      <c r="M10" s="6"/>
    </row>
    <row r="11" spans="1:13" ht="19.5" thickTop="1" thickBot="1" x14ac:dyDescent="0.3">
      <c r="D11" s="7" t="s">
        <v>54</v>
      </c>
      <c r="E11" s="8"/>
      <c r="F11" s="48">
        <f>$G$9+F10</f>
        <v>82</v>
      </c>
      <c r="G11" s="42">
        <f xml:space="preserve"> $G$9+G10</f>
        <v>82</v>
      </c>
      <c r="H11" s="42">
        <f xml:space="preserve"> $G$9+H10</f>
        <v>82</v>
      </c>
      <c r="M11" s="6"/>
    </row>
    <row r="12" spans="1:13" x14ac:dyDescent="0.25">
      <c r="M12" s="6"/>
    </row>
    <row r="13" spans="1:13" ht="18.75" thickBot="1" x14ac:dyDescent="0.3">
      <c r="M13" s="6"/>
    </row>
    <row r="14" spans="1:13" ht="18.75" thickBot="1" x14ac:dyDescent="0.3">
      <c r="A14" s="7" t="s">
        <v>8</v>
      </c>
      <c r="B14" s="8"/>
      <c r="D14" s="7" t="s">
        <v>53</v>
      </c>
      <c r="E14" s="8"/>
      <c r="F14" s="46">
        <f xml:space="preserve"> SQRT(2*F11*F6/F8)</f>
        <v>16532.795690182993</v>
      </c>
      <c r="G14" s="45">
        <f xml:space="preserve"> SQRT(2*G11*G6/G8)</f>
        <v>11629.404780794051</v>
      </c>
      <c r="H14" s="44">
        <f xml:space="preserve"> SQRT(2*H11*H6/H8)</f>
        <v>9545.214042184236</v>
      </c>
      <c r="M14" s="6"/>
    </row>
    <row r="15" spans="1:13" ht="18.75" thickBot="1" x14ac:dyDescent="0.3">
      <c r="A15" s="9" t="s">
        <v>52</v>
      </c>
      <c r="B15" s="10"/>
      <c r="D15" s="19" t="s">
        <v>51</v>
      </c>
      <c r="E15" s="10"/>
      <c r="F15" s="15">
        <f>F14/2</f>
        <v>8266.3978450914965</v>
      </c>
      <c r="G15" s="1">
        <f>G14/2</f>
        <v>5814.7023903970257</v>
      </c>
      <c r="H15" s="16">
        <f>H14/2</f>
        <v>4772.607021092118</v>
      </c>
      <c r="M15" s="6"/>
    </row>
    <row r="16" spans="1:13" ht="18.75" thickBot="1" x14ac:dyDescent="0.3">
      <c r="D16" s="7" t="s">
        <v>50</v>
      </c>
      <c r="E16" s="8"/>
      <c r="F16" s="46">
        <f>(F11*F6/F14)+(F8*F15)</f>
        <v>1190.3612896931754</v>
      </c>
      <c r="G16" s="45">
        <f>(G11*G6/G14)+(G8*G15)</f>
        <v>1339.707430747475</v>
      </c>
      <c r="H16" s="44">
        <f>(H11*H6/H14)+(H8*H15)</f>
        <v>1374.5108220745299</v>
      </c>
      <c r="M16" s="6"/>
    </row>
    <row r="17" spans="1:13" ht="18.75" thickBot="1" x14ac:dyDescent="0.3">
      <c r="D17" s="15" t="s">
        <v>49</v>
      </c>
      <c r="E17" s="16"/>
      <c r="F17" s="15">
        <f xml:space="preserve"> (F8*F15)</f>
        <v>595.18064484658771</v>
      </c>
      <c r="G17" s="1">
        <f xml:space="preserve"> (G8*G15)</f>
        <v>669.85371537373737</v>
      </c>
      <c r="H17" s="16">
        <f xml:space="preserve"> (H8*H15)</f>
        <v>687.25541103726493</v>
      </c>
      <c r="M17" s="6"/>
    </row>
    <row r="18" spans="1:13" ht="18.75" thickBot="1" x14ac:dyDescent="0.3">
      <c r="D18" s="7" t="s">
        <v>48</v>
      </c>
      <c r="E18" s="8"/>
      <c r="F18" s="15">
        <f>(F11*F6/F14)</f>
        <v>595.18064484658771</v>
      </c>
      <c r="G18" s="1">
        <f>(G11*G6/G14)</f>
        <v>669.85371537373749</v>
      </c>
      <c r="H18" s="16">
        <f>(H11*H6/H14)</f>
        <v>687.25541103726493</v>
      </c>
      <c r="M18" s="6"/>
    </row>
    <row r="19" spans="1:13" ht="18.75" thickBot="1" x14ac:dyDescent="0.3">
      <c r="D19" s="7" t="s">
        <v>47</v>
      </c>
      <c r="E19" s="8"/>
      <c r="F19" s="15">
        <f>F6/F14</f>
        <v>7.2583005469096067</v>
      </c>
      <c r="G19" s="1">
        <f>G6/G14</f>
        <v>8.1689477484602122</v>
      </c>
      <c r="H19" s="16">
        <f>H6/H14</f>
        <v>8.3811635492349374</v>
      </c>
      <c r="M19" s="6"/>
    </row>
    <row r="20" spans="1:13" ht="18.75" thickBot="1" x14ac:dyDescent="0.3">
      <c r="D20" s="7" t="s">
        <v>46</v>
      </c>
      <c r="E20" s="8"/>
      <c r="F20" s="19">
        <f>1/F19</f>
        <v>0.13777329741819161</v>
      </c>
      <c r="G20" s="28">
        <f>1/G19</f>
        <v>0.12241478716625318</v>
      </c>
      <c r="H20" s="10">
        <f>1/H19</f>
        <v>0.11931517552730296</v>
      </c>
      <c r="M20" s="6"/>
    </row>
    <row r="21" spans="1:13" x14ac:dyDescent="0.25">
      <c r="M21" s="6"/>
    </row>
    <row r="22" spans="1:13" ht="18.75" thickBot="1" x14ac:dyDescent="0.3">
      <c r="M22" s="6"/>
    </row>
    <row r="23" spans="1:13" ht="18.75" thickBot="1" x14ac:dyDescent="0.3">
      <c r="A23" s="7" t="s">
        <v>12</v>
      </c>
      <c r="B23" s="8"/>
      <c r="M23" s="6"/>
    </row>
    <row r="24" spans="1:13" ht="19.5" thickTop="1" thickBot="1" x14ac:dyDescent="0.3">
      <c r="A24" s="9" t="s">
        <v>45</v>
      </c>
      <c r="B24" s="10"/>
      <c r="D24" s="43" t="s">
        <v>44</v>
      </c>
      <c r="E24" s="42"/>
      <c r="F24" s="41">
        <f>F16+G16+H16</f>
        <v>3904.57954251518</v>
      </c>
      <c r="M24" s="6"/>
    </row>
    <row r="25" spans="1:13" x14ac:dyDescent="0.25">
      <c r="M25" s="6"/>
    </row>
    <row r="26" spans="1:13" ht="18.75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3"/>
    </row>
    <row r="27" spans="1:13" ht="19.5" thickTop="1" thickBot="1" x14ac:dyDescent="0.3"/>
    <row r="28" spans="1:13" ht="18.75" thickBot="1" x14ac:dyDescent="0.3">
      <c r="A28" s="7"/>
      <c r="B28" s="31"/>
      <c r="C28" s="31"/>
      <c r="D28" s="8"/>
    </row>
    <row r="29" spans="1:13" x14ac:dyDescent="0.25">
      <c r="C29" s="1" t="s">
        <v>65</v>
      </c>
      <c r="D29" s="1" t="s">
        <v>64</v>
      </c>
      <c r="F29" s="61">
        <v>2799.6799817121955</v>
      </c>
    </row>
    <row r="31" spans="1:13" x14ac:dyDescent="0.25">
      <c r="D31" s="1" t="s">
        <v>66</v>
      </c>
      <c r="F31" s="1">
        <f>F24-F29</f>
        <v>1104.8995608029845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E654-ABE5-44C4-A3E1-AB64BC846D18}">
  <dimension ref="A1:M26"/>
  <sheetViews>
    <sheetView workbookViewId="0">
      <selection activeCell="F23" sqref="F23"/>
    </sheetView>
  </sheetViews>
  <sheetFormatPr defaultRowHeight="18" x14ac:dyDescent="0.25"/>
  <cols>
    <col min="1" max="1" width="9" style="1"/>
    <col min="2" max="2" width="14.125" style="1" customWidth="1"/>
    <col min="3" max="4" width="9" style="1"/>
    <col min="5" max="5" width="22.5" style="1" customWidth="1"/>
    <col min="6" max="6" width="11" style="1" customWidth="1"/>
    <col min="7" max="7" width="9" style="1"/>
    <col min="8" max="8" width="12.75" style="1" customWidth="1"/>
    <col min="9" max="16384" width="9" style="1"/>
  </cols>
  <sheetData>
    <row r="1" spans="1:13" ht="18.75" thickBot="1" x14ac:dyDescent="0.3"/>
    <row r="2" spans="1:13" ht="18.75" thickBot="1" x14ac:dyDescent="0.3">
      <c r="A2" s="3" t="s">
        <v>59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M5" s="6"/>
    </row>
    <row r="6" spans="1:13" ht="18.75" thickBot="1" x14ac:dyDescent="0.3">
      <c r="A6" s="9" t="s">
        <v>3</v>
      </c>
      <c r="B6" s="10"/>
      <c r="D6" s="7" t="s">
        <v>4</v>
      </c>
      <c r="E6" s="8"/>
      <c r="F6" s="13">
        <v>120000</v>
      </c>
      <c r="G6" s="14">
        <v>95000</v>
      </c>
      <c r="H6" s="14">
        <v>80000</v>
      </c>
      <c r="J6" s="7" t="s">
        <v>5</v>
      </c>
      <c r="K6" s="8">
        <v>0.24</v>
      </c>
      <c r="M6" s="6"/>
    </row>
    <row r="7" spans="1:13" ht="19.5" thickTop="1" thickBot="1" x14ac:dyDescent="0.3">
      <c r="D7" s="19" t="s">
        <v>7</v>
      </c>
      <c r="E7" s="10"/>
      <c r="F7" s="17">
        <v>0.3</v>
      </c>
      <c r="G7" s="17">
        <v>0.48</v>
      </c>
      <c r="H7" s="17">
        <v>0.6</v>
      </c>
      <c r="M7" s="6"/>
    </row>
    <row r="8" spans="1:13" ht="19.5" thickTop="1" thickBot="1" x14ac:dyDescent="0.3">
      <c r="D8" s="7" t="s">
        <v>57</v>
      </c>
      <c r="E8" s="8"/>
      <c r="F8" s="17">
        <f>F7*$K$6</f>
        <v>7.1999999999999995E-2</v>
      </c>
      <c r="G8" s="17">
        <f t="shared" ref="G8:H8" si="0">G7*$K$6</f>
        <v>0.1152</v>
      </c>
      <c r="H8" s="17">
        <f t="shared" si="0"/>
        <v>0.14399999999999999</v>
      </c>
      <c r="M8" s="6"/>
    </row>
    <row r="9" spans="1:13" ht="19.5" thickTop="1" thickBot="1" x14ac:dyDescent="0.3">
      <c r="D9" s="15" t="s">
        <v>56</v>
      </c>
      <c r="E9" s="16"/>
      <c r="F9" s="48"/>
      <c r="G9" s="42">
        <v>60</v>
      </c>
      <c r="H9" s="17"/>
      <c r="M9" s="6"/>
    </row>
    <row r="10" spans="1:13" ht="19.5" thickTop="1" thickBot="1" x14ac:dyDescent="0.3">
      <c r="D10" s="7" t="s">
        <v>55</v>
      </c>
      <c r="E10" s="8"/>
      <c r="F10" s="47">
        <v>22</v>
      </c>
      <c r="G10" s="47">
        <v>22</v>
      </c>
      <c r="H10" s="47">
        <v>22</v>
      </c>
      <c r="M10" s="6"/>
    </row>
    <row r="11" spans="1:13" ht="19.5" thickTop="1" thickBot="1" x14ac:dyDescent="0.3">
      <c r="D11" s="7" t="s">
        <v>60</v>
      </c>
      <c r="E11" s="8"/>
      <c r="F11" s="48"/>
      <c r="G11" s="42">
        <f xml:space="preserve"> $G$9+F10+G10+H10</f>
        <v>126</v>
      </c>
      <c r="H11" s="42"/>
      <c r="M11" s="6"/>
    </row>
    <row r="12" spans="1:13" x14ac:dyDescent="0.25">
      <c r="M12" s="6"/>
    </row>
    <row r="13" spans="1:13" ht="18.75" thickBot="1" x14ac:dyDescent="0.3">
      <c r="M13" s="6"/>
    </row>
    <row r="14" spans="1:13" ht="18.75" thickBot="1" x14ac:dyDescent="0.3">
      <c r="A14" s="7" t="s">
        <v>8</v>
      </c>
      <c r="B14" s="8"/>
      <c r="D14" s="20" t="s">
        <v>61</v>
      </c>
      <c r="E14" s="50"/>
      <c r="F14" s="31"/>
      <c r="G14" s="45">
        <f xml:space="preserve"> SQRT(($F$8*$F$6+$G$6*$G$8+$H$6*$H$8)/(2*$G$11))</f>
        <v>11.109841197270617</v>
      </c>
      <c r="H14" s="8"/>
      <c r="M14" s="6"/>
    </row>
    <row r="15" spans="1:13" ht="18.75" thickBot="1" x14ac:dyDescent="0.3">
      <c r="A15" s="9" t="s">
        <v>52</v>
      </c>
      <c r="B15" s="10"/>
      <c r="M15" s="6"/>
    </row>
    <row r="16" spans="1:13" ht="18.75" thickBot="1" x14ac:dyDescent="0.3">
      <c r="A16" s="15"/>
      <c r="C16" s="16"/>
      <c r="D16" s="7" t="s">
        <v>53</v>
      </c>
      <c r="E16" s="8"/>
      <c r="F16" s="51">
        <f xml:space="preserve"> F6/$G$14</f>
        <v>10801.234497346435</v>
      </c>
      <c r="G16" s="52">
        <f xml:space="preserve"> G6/$G$14</f>
        <v>8550.9773103992611</v>
      </c>
      <c r="H16" s="52">
        <f xml:space="preserve"> H6/$G$14</f>
        <v>7200.8229982309558</v>
      </c>
      <c r="M16" s="6"/>
    </row>
    <row r="17" spans="1:13" ht="18.75" thickBot="1" x14ac:dyDescent="0.3">
      <c r="A17" s="53"/>
      <c r="D17" s="19" t="s">
        <v>51</v>
      </c>
      <c r="E17" s="10"/>
      <c r="F17" s="54">
        <f>F16/2</f>
        <v>5400.6172486732175</v>
      </c>
      <c r="G17" s="55">
        <f>G16/2</f>
        <v>4275.4886551996306</v>
      </c>
      <c r="H17" s="16">
        <f>H16/2</f>
        <v>3600.4114991154779</v>
      </c>
      <c r="M17" s="6"/>
    </row>
    <row r="18" spans="1:13" ht="18.75" thickBot="1" x14ac:dyDescent="0.3">
      <c r="D18" s="15" t="s">
        <v>49</v>
      </c>
      <c r="E18" s="16"/>
      <c r="F18" s="56">
        <f xml:space="preserve"> (F8*F17)</f>
        <v>388.84444190447164</v>
      </c>
      <c r="G18" s="57">
        <f xml:space="preserve"> (G8*G17)</f>
        <v>492.5362930789974</v>
      </c>
      <c r="H18" s="58">
        <f xml:space="preserve"> (H8*H17)</f>
        <v>518.45925587262877</v>
      </c>
      <c r="M18" s="6"/>
    </row>
    <row r="19" spans="1:13" ht="19.5" thickTop="1" thickBot="1" x14ac:dyDescent="0.3">
      <c r="D19" s="7" t="s">
        <v>48</v>
      </c>
      <c r="E19" s="8"/>
      <c r="F19" s="48"/>
      <c r="G19" s="42">
        <f>(G11*G14)</f>
        <v>1399.8399908560978</v>
      </c>
      <c r="H19" s="59"/>
      <c r="M19" s="6"/>
    </row>
    <row r="20" spans="1:13" x14ac:dyDescent="0.25">
      <c r="M20" s="6"/>
    </row>
    <row r="21" spans="1:13" ht="18.75" thickBot="1" x14ac:dyDescent="0.3">
      <c r="M21" s="6"/>
    </row>
    <row r="22" spans="1:13" ht="18.75" thickBot="1" x14ac:dyDescent="0.3">
      <c r="A22" s="7" t="s">
        <v>12</v>
      </c>
      <c r="B22" s="8"/>
      <c r="M22" s="6"/>
    </row>
    <row r="23" spans="1:13" ht="19.5" thickTop="1" thickBot="1" x14ac:dyDescent="0.3">
      <c r="A23" s="9" t="s">
        <v>45</v>
      </c>
      <c r="B23" s="10"/>
      <c r="D23" s="43" t="s">
        <v>44</v>
      </c>
      <c r="E23" s="42"/>
      <c r="F23" s="41">
        <f>F18+G18+H18+G19</f>
        <v>2799.6799817121955</v>
      </c>
      <c r="M23" s="6"/>
    </row>
    <row r="24" spans="1:13" ht="19.5" thickTop="1" thickBot="1" x14ac:dyDescent="0.3">
      <c r="D24" s="43" t="s">
        <v>62</v>
      </c>
      <c r="E24" s="17"/>
      <c r="F24" s="57">
        <f>F7*F6+G7*G6+H7*H6+F23</f>
        <v>132399.67998171219</v>
      </c>
      <c r="M24" s="6"/>
    </row>
    <row r="25" spans="1:13" ht="19.5" thickTop="1" thickBo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3"/>
    </row>
    <row r="26" spans="1:13" ht="18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5C5C-E037-47FF-86A9-2A52A0112544}">
  <dimension ref="A1:M29"/>
  <sheetViews>
    <sheetView topLeftCell="A4" workbookViewId="0">
      <selection activeCell="K32" sqref="K32"/>
    </sheetView>
  </sheetViews>
  <sheetFormatPr defaultRowHeight="18" x14ac:dyDescent="0.25"/>
  <cols>
    <col min="1" max="1" width="9" style="1"/>
    <col min="2" max="2" width="14.625" style="1" customWidth="1"/>
    <col min="3" max="3" width="14.75" style="1" customWidth="1"/>
    <col min="4" max="4" width="20.625" style="1" customWidth="1"/>
    <col min="5" max="5" width="13.875" style="1" customWidth="1"/>
    <col min="6" max="6" width="11.875" style="1" customWidth="1"/>
    <col min="7" max="16384" width="9" style="1"/>
  </cols>
  <sheetData>
    <row r="1" spans="1:13" ht="19.5" thickTop="1" thickBot="1" x14ac:dyDescent="0.3">
      <c r="M1" s="2"/>
    </row>
    <row r="2" spans="1:13" ht="18.75" thickBot="1" x14ac:dyDescent="0.3">
      <c r="A2" s="3" t="s">
        <v>58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M5" s="6"/>
    </row>
    <row r="6" spans="1:13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7000</v>
      </c>
      <c r="H6" s="14">
        <v>500</v>
      </c>
      <c r="J6" s="7" t="s">
        <v>5</v>
      </c>
      <c r="K6" s="8">
        <v>0.2</v>
      </c>
      <c r="M6" s="6"/>
    </row>
    <row r="7" spans="1:13" ht="19.5" thickTop="1" thickBot="1" x14ac:dyDescent="0.3">
      <c r="D7" s="19" t="s">
        <v>7</v>
      </c>
      <c r="E7" s="10"/>
      <c r="F7" s="17">
        <v>50</v>
      </c>
      <c r="G7" s="17">
        <v>25</v>
      </c>
      <c r="H7" s="17">
        <v>10</v>
      </c>
      <c r="M7" s="6"/>
    </row>
    <row r="8" spans="1:13" ht="19.5" thickTop="1" thickBot="1" x14ac:dyDescent="0.3">
      <c r="D8" s="7" t="s">
        <v>57</v>
      </c>
      <c r="E8" s="8"/>
      <c r="F8" s="17">
        <f>F7*$K$6</f>
        <v>10</v>
      </c>
      <c r="G8" s="17">
        <f t="shared" ref="G8:H8" si="0">G7*$K$6</f>
        <v>5</v>
      </c>
      <c r="H8" s="17">
        <f t="shared" si="0"/>
        <v>2</v>
      </c>
      <c r="M8" s="6"/>
    </row>
    <row r="9" spans="1:13" ht="19.5" thickTop="1" thickBot="1" x14ac:dyDescent="0.3">
      <c r="D9" s="15" t="s">
        <v>56</v>
      </c>
      <c r="E9" s="16"/>
      <c r="F9" s="48"/>
      <c r="G9" s="42">
        <v>800</v>
      </c>
      <c r="H9" s="17"/>
      <c r="M9" s="6"/>
    </row>
    <row r="10" spans="1:13" ht="19.5" thickTop="1" thickBot="1" x14ac:dyDescent="0.3">
      <c r="D10" s="7" t="s">
        <v>55</v>
      </c>
      <c r="E10" s="8"/>
      <c r="F10" s="47">
        <v>100</v>
      </c>
      <c r="G10" s="47">
        <v>150</v>
      </c>
      <c r="H10" s="47">
        <v>200</v>
      </c>
      <c r="M10" s="6"/>
    </row>
    <row r="11" spans="1:13" ht="19.5" thickTop="1" thickBot="1" x14ac:dyDescent="0.3">
      <c r="D11" s="7" t="s">
        <v>54</v>
      </c>
      <c r="E11" s="8"/>
      <c r="F11" s="48">
        <f>$G$9+F10</f>
        <v>900</v>
      </c>
      <c r="G11" s="42">
        <f xml:space="preserve"> $G$9+G10</f>
        <v>950</v>
      </c>
      <c r="H11" s="42">
        <f xml:space="preserve"> $G$9+H10</f>
        <v>1000</v>
      </c>
      <c r="M11" s="6"/>
    </row>
    <row r="12" spans="1:13" x14ac:dyDescent="0.25">
      <c r="M12" s="6"/>
    </row>
    <row r="13" spans="1:13" ht="18.75" thickBot="1" x14ac:dyDescent="0.3">
      <c r="M13" s="6"/>
    </row>
    <row r="14" spans="1:13" ht="18.75" thickBot="1" x14ac:dyDescent="0.3">
      <c r="A14" s="7" t="s">
        <v>8</v>
      </c>
      <c r="B14" s="8"/>
      <c r="D14" s="7" t="s">
        <v>53</v>
      </c>
      <c r="E14" s="8"/>
      <c r="F14" s="46">
        <f xml:space="preserve"> SQRT(2*F11*F6/F8)</f>
        <v>1341.6407864998739</v>
      </c>
      <c r="G14" s="45">
        <f xml:space="preserve"> SQRT(2*G11*G6/G8)</f>
        <v>1630.9506430300091</v>
      </c>
      <c r="H14" s="44">
        <f xml:space="preserve"> SQRT(2*H11*H6/H8)</f>
        <v>707.10678118654755</v>
      </c>
      <c r="M14" s="6"/>
    </row>
    <row r="15" spans="1:13" ht="18.75" thickBot="1" x14ac:dyDescent="0.3">
      <c r="A15" s="9" t="s">
        <v>52</v>
      </c>
      <c r="B15" s="10"/>
      <c r="D15" s="19" t="s">
        <v>51</v>
      </c>
      <c r="E15" s="10"/>
      <c r="F15" s="15">
        <f>F14/2</f>
        <v>670.82039324993696</v>
      </c>
      <c r="G15" s="1">
        <f>G14/2</f>
        <v>815.47532151500457</v>
      </c>
      <c r="H15" s="16">
        <f>H14/2</f>
        <v>353.55339059327378</v>
      </c>
      <c r="M15" s="6"/>
    </row>
    <row r="16" spans="1:13" ht="18.75" thickBot="1" x14ac:dyDescent="0.3">
      <c r="D16" s="7" t="s">
        <v>50</v>
      </c>
      <c r="E16" s="8"/>
      <c r="F16" s="46">
        <f>(F11*F6/F14)+(F8*F15)</f>
        <v>13416.407864998739</v>
      </c>
      <c r="G16" s="45">
        <f>(G11*G6/G14)+(G8*G15)</f>
        <v>8154.7532151500454</v>
      </c>
      <c r="H16" s="44">
        <f>(H11*H6/H14)+(H8*H15)</f>
        <v>1414.2135623730951</v>
      </c>
      <c r="M16" s="6"/>
    </row>
    <row r="17" spans="1:13" ht="18.75" thickBot="1" x14ac:dyDescent="0.3">
      <c r="D17" s="15" t="s">
        <v>49</v>
      </c>
      <c r="E17" s="16"/>
      <c r="F17" s="15">
        <f xml:space="preserve"> (F8*F15)</f>
        <v>6708.2039324993693</v>
      </c>
      <c r="G17" s="1">
        <f xml:space="preserve"> (G8*G15)</f>
        <v>4077.3766075750227</v>
      </c>
      <c r="H17" s="16">
        <f xml:space="preserve"> (H8*H15)</f>
        <v>707.10678118654755</v>
      </c>
      <c r="M17" s="6"/>
    </row>
    <row r="18" spans="1:13" ht="18.75" thickBot="1" x14ac:dyDescent="0.3">
      <c r="D18" s="7" t="s">
        <v>48</v>
      </c>
      <c r="E18" s="8"/>
      <c r="F18" s="15">
        <f>(F11*F6/F14)</f>
        <v>6708.2039324993684</v>
      </c>
      <c r="G18" s="1">
        <f>(G11*G6/G14)</f>
        <v>4077.3766075750223</v>
      </c>
      <c r="H18" s="16">
        <f>(H11*H6/H14)</f>
        <v>707.10678118654755</v>
      </c>
      <c r="M18" s="6"/>
    </row>
    <row r="19" spans="1:13" ht="18.75" thickBot="1" x14ac:dyDescent="0.3">
      <c r="D19" s="7" t="s">
        <v>47</v>
      </c>
      <c r="E19" s="8"/>
      <c r="F19" s="15">
        <f>F6/F14</f>
        <v>7.4535599249992988</v>
      </c>
      <c r="G19" s="1">
        <f>G6/G14</f>
        <v>4.2919753763947606</v>
      </c>
      <c r="H19" s="16">
        <f>H6/H14</f>
        <v>0.70710678118654746</v>
      </c>
      <c r="M19" s="6"/>
    </row>
    <row r="20" spans="1:13" ht="18.75" thickBot="1" x14ac:dyDescent="0.3">
      <c r="D20" s="7" t="s">
        <v>46</v>
      </c>
      <c r="E20" s="8"/>
      <c r="F20" s="19">
        <f>1/F19</f>
        <v>0.13416407864998739</v>
      </c>
      <c r="G20" s="28">
        <f>1/G19</f>
        <v>0.23299294900428702</v>
      </c>
      <c r="H20" s="10">
        <f>1/H19</f>
        <v>1.4142135623730951</v>
      </c>
      <c r="M20" s="6"/>
    </row>
    <row r="21" spans="1:13" x14ac:dyDescent="0.25">
      <c r="M21" s="6"/>
    </row>
    <row r="22" spans="1:13" ht="18.75" thickBot="1" x14ac:dyDescent="0.3">
      <c r="M22" s="6"/>
    </row>
    <row r="23" spans="1:13" ht="18.75" thickBot="1" x14ac:dyDescent="0.3">
      <c r="A23" s="7" t="s">
        <v>12</v>
      </c>
      <c r="B23" s="8"/>
      <c r="M23" s="6"/>
    </row>
    <row r="24" spans="1:13" ht="19.5" thickTop="1" thickBot="1" x14ac:dyDescent="0.3">
      <c r="A24" s="9" t="s">
        <v>45</v>
      </c>
      <c r="B24" s="10"/>
      <c r="D24" s="43" t="s">
        <v>44</v>
      </c>
      <c r="E24" s="42"/>
      <c r="F24" s="41">
        <f>F16+G16+H16</f>
        <v>22985.374642521878</v>
      </c>
      <c r="M24" s="6"/>
    </row>
    <row r="25" spans="1:13" x14ac:dyDescent="0.25">
      <c r="M25" s="6"/>
    </row>
    <row r="26" spans="1:13" ht="18.75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3"/>
    </row>
    <row r="27" spans="1:13" ht="19.5" thickTop="1" thickBot="1" x14ac:dyDescent="0.3"/>
    <row r="28" spans="1:13" ht="18.75" thickBot="1" x14ac:dyDescent="0.3">
      <c r="A28" s="7"/>
      <c r="B28" s="31"/>
      <c r="C28" s="31"/>
      <c r="D28" s="8"/>
    </row>
    <row r="29" spans="1:13" x14ac:dyDescent="0.25">
      <c r="F29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ACF-17C7-485F-B463-AFE0DA1E4A2B}">
  <dimension ref="A1:M26"/>
  <sheetViews>
    <sheetView workbookViewId="0">
      <selection activeCell="H30" sqref="H30"/>
    </sheetView>
  </sheetViews>
  <sheetFormatPr defaultRowHeight="18" x14ac:dyDescent="0.25"/>
  <cols>
    <col min="1" max="1" width="9" style="1"/>
    <col min="2" max="2" width="14.125" style="1" customWidth="1"/>
    <col min="3" max="4" width="9" style="1"/>
    <col min="5" max="5" width="22.5" style="1" customWidth="1"/>
    <col min="6" max="6" width="11" style="1" customWidth="1"/>
    <col min="7" max="7" width="9" style="1"/>
    <col min="8" max="8" width="12.75" style="1" customWidth="1"/>
    <col min="9" max="16384" width="9" style="1"/>
  </cols>
  <sheetData>
    <row r="1" spans="1:13" ht="18.75" thickBot="1" x14ac:dyDescent="0.3"/>
    <row r="2" spans="1:13" ht="18.75" thickBot="1" x14ac:dyDescent="0.3">
      <c r="A2" s="3" t="s">
        <v>59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0</v>
      </c>
      <c r="B5" s="8"/>
      <c r="F5" s="7" t="s">
        <v>1</v>
      </c>
      <c r="G5" s="8" t="s">
        <v>2</v>
      </c>
      <c r="H5" s="8" t="s">
        <v>20</v>
      </c>
      <c r="M5" s="6"/>
    </row>
    <row r="6" spans="1:13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7000</v>
      </c>
      <c r="H6" s="14">
        <v>500</v>
      </c>
      <c r="J6" s="7" t="s">
        <v>5</v>
      </c>
      <c r="K6" s="8">
        <v>0.2</v>
      </c>
      <c r="M6" s="6"/>
    </row>
    <row r="7" spans="1:13" ht="19.5" thickTop="1" thickBot="1" x14ac:dyDescent="0.3">
      <c r="D7" s="19" t="s">
        <v>7</v>
      </c>
      <c r="E7" s="10"/>
      <c r="F7" s="17">
        <v>50</v>
      </c>
      <c r="G7" s="17">
        <v>25</v>
      </c>
      <c r="H7" s="17">
        <v>10</v>
      </c>
      <c r="M7" s="6"/>
    </row>
    <row r="8" spans="1:13" ht="19.5" thickTop="1" thickBot="1" x14ac:dyDescent="0.3">
      <c r="D8" s="7" t="s">
        <v>57</v>
      </c>
      <c r="E8" s="8"/>
      <c r="F8" s="17">
        <f>F7*$K$6</f>
        <v>10</v>
      </c>
      <c r="G8" s="17">
        <f t="shared" ref="G8:H8" si="0">G7*$K$6</f>
        <v>5</v>
      </c>
      <c r="H8" s="17">
        <f t="shared" si="0"/>
        <v>2</v>
      </c>
      <c r="M8" s="6"/>
    </row>
    <row r="9" spans="1:13" ht="19.5" thickTop="1" thickBot="1" x14ac:dyDescent="0.3">
      <c r="D9" s="15" t="s">
        <v>56</v>
      </c>
      <c r="E9" s="16"/>
      <c r="F9" s="48"/>
      <c r="G9" s="42">
        <v>800</v>
      </c>
      <c r="H9" s="17"/>
      <c r="M9" s="6"/>
    </row>
    <row r="10" spans="1:13" ht="19.5" thickTop="1" thickBot="1" x14ac:dyDescent="0.3">
      <c r="D10" s="7" t="s">
        <v>55</v>
      </c>
      <c r="E10" s="8"/>
      <c r="F10" s="47">
        <v>100</v>
      </c>
      <c r="G10" s="47">
        <v>150</v>
      </c>
      <c r="H10" s="47">
        <v>200</v>
      </c>
      <c r="M10" s="6"/>
    </row>
    <row r="11" spans="1:13" ht="19.5" thickTop="1" thickBot="1" x14ac:dyDescent="0.3">
      <c r="D11" s="7" t="s">
        <v>60</v>
      </c>
      <c r="E11" s="8"/>
      <c r="F11" s="48"/>
      <c r="G11" s="42">
        <f xml:space="preserve"> $G$9+F10+G10+H10</f>
        <v>1250</v>
      </c>
      <c r="H11" s="42"/>
      <c r="M11" s="6"/>
    </row>
    <row r="12" spans="1:13" x14ac:dyDescent="0.25">
      <c r="M12" s="6"/>
    </row>
    <row r="13" spans="1:13" ht="18.75" thickBot="1" x14ac:dyDescent="0.3">
      <c r="M13" s="6"/>
    </row>
    <row r="14" spans="1:13" ht="18.75" thickBot="1" x14ac:dyDescent="0.3">
      <c r="A14" s="7" t="s">
        <v>8</v>
      </c>
      <c r="B14" s="8"/>
      <c r="D14" s="20" t="s">
        <v>61</v>
      </c>
      <c r="E14" s="50"/>
      <c r="F14" s="31"/>
      <c r="G14" s="45">
        <f xml:space="preserve"> SQRT(($F$8*$F$6+$G$6*$G$8+$H$6*$H$8)/(2*$G$11))</f>
        <v>7.37563556583431</v>
      </c>
      <c r="H14" s="8"/>
      <c r="M14" s="6"/>
    </row>
    <row r="15" spans="1:13" ht="18.75" thickBot="1" x14ac:dyDescent="0.3">
      <c r="A15" s="9" t="s">
        <v>52</v>
      </c>
      <c r="B15" s="10"/>
      <c r="M15" s="6"/>
    </row>
    <row r="16" spans="1:13" ht="18.75" thickBot="1" x14ac:dyDescent="0.3">
      <c r="A16" s="15"/>
      <c r="C16" s="16"/>
      <c r="D16" s="7" t="s">
        <v>53</v>
      </c>
      <c r="E16" s="8"/>
      <c r="F16" s="51">
        <f xml:space="preserve"> F6/$G$14</f>
        <v>1355.8153613666011</v>
      </c>
      <c r="G16" s="52">
        <f xml:space="preserve"> G6/$G$14</f>
        <v>949.07075295662071</v>
      </c>
      <c r="H16" s="52">
        <f xml:space="preserve"> H6/$G$14</f>
        <v>67.790768068330053</v>
      </c>
      <c r="M16" s="6"/>
    </row>
    <row r="17" spans="1:13" ht="18.75" thickBot="1" x14ac:dyDescent="0.3">
      <c r="A17" s="53"/>
      <c r="D17" s="19" t="s">
        <v>51</v>
      </c>
      <c r="E17" s="10"/>
      <c r="F17" s="54">
        <f>F16/2</f>
        <v>677.90768068330055</v>
      </c>
      <c r="G17" s="55">
        <f>G16/2</f>
        <v>474.53537647831035</v>
      </c>
      <c r="H17" s="16">
        <f>H16/2</f>
        <v>33.895384034165026</v>
      </c>
      <c r="M17" s="6"/>
    </row>
    <row r="18" spans="1:13" ht="18.75" thickBot="1" x14ac:dyDescent="0.3">
      <c r="D18" s="15" t="s">
        <v>49</v>
      </c>
      <c r="E18" s="16"/>
      <c r="F18" s="56">
        <f xml:space="preserve"> (F8*F17)</f>
        <v>6779.0768068330053</v>
      </c>
      <c r="G18" s="57">
        <f xml:space="preserve"> (G8*G17)</f>
        <v>2372.6768823915518</v>
      </c>
      <c r="H18" s="58">
        <f xml:space="preserve"> (H8*H17)</f>
        <v>67.790768068330053</v>
      </c>
      <c r="M18" s="6"/>
    </row>
    <row r="19" spans="1:13" ht="19.5" thickTop="1" thickBot="1" x14ac:dyDescent="0.3">
      <c r="D19" s="7" t="s">
        <v>48</v>
      </c>
      <c r="E19" s="8"/>
      <c r="F19" s="48"/>
      <c r="G19" s="42">
        <f>(G11*G14)</f>
        <v>9219.5444572928882</v>
      </c>
      <c r="H19" s="59"/>
      <c r="M19" s="6"/>
    </row>
    <row r="20" spans="1:13" x14ac:dyDescent="0.25">
      <c r="M20" s="6"/>
    </row>
    <row r="21" spans="1:13" ht="18.75" thickBot="1" x14ac:dyDescent="0.3">
      <c r="M21" s="6"/>
    </row>
    <row r="22" spans="1:13" ht="18.75" thickBot="1" x14ac:dyDescent="0.3">
      <c r="A22" s="7" t="s">
        <v>12</v>
      </c>
      <c r="B22" s="8"/>
      <c r="M22" s="6"/>
    </row>
    <row r="23" spans="1:13" ht="19.5" thickTop="1" thickBot="1" x14ac:dyDescent="0.3">
      <c r="A23" s="9" t="s">
        <v>45</v>
      </c>
      <c r="B23" s="10"/>
      <c r="D23" s="43" t="s">
        <v>44</v>
      </c>
      <c r="E23" s="42"/>
      <c r="F23" s="41">
        <f>F18+G18+H18+G19</f>
        <v>18439.088914585773</v>
      </c>
      <c r="M23" s="6"/>
    </row>
    <row r="24" spans="1:13" ht="19.5" thickTop="1" thickBot="1" x14ac:dyDescent="0.3">
      <c r="D24" s="43" t="s">
        <v>62</v>
      </c>
      <c r="E24" s="17"/>
      <c r="F24" s="57">
        <f>F7*F6+G7*G6+H7*H6+F23</f>
        <v>698439.08891458577</v>
      </c>
      <c r="M24" s="6"/>
    </row>
    <row r="25" spans="1:13" ht="19.5" thickTop="1" thickBo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3"/>
    </row>
    <row r="26" spans="1:13" ht="18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A5FE-4D02-4FFF-A99C-C6B7C42F9345}">
  <dimension ref="A1:O38"/>
  <sheetViews>
    <sheetView tabSelected="1" topLeftCell="B4" zoomScaleNormal="100" workbookViewId="0">
      <selection activeCell="H23" sqref="H23"/>
    </sheetView>
  </sheetViews>
  <sheetFormatPr defaultRowHeight="18" x14ac:dyDescent="0.25"/>
  <cols>
    <col min="1" max="1" width="9" style="1"/>
    <col min="2" max="2" width="17" style="1" customWidth="1"/>
    <col min="3" max="4" width="9" style="1"/>
    <col min="5" max="5" width="18.5" style="1" customWidth="1"/>
    <col min="6" max="6" width="10.25" style="1" customWidth="1"/>
    <col min="7" max="16384" width="9" style="1"/>
  </cols>
  <sheetData>
    <row r="1" spans="1:13" ht="18.75" thickBot="1" x14ac:dyDescent="0.3"/>
    <row r="2" spans="1:13" ht="18.75" thickBot="1" x14ac:dyDescent="0.3">
      <c r="A2" s="3" t="s">
        <v>67</v>
      </c>
      <c r="B2" s="4"/>
      <c r="C2" s="4"/>
      <c r="D2" s="5"/>
      <c r="M2" s="6"/>
    </row>
    <row r="3" spans="1:13" x14ac:dyDescent="0.25">
      <c r="M3" s="6"/>
    </row>
    <row r="4" spans="1:13" ht="18.75" thickBot="1" x14ac:dyDescent="0.3">
      <c r="M4" s="6"/>
    </row>
    <row r="5" spans="1:13" ht="18.75" thickBot="1" x14ac:dyDescent="0.3">
      <c r="A5" s="7" t="s">
        <v>68</v>
      </c>
      <c r="B5" s="8"/>
      <c r="F5" s="7" t="s">
        <v>1</v>
      </c>
      <c r="G5" s="8" t="s">
        <v>2</v>
      </c>
      <c r="H5" s="8" t="s">
        <v>20</v>
      </c>
      <c r="M5" s="6"/>
    </row>
    <row r="6" spans="1:13" ht="18.75" thickBot="1" x14ac:dyDescent="0.3">
      <c r="A6" s="9" t="s">
        <v>3</v>
      </c>
      <c r="B6" s="10"/>
      <c r="D6" s="7" t="s">
        <v>4</v>
      </c>
      <c r="E6" s="8"/>
      <c r="F6" s="13">
        <v>10000</v>
      </c>
      <c r="G6" s="14">
        <v>7000</v>
      </c>
      <c r="H6" s="14">
        <v>500</v>
      </c>
      <c r="J6" s="7" t="s">
        <v>5</v>
      </c>
      <c r="K6" s="8">
        <v>0.2</v>
      </c>
      <c r="M6" s="6"/>
    </row>
    <row r="7" spans="1:13" ht="19.5" thickTop="1" thickBot="1" x14ac:dyDescent="0.3">
      <c r="D7" s="19" t="s">
        <v>7</v>
      </c>
      <c r="E7" s="10"/>
      <c r="F7" s="17">
        <v>50</v>
      </c>
      <c r="G7" s="17">
        <v>25</v>
      </c>
      <c r="H7" s="17">
        <v>10</v>
      </c>
      <c r="M7" s="6"/>
    </row>
    <row r="8" spans="1:13" ht="19.5" thickTop="1" thickBot="1" x14ac:dyDescent="0.3">
      <c r="D8" s="7" t="s">
        <v>57</v>
      </c>
      <c r="E8" s="8"/>
      <c r="F8" s="17">
        <f>F7*K6</f>
        <v>10</v>
      </c>
      <c r="G8" s="18">
        <f>G7*K6</f>
        <v>5</v>
      </c>
      <c r="H8" s="18">
        <f>H7*K6</f>
        <v>2</v>
      </c>
      <c r="M8" s="6"/>
    </row>
    <row r="9" spans="1:13" ht="19.5" thickTop="1" thickBot="1" x14ac:dyDescent="0.3">
      <c r="D9" s="15" t="s">
        <v>56</v>
      </c>
      <c r="E9" s="16"/>
      <c r="F9" s="48"/>
      <c r="G9" s="42">
        <v>800</v>
      </c>
      <c r="H9" s="17"/>
      <c r="M9" s="6"/>
    </row>
    <row r="10" spans="1:13" ht="19.5" thickTop="1" thickBot="1" x14ac:dyDescent="0.3">
      <c r="D10" s="7" t="s">
        <v>55</v>
      </c>
      <c r="E10" s="8"/>
      <c r="F10" s="47">
        <v>100</v>
      </c>
      <c r="G10" s="47">
        <v>150</v>
      </c>
      <c r="H10" s="47">
        <v>200</v>
      </c>
      <c r="M10" s="6"/>
    </row>
    <row r="11" spans="1:13" ht="19.5" thickTop="1" thickBot="1" x14ac:dyDescent="0.3">
      <c r="D11" s="7" t="s">
        <v>60</v>
      </c>
      <c r="E11" s="8"/>
      <c r="F11" s="48"/>
      <c r="G11" s="42">
        <f xml:space="preserve"> G9+F10+G10+H10</f>
        <v>1250</v>
      </c>
      <c r="H11" s="49"/>
      <c r="M11" s="6"/>
    </row>
    <row r="12" spans="1:13" x14ac:dyDescent="0.25">
      <c r="M12" s="6"/>
    </row>
    <row r="13" spans="1:13" x14ac:dyDescent="0.25">
      <c r="M13" s="6"/>
    </row>
    <row r="14" spans="1:13" ht="18.75" thickBot="1" x14ac:dyDescent="0.3">
      <c r="M14" s="6"/>
    </row>
    <row r="15" spans="1:13" ht="18.75" thickBot="1" x14ac:dyDescent="0.3">
      <c r="A15" s="7" t="s">
        <v>0</v>
      </c>
      <c r="B15" s="62"/>
      <c r="C15" s="63"/>
      <c r="D15" s="7" t="s">
        <v>69</v>
      </c>
      <c r="E15" s="62"/>
      <c r="F15" s="31">
        <f>F8*F6/(2*($G$9+F10))</f>
        <v>55.555555555555557</v>
      </c>
      <c r="G15" s="31">
        <f>G8*G6/(2*(G9+G10))</f>
        <v>18.421052631578949</v>
      </c>
      <c r="H15" s="8">
        <f>H8*H6/(2*($G$9+H10))</f>
        <v>0.5</v>
      </c>
      <c r="M15" s="6"/>
    </row>
    <row r="16" spans="1:13" x14ac:dyDescent="0.25">
      <c r="A16" s="64" t="s">
        <v>70</v>
      </c>
      <c r="B16" s="65"/>
      <c r="C16" s="66"/>
      <c r="M16" s="6"/>
    </row>
    <row r="17" spans="1:13" x14ac:dyDescent="0.25">
      <c r="A17" s="64" t="s">
        <v>71</v>
      </c>
      <c r="B17" s="65"/>
      <c r="C17" s="66"/>
      <c r="D17" s="67"/>
      <c r="E17" s="68" t="s">
        <v>72</v>
      </c>
      <c r="F17" s="69" t="str">
        <f xml:space="preserve"> IF(MAX(F15:H15) = F15, "A", IF(MAX(F15:H15) =G15, "B", "C"))</f>
        <v>A</v>
      </c>
      <c r="G17" s="68"/>
      <c r="H17" s="70"/>
      <c r="M17" s="6"/>
    </row>
    <row r="18" spans="1:13" ht="18.75" thickBot="1" x14ac:dyDescent="0.3">
      <c r="A18" s="71" t="s">
        <v>73</v>
      </c>
      <c r="B18" s="72"/>
      <c r="C18" s="66"/>
      <c r="M18" s="6"/>
    </row>
    <row r="19" spans="1:13" x14ac:dyDescent="0.25">
      <c r="M19" s="6"/>
    </row>
    <row r="20" spans="1:13" ht="18.75" thickBot="1" x14ac:dyDescent="0.3">
      <c r="M20" s="6"/>
    </row>
    <row r="21" spans="1:13" ht="19.5" thickTop="1" thickBot="1" x14ac:dyDescent="0.3">
      <c r="A21" s="7" t="s">
        <v>8</v>
      </c>
      <c r="B21" s="62"/>
      <c r="D21" s="43" t="s">
        <v>74</v>
      </c>
      <c r="E21" s="17"/>
      <c r="F21" s="42">
        <f>F6/$F$22</f>
        <v>1247.8551635931688</v>
      </c>
      <c r="G21" s="42">
        <f>G6/$F$22</f>
        <v>873.49861451521815</v>
      </c>
      <c r="H21" s="17">
        <f>H6/$F$22</f>
        <v>62.392758179658443</v>
      </c>
      <c r="M21" s="6"/>
    </row>
    <row r="22" spans="1:13" ht="19.5" thickTop="1" thickBot="1" x14ac:dyDescent="0.3">
      <c r="A22" s="73" t="s">
        <v>75</v>
      </c>
      <c r="B22" s="65"/>
      <c r="D22" s="43" t="s">
        <v>76</v>
      </c>
      <c r="E22" s="17"/>
      <c r="F22" s="42">
        <v>8.0137505471430206</v>
      </c>
      <c r="G22" s="42"/>
      <c r="H22" s="17"/>
      <c r="M22" s="6"/>
    </row>
    <row r="23" spans="1:13" ht="19.5" thickTop="1" thickBot="1" x14ac:dyDescent="0.3">
      <c r="A23" s="64" t="s">
        <v>77</v>
      </c>
      <c r="B23" s="65"/>
      <c r="D23" s="74" t="s">
        <v>78</v>
      </c>
      <c r="E23" s="13"/>
      <c r="F23" s="22">
        <v>1</v>
      </c>
      <c r="G23" s="22">
        <v>1</v>
      </c>
      <c r="H23" s="13">
        <v>5</v>
      </c>
      <c r="M23" s="6"/>
    </row>
    <row r="24" spans="1:13" ht="19.5" thickTop="1" thickBot="1" x14ac:dyDescent="0.3">
      <c r="A24" s="71"/>
      <c r="B24" s="72"/>
      <c r="M24" s="6"/>
    </row>
    <row r="25" spans="1:13" x14ac:dyDescent="0.25">
      <c r="A25" s="75" t="s">
        <v>79</v>
      </c>
      <c r="M25" s="6"/>
    </row>
    <row r="26" spans="1:13" ht="18.75" thickBot="1" x14ac:dyDescent="0.3">
      <c r="A26" s="75"/>
      <c r="M26" s="6"/>
    </row>
    <row r="27" spans="1:13" ht="19.5" thickTop="1" thickBot="1" x14ac:dyDescent="0.3">
      <c r="A27" s="7" t="s">
        <v>80</v>
      </c>
      <c r="B27" s="8"/>
      <c r="D27" s="43" t="s">
        <v>50</v>
      </c>
      <c r="E27" s="17"/>
      <c r="F27" s="17">
        <f>F10*F22/F23+F8*F6*F23/(2*F22)</f>
        <v>7040.6508726801458</v>
      </c>
      <c r="G27" s="18">
        <f>G10*$F$22/G23+G8*G6*G23/(2*F22)</f>
        <v>3385.8091183594984</v>
      </c>
      <c r="H27" s="17">
        <f>H10*F22/H23+H8*H6*H23/(2*F22)</f>
        <v>632.513812784013</v>
      </c>
      <c r="M27" s="6"/>
    </row>
    <row r="28" spans="1:13" ht="19.5" thickTop="1" thickBot="1" x14ac:dyDescent="0.3">
      <c r="A28" s="19" t="s">
        <v>50</v>
      </c>
      <c r="B28" s="10"/>
      <c r="D28" s="76" t="s">
        <v>81</v>
      </c>
      <c r="E28" s="17"/>
      <c r="F28" s="78">
        <f>SUM(F27:H27)+F22*G9</f>
        <v>17469.974241538075</v>
      </c>
      <c r="G28" s="42"/>
      <c r="H28" s="17"/>
      <c r="M28" s="6"/>
    </row>
    <row r="29" spans="1:13" ht="19.5" thickTop="1" thickBot="1" x14ac:dyDescent="0.3">
      <c r="D29" s="43" t="s">
        <v>82</v>
      </c>
      <c r="E29" s="17"/>
      <c r="F29" s="2">
        <f>F27+F7*F6</f>
        <v>507040.65087268013</v>
      </c>
      <c r="G29" s="17">
        <f>G27+G7*G6</f>
        <v>178385.8091183595</v>
      </c>
      <c r="H29" s="17">
        <f>H27+H7*H6</f>
        <v>5632.5138127840128</v>
      </c>
      <c r="M29" s="6"/>
    </row>
    <row r="30" spans="1:13" ht="19.5" thickTop="1" thickBot="1" x14ac:dyDescent="0.3">
      <c r="D30" s="74" t="s">
        <v>83</v>
      </c>
      <c r="E30" s="13"/>
      <c r="F30" s="77">
        <f>SUM(F29:H29)</f>
        <v>691058.97380382358</v>
      </c>
      <c r="G30" s="22"/>
      <c r="H30" s="13"/>
      <c r="M30" s="6"/>
    </row>
    <row r="31" spans="1:13" ht="18.75" thickTop="1" x14ac:dyDescent="0.25">
      <c r="M31" s="6"/>
    </row>
    <row r="32" spans="1:13" x14ac:dyDescent="0.25">
      <c r="M32" s="6"/>
    </row>
    <row r="33" spans="1:15" x14ac:dyDescent="0.25">
      <c r="M33" s="6"/>
    </row>
    <row r="34" spans="1:15" x14ac:dyDescent="0.25">
      <c r="M34" s="6"/>
    </row>
    <row r="35" spans="1:15" x14ac:dyDescent="0.25">
      <c r="M35" s="6"/>
      <c r="O35" s="1" t="s">
        <v>84</v>
      </c>
    </row>
    <row r="36" spans="1:15" x14ac:dyDescent="0.25">
      <c r="M36" s="6"/>
    </row>
    <row r="37" spans="1:15" ht="18.75" thickBo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3"/>
    </row>
    <row r="38" spans="1:15" ht="18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12</vt:i4>
      </vt:variant>
    </vt:vector>
  </HeadingPairs>
  <TitlesOfParts>
    <vt:vector size="12" baseType="lpstr">
      <vt:lpstr>Q1) Budget</vt:lpstr>
      <vt:lpstr>Q2) Space (W)</vt:lpstr>
      <vt:lpstr>Q3.1)No Aggregation</vt:lpstr>
      <vt:lpstr>Q3.2)Complete Aggregation</vt:lpstr>
      <vt:lpstr>Q4.1)No Aggregation</vt:lpstr>
      <vt:lpstr>Q4.2)Complete Aggregation</vt:lpstr>
      <vt:lpstr>Q5.1)No Aggregation </vt:lpstr>
      <vt:lpstr>Q5.2)Complete Aggregation </vt:lpstr>
      <vt:lpstr>Q5.3)Tailored Aggregation</vt:lpstr>
      <vt:lpstr>Q6.1)No Aggregation  </vt:lpstr>
      <vt:lpstr>Q6.2)Complete Aggregation  </vt:lpstr>
      <vt:lpstr>Q6.3)Tailored Aggregation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2021-05-02T10:21:29Z</dcterms:modified>
</cp:coreProperties>
</file>