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13_ncr:1_{EEC40CFD-1E93-4500-A31C-0A065E3CDB8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Q1. No aggregation " sheetId="1" r:id="rId1"/>
    <sheet name="Q2. Complete aggregation" sheetId="2" r:id="rId2"/>
    <sheet name="Q2. Tailored aggregation" sheetId="3" r:id="rId3"/>
  </sheets>
  <definedNames>
    <definedName name="solver_adj" localSheetId="1" hidden="1">'Q2. Complete aggregation'!#REF!</definedName>
    <definedName name="solver_adj" localSheetId="2" hidden="1">'Q2. Tailored aggregation'!$F$28,'Q2. Tailored aggregation'!$F$29:$G$29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3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'Q2. Complete aggregation'!#REF!</definedName>
    <definedName name="solver_lhs1" localSheetId="2" hidden="1">'Q2. Tailored aggregation'!$F$28</definedName>
    <definedName name="solver_lhs2" localSheetId="1" hidden="1">'Q2. Complete aggregation'!#REF!</definedName>
    <definedName name="solver_lhs2" localSheetId="2" hidden="1">'Q2. Tailored aggregation'!$F$29:$G$29</definedName>
    <definedName name="solver_lhs3" localSheetId="1" hidden="1">'Q2. Complete aggregation'!#REF!</definedName>
    <definedName name="solver_lhs3" localSheetId="2" hidden="1">'Q2. Tailored aggregation'!$F$29:$G$29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'Q2. Complete aggregation'!#REF!</definedName>
    <definedName name="solver_opt" localSheetId="2" hidden="1">'Q2. Tailored aggregation'!$F$34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1</definedName>
    <definedName name="solver_rel1" localSheetId="2" hidden="1">3</definedName>
    <definedName name="solver_rel2" localSheetId="1" hidden="1">3</definedName>
    <definedName name="solver_rel2" localSheetId="2" hidden="1">4</definedName>
    <definedName name="solver_rel3" localSheetId="1" hidden="1">1</definedName>
    <definedName name="solver_rel3" localSheetId="2" hidden="1">3</definedName>
    <definedName name="solver_rhs1" localSheetId="1" hidden="1">1</definedName>
    <definedName name="solver_rhs1" localSheetId="2" hidden="1">0</definedName>
    <definedName name="solver_rhs2" localSheetId="1" hidden="1">0</definedName>
    <definedName name="solver_rhs2" localSheetId="2" hidden="1">"integer"</definedName>
    <definedName name="solver_rhs3" localSheetId="1" hidden="1">'Q2. Complete aggregation'!$D$11</definedName>
    <definedName name="solver_rhs3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F34" i="3"/>
  <c r="F33" i="3"/>
  <c r="F27" i="3"/>
  <c r="H35" i="3" l="1"/>
  <c r="F35" i="3"/>
  <c r="H21" i="3"/>
  <c r="F21" i="3"/>
  <c r="G13" i="1"/>
  <c r="G17" i="3"/>
  <c r="G16" i="3"/>
  <c r="G33" i="3" s="1"/>
  <c r="H16" i="3"/>
  <c r="F16" i="3"/>
  <c r="G21" i="2"/>
  <c r="G22" i="2" s="1"/>
  <c r="H13" i="1"/>
  <c r="F13" i="1"/>
  <c r="G12" i="1"/>
  <c r="H12" i="1"/>
  <c r="F12" i="1"/>
  <c r="H33" i="3" l="1"/>
  <c r="G21" i="3"/>
  <c r="G14" i="3"/>
  <c r="F14" i="3"/>
  <c r="F19" i="2"/>
  <c r="H27" i="3"/>
  <c r="G12" i="3"/>
  <c r="G27" i="3" s="1"/>
  <c r="H12" i="3"/>
  <c r="F12" i="3"/>
  <c r="H14" i="3"/>
  <c r="G35" i="3"/>
  <c r="G17" i="2"/>
  <c r="H17" i="2"/>
  <c r="F17" i="2"/>
  <c r="H19" i="2"/>
  <c r="G19" i="2"/>
  <c r="H10" i="1"/>
  <c r="G10" i="1"/>
  <c r="F10" i="1"/>
  <c r="G16" i="1" l="1"/>
  <c r="G21" i="1" s="1"/>
  <c r="H16" i="1"/>
  <c r="H21" i="1" s="1"/>
  <c r="F16" i="1"/>
  <c r="F36" i="3" l="1"/>
  <c r="F23" i="3"/>
  <c r="G29" i="2"/>
  <c r="G32" i="2" s="1"/>
  <c r="H29" i="2"/>
  <c r="H30" i="2" s="1"/>
  <c r="H31" i="2" s="1"/>
  <c r="F29" i="2"/>
  <c r="F30" i="2" s="1"/>
  <c r="F31" i="2" s="1"/>
  <c r="F22" i="1"/>
  <c r="F23" i="1" s="1"/>
  <c r="F17" i="1"/>
  <c r="F20" i="1" s="1"/>
  <c r="F21" i="1"/>
  <c r="H17" i="1"/>
  <c r="H20" i="1" s="1"/>
  <c r="H22" i="1"/>
  <c r="H23" i="1" s="1"/>
  <c r="G22" i="1"/>
  <c r="G23" i="1" s="1"/>
  <c r="G17" i="1"/>
  <c r="G20" i="1" s="1"/>
  <c r="G18" i="1" l="1"/>
  <c r="G30" i="2"/>
  <c r="G31" i="2" s="1"/>
  <c r="F36" i="2" s="1"/>
  <c r="F37" i="2" s="1"/>
  <c r="F18" i="1"/>
  <c r="F19" i="1" s="1"/>
  <c r="G19" i="1"/>
  <c r="H18" i="1"/>
  <c r="H19" i="1" s="1"/>
  <c r="F30" i="1" l="1"/>
  <c r="F31" i="1"/>
</calcChain>
</file>

<file path=xl/sharedStrings.xml><?xml version="1.0" encoding="utf-8"?>
<sst xmlns="http://schemas.openxmlformats.org/spreadsheetml/2006/main" count="96" uniqueCount="64">
  <si>
    <t>Step 1)</t>
  </si>
  <si>
    <t>Small</t>
  </si>
  <si>
    <t>Medium</t>
  </si>
  <si>
    <t>Large</t>
  </si>
  <si>
    <t>Annual demand D</t>
  </si>
  <si>
    <r>
      <t>i</t>
    </r>
    <r>
      <rPr>
        <sz val="11"/>
        <color theme="1"/>
        <rFont val="Tahoma"/>
        <family val="2"/>
        <scheme val="minor"/>
      </rPr>
      <t xml:space="preserve"> (optional)</t>
    </r>
  </si>
  <si>
    <t>Unit Price c</t>
  </si>
  <si>
    <t>Holding cost per unit h</t>
  </si>
  <si>
    <t>Common Ordering cost K</t>
  </si>
  <si>
    <t>Individual Ordering cost</t>
  </si>
  <si>
    <t>Fixed cost</t>
  </si>
  <si>
    <t>Step 2)</t>
  </si>
  <si>
    <t>Q</t>
  </si>
  <si>
    <t>Computing</t>
  </si>
  <si>
    <t>Average Inventory</t>
  </si>
  <si>
    <t>AIC</t>
  </si>
  <si>
    <t>ATC</t>
  </si>
  <si>
    <t>Total Holding cost</t>
  </si>
  <si>
    <t>Total Ordering cost</t>
  </si>
  <si>
    <t>Order per year</t>
  </si>
  <si>
    <t>Order cycle time (year)</t>
  </si>
  <si>
    <t>Step 3)</t>
  </si>
  <si>
    <t>Compute Total Inventory cost:</t>
  </si>
  <si>
    <t>Total Average Inventory Cost =</t>
  </si>
  <si>
    <t xml:space="preserve">Q1)What is the annual total cost of MUSC's strategy of sending full truckloads to each customer in this region </t>
  </si>
  <si>
    <t>We use option 1 : No aggregation</t>
  </si>
  <si>
    <t>Number of deliveries</t>
  </si>
  <si>
    <t>input the number of deliveries for each customer type</t>
  </si>
  <si>
    <t>Q2) Consider different delivery options and evaluate the cost of each. What delivery option do you recommend for MUSC? Find the annual inventory cost and annual total cost.</t>
  </si>
  <si>
    <t>Option 2: Complete aggregation</t>
  </si>
  <si>
    <t>Option 2 : Complete aggregation</t>
  </si>
  <si>
    <t>Ordering cost (k)</t>
  </si>
  <si>
    <t>Optimal number of orders per year (n*)</t>
  </si>
  <si>
    <t>Total Average Total Cost       =</t>
  </si>
  <si>
    <t># of deliveries</t>
  </si>
  <si>
    <t>Total Annual Demand</t>
  </si>
  <si>
    <t>Option 3: Tailored aggregation</t>
  </si>
  <si>
    <t>Step 0)</t>
  </si>
  <si>
    <r>
      <t>i</t>
    </r>
    <r>
      <rPr>
        <sz val="11"/>
        <color theme="1"/>
        <rFont val="Tahoma"/>
        <family val="2"/>
        <scheme val="minor"/>
      </rPr>
      <t xml:space="preserve"> (optional)</t>
    </r>
  </si>
  <si>
    <t>icⱼDⱼ/(2(S+sⱼ))</t>
  </si>
  <si>
    <t>for each product j, calculatei cⱼDⱼ/(2(S+sⱼ))</t>
  </si>
  <si>
    <t xml:space="preserve">and choose the item that yields the </t>
  </si>
  <si>
    <t>so, product 1 =</t>
  </si>
  <si>
    <t>largest value to be item 1</t>
  </si>
  <si>
    <t>Qⱼ</t>
  </si>
  <si>
    <t>. Find the optimal n₁ and mⱼ</t>
  </si>
  <si>
    <t xml:space="preserve">n₁ </t>
  </si>
  <si>
    <r>
      <t xml:space="preserve">. </t>
    </r>
    <r>
      <rPr>
        <sz val="12"/>
        <color theme="1"/>
        <rFont val="Tahoma"/>
        <family val="2"/>
        <scheme val="minor"/>
      </rPr>
      <t>Which give the lowest AIC</t>
    </r>
  </si>
  <si>
    <t>mⱼ</t>
  </si>
  <si>
    <t>Note: mⱼ &gt;= 0, n₁ = integer</t>
  </si>
  <si>
    <t>Result:</t>
  </si>
  <si>
    <t>Total AIC + Total Common ordering cost</t>
  </si>
  <si>
    <t>Total ATC</t>
  </si>
  <si>
    <r>
      <t xml:space="preserve">I consider using two of these methods : Complete aggregation &amp; </t>
    </r>
    <r>
      <rPr>
        <b/>
        <sz val="11"/>
        <color theme="1"/>
        <rFont val="Tahoma"/>
        <family val="2"/>
        <scheme val="minor"/>
      </rPr>
      <t>Tailor Aggregation</t>
    </r>
  </si>
  <si>
    <r>
      <t xml:space="preserve">I consider using two of these methods : </t>
    </r>
    <r>
      <rPr>
        <b/>
        <sz val="11"/>
        <color theme="1"/>
        <rFont val="Tahoma"/>
        <family val="2"/>
        <scheme val="minor"/>
      </rPr>
      <t>Complete aggregation</t>
    </r>
    <r>
      <rPr>
        <sz val="11"/>
        <color theme="1"/>
        <rFont val="Tahoma"/>
        <family val="2"/>
        <scheme val="minor"/>
      </rPr>
      <t xml:space="preserve"> &amp; Tailor Aggregation</t>
    </r>
  </si>
  <si>
    <t>Compute AIC &amp; ATC:</t>
  </si>
  <si>
    <t>Input the limit of the space (W)</t>
  </si>
  <si>
    <t>Step 4)</t>
  </si>
  <si>
    <t>small</t>
  </si>
  <si>
    <t>large</t>
  </si>
  <si>
    <t>medium</t>
  </si>
  <si>
    <t>Total Average total Cost =</t>
  </si>
  <si>
    <t>Input the demand for small &amp; medium &amp; large</t>
  </si>
  <si>
    <t>AIC &amp; 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</si>
</sst>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229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9" xfId="0" applyFill="1" applyBorder="1"/>
    <xf numFmtId="0" fontId="0" fillId="0" borderId="20" xfId="0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5" xfId="0" applyFont="1" applyBorder="1"/>
    <xf numFmtId="0" fontId="0" fillId="0" borderId="21" xfId="0" applyBorder="1"/>
    <xf numFmtId="0" fontId="1" fillId="0" borderId="0" xfId="0" applyFont="1" applyBorder="1"/>
    <xf numFmtId="0" fontId="0" fillId="0" borderId="0" xfId="0" applyBorder="1"/>
    <xf numFmtId="0" fontId="0" fillId="0" borderId="22" xfId="0" applyBorder="1"/>
    <xf numFmtId="0" fontId="0" fillId="0" borderId="9" xfId="0" applyBorder="1" applyAlignment="1">
      <alignment horizontal="center"/>
    </xf>
    <xf numFmtId="0" fontId="5" fillId="0" borderId="1" xfId="0" applyFont="1" applyBorder="1"/>
    <xf numFmtId="0" fontId="0" fillId="0" borderId="23" xfId="0" applyBorder="1"/>
    <xf numFmtId="0" fontId="0" fillId="3" borderId="24" xfId="0" applyFill="1" applyBorder="1"/>
    <xf numFmtId="0" fontId="1" fillId="0" borderId="1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0" fontId="0" fillId="0" borderId="19" xfId="0" applyFill="1" applyBorder="1"/>
    <xf numFmtId="0" fontId="0" fillId="5" borderId="27" xfId="0" applyFill="1" applyBorder="1"/>
    <xf numFmtId="0" fontId="0" fillId="0" borderId="30" xfId="0" applyBorder="1"/>
    <xf numFmtId="0" fontId="0" fillId="0" borderId="31" xfId="0" applyBorder="1"/>
    <xf numFmtId="0" fontId="4" fillId="0" borderId="11" xfId="0" applyFont="1" applyBorder="1"/>
    <xf numFmtId="0" fontId="4" fillId="0" borderId="32" xfId="0" applyFont="1" applyBorder="1"/>
    <xf numFmtId="0" fontId="4" fillId="0" borderId="31" xfId="0" applyFont="1" applyBorder="1"/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5" xfId="0" applyBorder="1"/>
    <xf numFmtId="0" fontId="4" fillId="0" borderId="36" xfId="0" applyFont="1" applyBorder="1"/>
    <xf numFmtId="0" fontId="6" fillId="0" borderId="11" xfId="0" applyFont="1" applyBorder="1"/>
    <xf numFmtId="0" fontId="0" fillId="0" borderId="37" xfId="0" applyBorder="1"/>
    <xf numFmtId="0" fontId="7" fillId="0" borderId="0" xfId="0" applyFont="1"/>
    <xf numFmtId="0" fontId="1" fillId="0" borderId="17" xfId="0" applyFont="1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5" borderId="39" xfId="0" applyFill="1" applyBorder="1"/>
    <xf numFmtId="0" fontId="9" fillId="6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52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24</xdr:row>
      <xdr:rowOff>0</xdr:rowOff>
    </xdr:from>
    <xdr:to>
      <xdr:col>13</xdr:col>
      <xdr:colOff>470647</xdr:colOff>
      <xdr:row>24</xdr:row>
      <xdr:rowOff>0</xdr:rowOff>
    </xdr:to>
    <xdr:cxnSp macro="">
      <xdr:nvCxnSpPr>
        <xdr:cNvPr id="10" name="ลูกศรเชื่อมต่อแบบตรง 9">
          <a:extLst>
            <a:ext uri="{FF2B5EF4-FFF2-40B4-BE49-F238E27FC236}">
              <a16:creationId xmlns:a16="http://schemas.microsoft.com/office/drawing/2014/main" id="{030C8A21-8F25-4055-B354-CEB4A093BB82}"/>
            </a:ext>
          </a:extLst>
        </xdr:cNvPr>
        <xdr:cNvCxnSpPr/>
      </xdr:nvCxnSpPr>
      <xdr:spPr>
        <a:xfrm flipH="1">
          <a:off x="8673353" y="5535706"/>
          <a:ext cx="3137647" cy="156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16</xdr:row>
      <xdr:rowOff>133350</xdr:rowOff>
    </xdr:from>
    <xdr:to>
      <xdr:col>19</xdr:col>
      <xdr:colOff>70064</xdr:colOff>
      <xdr:row>40</xdr:row>
      <xdr:rowOff>123825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2224E90-916F-48E7-8B29-B363C091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5525" y="3181350"/>
          <a:ext cx="4375364" cy="459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A8" sqref="A8"/>
    </sheetView>
  </sheetViews>
  <sheetFormatPr defaultRowHeight="14.25" x14ac:dyDescent="0.2"/>
  <cols>
    <col min="2" max="2" width="26.125" customWidth="1"/>
    <col min="5" max="5" width="20.25" customWidth="1"/>
  </cols>
  <sheetData>
    <row r="1" spans="1:13" ht="15" x14ac:dyDescent="0.2">
      <c r="A1" s="28" t="s">
        <v>24</v>
      </c>
      <c r="M1" s="4"/>
    </row>
    <row r="2" spans="1:13" x14ac:dyDescent="0.2">
      <c r="M2" s="4"/>
    </row>
    <row r="3" spans="1:13" ht="15" thickBot="1" x14ac:dyDescent="0.25">
      <c r="M3" s="4"/>
    </row>
    <row r="4" spans="1:13" ht="15" thickBot="1" x14ac:dyDescent="0.25">
      <c r="A4" s="1" t="s">
        <v>25</v>
      </c>
      <c r="B4" s="2"/>
      <c r="C4" s="2"/>
      <c r="D4" s="3"/>
      <c r="M4" s="4"/>
    </row>
    <row r="5" spans="1:13" x14ac:dyDescent="0.2">
      <c r="M5" s="4"/>
    </row>
    <row r="6" spans="1:13" ht="15" thickBot="1" x14ac:dyDescent="0.25">
      <c r="M6" s="4"/>
    </row>
    <row r="7" spans="1:13" ht="15" thickBot="1" x14ac:dyDescent="0.25">
      <c r="A7" s="5" t="s">
        <v>0</v>
      </c>
      <c r="B7" s="6"/>
      <c r="F7" s="5" t="s">
        <v>1</v>
      </c>
      <c r="G7" s="6" t="s">
        <v>2</v>
      </c>
      <c r="H7" s="6" t="s">
        <v>3</v>
      </c>
      <c r="M7" s="4"/>
    </row>
    <row r="8" spans="1:13" ht="15" thickBot="1" x14ac:dyDescent="0.25">
      <c r="A8" s="7" t="s">
        <v>62</v>
      </c>
      <c r="B8" s="8"/>
      <c r="D8" s="5" t="s">
        <v>4</v>
      </c>
      <c r="E8" s="6"/>
      <c r="F8" s="9">
        <v>1000</v>
      </c>
      <c r="G8" s="10">
        <v>5000</v>
      </c>
      <c r="H8" s="10">
        <v>12000</v>
      </c>
      <c r="J8" s="5" t="s">
        <v>5</v>
      </c>
      <c r="K8" s="6">
        <v>0.25</v>
      </c>
      <c r="M8" s="4"/>
    </row>
    <row r="9" spans="1:13" ht="15.75" thickTop="1" thickBot="1" x14ac:dyDescent="0.25">
      <c r="D9" s="11" t="s">
        <v>6</v>
      </c>
      <c r="E9" s="8"/>
      <c r="F9" s="12">
        <v>1</v>
      </c>
      <c r="G9" s="12">
        <v>1</v>
      </c>
      <c r="H9" s="12">
        <v>1</v>
      </c>
      <c r="M9" s="4"/>
    </row>
    <row r="10" spans="1:13" ht="15.75" thickTop="1" thickBot="1" x14ac:dyDescent="0.25">
      <c r="D10" s="5" t="s">
        <v>7</v>
      </c>
      <c r="E10" s="6"/>
      <c r="F10" s="12">
        <f>F9*K8</f>
        <v>0.25</v>
      </c>
      <c r="G10" s="13">
        <f>G9*K8</f>
        <v>0.25</v>
      </c>
      <c r="H10" s="13">
        <f>H9*K8</f>
        <v>0.25</v>
      </c>
      <c r="M10" s="4"/>
    </row>
    <row r="11" spans="1:13" ht="15.75" thickTop="1" thickBot="1" x14ac:dyDescent="0.25">
      <c r="D11" s="14" t="s">
        <v>8</v>
      </c>
      <c r="E11" s="15"/>
      <c r="F11" s="35"/>
      <c r="G11" s="24">
        <v>350</v>
      </c>
      <c r="H11" s="12"/>
      <c r="M11" s="4"/>
    </row>
    <row r="12" spans="1:13" ht="15.75" thickTop="1" thickBot="1" x14ac:dyDescent="0.25">
      <c r="D12" s="5" t="s">
        <v>9</v>
      </c>
      <c r="E12" s="6"/>
      <c r="F12" s="16">
        <f>IF(F9&gt;=4,200,50)</f>
        <v>50</v>
      </c>
      <c r="G12" s="16">
        <f t="shared" ref="G12:H12" si="0">IF(G9&gt;=4,200,50)</f>
        <v>50</v>
      </c>
      <c r="H12" s="16">
        <f t="shared" si="0"/>
        <v>50</v>
      </c>
      <c r="M12" s="4"/>
    </row>
    <row r="13" spans="1:13" ht="15.75" thickTop="1" thickBot="1" x14ac:dyDescent="0.25">
      <c r="D13" s="5" t="s">
        <v>10</v>
      </c>
      <c r="E13" s="6"/>
      <c r="F13" s="16">
        <f>$G$11+F12</f>
        <v>400</v>
      </c>
      <c r="G13" s="16">
        <f>$G$11+G12</f>
        <v>400</v>
      </c>
      <c r="H13" s="16">
        <f t="shared" ref="H13" si="1">$G$11+H12</f>
        <v>400</v>
      </c>
      <c r="M13" s="4"/>
    </row>
    <row r="14" spans="1:13" x14ac:dyDescent="0.2">
      <c r="M14" s="4"/>
    </row>
    <row r="15" spans="1:13" ht="15" thickBot="1" x14ac:dyDescent="0.25">
      <c r="M15" s="4"/>
    </row>
    <row r="16" spans="1:13" ht="15" thickBot="1" x14ac:dyDescent="0.25">
      <c r="A16" s="5" t="s">
        <v>11</v>
      </c>
      <c r="B16" s="6"/>
      <c r="D16" s="5" t="s">
        <v>12</v>
      </c>
      <c r="E16" s="6"/>
      <c r="F16" s="17">
        <f xml:space="preserve"> SQRT(2*F13*F8/F10)</f>
        <v>1788.8543819998317</v>
      </c>
      <c r="G16" s="18">
        <f xml:space="preserve"> SQRT(2*G13*G8/G10)</f>
        <v>4000</v>
      </c>
      <c r="H16" s="19">
        <f xml:space="preserve"> SQRT(2*H13*H8/H10)</f>
        <v>6196.773353931867</v>
      </c>
      <c r="M16" s="4"/>
    </row>
    <row r="17" spans="1:13" ht="15" thickBot="1" x14ac:dyDescent="0.25">
      <c r="A17" s="7" t="s">
        <v>13</v>
      </c>
      <c r="B17" s="8"/>
      <c r="D17" s="11" t="s">
        <v>14</v>
      </c>
      <c r="E17" s="8"/>
      <c r="F17" s="14">
        <f>F16/2</f>
        <v>894.42719099991587</v>
      </c>
      <c r="G17">
        <f>G16/2</f>
        <v>2000</v>
      </c>
      <c r="H17" s="15">
        <f>H16/2</f>
        <v>3098.3866769659335</v>
      </c>
      <c r="M17" s="4"/>
    </row>
    <row r="18" spans="1:13" ht="15" thickBot="1" x14ac:dyDescent="0.25">
      <c r="D18" s="5" t="s">
        <v>15</v>
      </c>
      <c r="E18" s="6"/>
      <c r="F18" s="17">
        <f>(F13*F8/F16)+(F10*F17)</f>
        <v>447.21359549995793</v>
      </c>
      <c r="G18" s="18">
        <f>(G13*G8/G16)+(G10*G17)</f>
        <v>1000</v>
      </c>
      <c r="H18" s="19">
        <f>(H13*H8/H16)+(H10*H17)</f>
        <v>1549.1933384829667</v>
      </c>
      <c r="M18" s="4"/>
    </row>
    <row r="19" spans="1:13" x14ac:dyDescent="0.2">
      <c r="D19" s="20" t="s">
        <v>16</v>
      </c>
      <c r="E19" s="21"/>
      <c r="F19" s="20">
        <f>F18+F16*F9</f>
        <v>2236.0679774997898</v>
      </c>
      <c r="G19" s="20">
        <f>G18+G16*G9</f>
        <v>5000</v>
      </c>
      <c r="H19" s="20">
        <f t="shared" ref="H19" si="2">H18+H16*H9</f>
        <v>7745.9666924148332</v>
      </c>
      <c r="M19" s="4"/>
    </row>
    <row r="20" spans="1:13" ht="15" thickBot="1" x14ac:dyDescent="0.25">
      <c r="D20" s="14" t="s">
        <v>17</v>
      </c>
      <c r="E20" s="15"/>
      <c r="F20" s="14">
        <f xml:space="preserve"> (F10*F17)</f>
        <v>223.60679774997897</v>
      </c>
      <c r="G20">
        <f xml:space="preserve"> (G10*G17)</f>
        <v>500</v>
      </c>
      <c r="H20" s="15">
        <f xml:space="preserve"> (H10*H17)</f>
        <v>774.59666924148337</v>
      </c>
      <c r="M20" s="4"/>
    </row>
    <row r="21" spans="1:13" ht="15" thickBot="1" x14ac:dyDescent="0.25">
      <c r="D21" s="5" t="s">
        <v>18</v>
      </c>
      <c r="E21" s="6"/>
      <c r="F21" s="14">
        <f>(F13*F8/F16)</f>
        <v>223.60679774997897</v>
      </c>
      <c r="G21">
        <f>(G13*G8/G16)</f>
        <v>500</v>
      </c>
      <c r="H21" s="15">
        <f>(H13*H8/H16)</f>
        <v>774.59666924148337</v>
      </c>
      <c r="M21" s="4"/>
    </row>
    <row r="22" spans="1:13" ht="15" thickBot="1" x14ac:dyDescent="0.25">
      <c r="D22" s="5" t="s">
        <v>19</v>
      </c>
      <c r="E22" s="6"/>
      <c r="F22" s="14">
        <f>F8/F16</f>
        <v>0.55901699437494745</v>
      </c>
      <c r="G22">
        <f>G8/G16</f>
        <v>1.25</v>
      </c>
      <c r="H22" s="15">
        <f>H8/H16</f>
        <v>1.9364916731037085</v>
      </c>
      <c r="M22" s="4"/>
    </row>
    <row r="23" spans="1:13" ht="15" thickBot="1" x14ac:dyDescent="0.25">
      <c r="D23" s="5" t="s">
        <v>20</v>
      </c>
      <c r="E23" s="6"/>
      <c r="F23" s="11">
        <f>1/F22</f>
        <v>1.7888543819998317</v>
      </c>
      <c r="G23" s="22">
        <f>1/G22</f>
        <v>0.8</v>
      </c>
      <c r="H23" s="8">
        <f>1/H22</f>
        <v>0.5163977794943222</v>
      </c>
      <c r="M23" s="4"/>
    </row>
    <row r="24" spans="1:13" x14ac:dyDescent="0.2">
      <c r="M24" s="4"/>
    </row>
    <row r="25" spans="1:13" ht="15" thickBot="1" x14ac:dyDescent="0.25">
      <c r="M25" s="4"/>
    </row>
    <row r="26" spans="1:13" ht="15" thickBot="1" x14ac:dyDescent="0.25">
      <c r="A26" s="5" t="s">
        <v>21</v>
      </c>
      <c r="B26" s="6"/>
      <c r="C26" s="32"/>
      <c r="D26" s="5" t="s">
        <v>26</v>
      </c>
      <c r="E26" s="6"/>
      <c r="F26" s="5">
        <v>12</v>
      </c>
      <c r="G26" s="30">
        <v>6</v>
      </c>
      <c r="H26" s="6">
        <v>2</v>
      </c>
      <c r="M26" s="4"/>
    </row>
    <row r="27" spans="1:13" ht="15" thickBot="1" x14ac:dyDescent="0.25">
      <c r="A27" s="31" t="s">
        <v>27</v>
      </c>
      <c r="B27" s="8"/>
      <c r="M27" s="4"/>
    </row>
    <row r="28" spans="1:13" ht="15" thickBot="1" x14ac:dyDescent="0.25">
      <c r="M28" s="4"/>
    </row>
    <row r="29" spans="1:13" ht="15" thickBot="1" x14ac:dyDescent="0.25">
      <c r="A29" s="5" t="s">
        <v>21</v>
      </c>
      <c r="B29" s="6"/>
      <c r="M29" s="4"/>
    </row>
    <row r="30" spans="1:13" ht="15.75" thickTop="1" thickBot="1" x14ac:dyDescent="0.25">
      <c r="A30" s="7" t="s">
        <v>22</v>
      </c>
      <c r="B30" s="8"/>
      <c r="D30" s="23" t="s">
        <v>23</v>
      </c>
      <c r="E30" s="24"/>
      <c r="F30" s="25">
        <f>F18*F26+G18*G26+H18*H26</f>
        <v>14464.949822965427</v>
      </c>
      <c r="M30" s="4"/>
    </row>
    <row r="31" spans="1:13" ht="15.75" thickTop="1" thickBot="1" x14ac:dyDescent="0.25">
      <c r="D31" s="23" t="s">
        <v>61</v>
      </c>
      <c r="E31" s="24"/>
      <c r="F31" s="26">
        <f>F19*F26+G19*G26+H19*H26</f>
        <v>72324.749114827137</v>
      </c>
      <c r="M31" s="4"/>
    </row>
    <row r="32" spans="1:13" ht="15.75" thickTop="1" thickBo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9"/>
    </row>
    <row r="33" ht="1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6DDE-8269-42C2-AEFB-CE87A22846F3}">
  <dimension ref="A1:O39"/>
  <sheetViews>
    <sheetView tabSelected="1" zoomScale="85" zoomScaleNormal="85" workbookViewId="0">
      <selection activeCell="G28" sqref="G28"/>
    </sheetView>
  </sheetViews>
  <sheetFormatPr defaultRowHeight="14.25" x14ac:dyDescent="0.2"/>
  <cols>
    <col min="2" max="2" width="26.375" customWidth="1"/>
    <col min="5" max="5" width="14.125" customWidth="1"/>
    <col min="6" max="6" width="12.5" customWidth="1"/>
    <col min="7" max="7" width="16.5" customWidth="1"/>
    <col min="8" max="8" width="16.375" customWidth="1"/>
    <col min="20" max="20" width="13.25" customWidth="1"/>
  </cols>
  <sheetData>
    <row r="1" spans="1:13" ht="18" x14ac:dyDescent="0.25">
      <c r="A1" s="29" t="s">
        <v>28</v>
      </c>
    </row>
    <row r="2" spans="1:13" ht="15" thickBot="1" x14ac:dyDescent="0.25">
      <c r="E2" s="22"/>
      <c r="F2" s="22"/>
      <c r="G2" s="22"/>
      <c r="H2" s="22"/>
    </row>
    <row r="3" spans="1:13" ht="15" thickBot="1" x14ac:dyDescent="0.25">
      <c r="A3" s="1" t="s">
        <v>54</v>
      </c>
      <c r="B3" s="2"/>
      <c r="C3" s="2"/>
      <c r="D3" s="3"/>
      <c r="E3" s="1"/>
      <c r="F3" s="2"/>
      <c r="G3" s="2"/>
      <c r="H3" s="3"/>
    </row>
    <row r="5" spans="1:13" x14ac:dyDescent="0.2">
      <c r="A5" t="s">
        <v>29</v>
      </c>
    </row>
    <row r="7" spans="1:13" ht="15" thickBot="1" x14ac:dyDescent="0.25">
      <c r="E7" s="22"/>
      <c r="F7" s="22"/>
      <c r="G7" s="22"/>
      <c r="H7" s="22"/>
      <c r="I7" s="22"/>
      <c r="J7" s="22"/>
      <c r="K7" s="22"/>
      <c r="L7" s="22"/>
      <c r="M7" s="22"/>
    </row>
    <row r="8" spans="1:13" ht="15" thickBot="1" x14ac:dyDescent="0.25">
      <c r="A8" s="1" t="s">
        <v>30</v>
      </c>
      <c r="B8" s="2"/>
      <c r="C8" s="2"/>
      <c r="D8" s="3"/>
      <c r="M8" s="4"/>
    </row>
    <row r="9" spans="1:13" x14ac:dyDescent="0.2">
      <c r="M9" s="4"/>
    </row>
    <row r="10" spans="1:13" ht="15" thickBot="1" x14ac:dyDescent="0.25">
      <c r="M10" s="4"/>
    </row>
    <row r="11" spans="1:13" ht="15" thickBot="1" x14ac:dyDescent="0.25">
      <c r="A11" s="25" t="s">
        <v>56</v>
      </c>
      <c r="B11" s="5"/>
      <c r="C11" s="6"/>
      <c r="D11" s="70">
        <v>40000</v>
      </c>
      <c r="M11" s="4"/>
    </row>
    <row r="12" spans="1:13" x14ac:dyDescent="0.2">
      <c r="M12" s="4"/>
    </row>
    <row r="13" spans="1:13" ht="15" thickBot="1" x14ac:dyDescent="0.25">
      <c r="M13" s="4"/>
    </row>
    <row r="14" spans="1:13" ht="15" thickBot="1" x14ac:dyDescent="0.25">
      <c r="A14" s="5" t="s">
        <v>0</v>
      </c>
      <c r="B14" s="6"/>
      <c r="F14" s="5" t="s">
        <v>58</v>
      </c>
      <c r="G14" s="6" t="s">
        <v>60</v>
      </c>
      <c r="H14" s="6" t="s">
        <v>59</v>
      </c>
      <c r="M14" s="4"/>
    </row>
    <row r="15" spans="1:13" ht="15" thickBot="1" x14ac:dyDescent="0.25">
      <c r="A15" s="7" t="s">
        <v>62</v>
      </c>
      <c r="B15" s="8"/>
      <c r="D15" s="5" t="s">
        <v>4</v>
      </c>
      <c r="E15" s="6"/>
      <c r="F15" s="9">
        <v>1000</v>
      </c>
      <c r="G15" s="10">
        <v>5000</v>
      </c>
      <c r="H15" s="10">
        <v>12000</v>
      </c>
      <c r="J15" s="5" t="s">
        <v>5</v>
      </c>
      <c r="K15" s="6">
        <v>0.25</v>
      </c>
      <c r="M15" s="4"/>
    </row>
    <row r="16" spans="1:13" ht="15" thickBot="1" x14ac:dyDescent="0.25">
      <c r="A16" s="33"/>
      <c r="B16" s="34"/>
      <c r="D16" s="11" t="s">
        <v>34</v>
      </c>
      <c r="E16" s="8"/>
      <c r="F16" s="9">
        <v>12</v>
      </c>
      <c r="G16" s="9">
        <v>6</v>
      </c>
      <c r="H16" s="9">
        <v>2</v>
      </c>
      <c r="J16" s="34"/>
      <c r="K16" s="34"/>
      <c r="M16" s="4"/>
    </row>
    <row r="17" spans="1:15" ht="15" thickBot="1" x14ac:dyDescent="0.25">
      <c r="A17" s="33"/>
      <c r="B17" s="34"/>
      <c r="D17" s="11" t="s">
        <v>35</v>
      </c>
      <c r="E17" s="8"/>
      <c r="F17" s="9">
        <f>F15*F16</f>
        <v>12000</v>
      </c>
      <c r="G17" s="9">
        <f t="shared" ref="G17:H17" si="0">G15*G16</f>
        <v>30000</v>
      </c>
      <c r="H17" s="9">
        <f t="shared" si="0"/>
        <v>24000</v>
      </c>
      <c r="J17" s="34"/>
      <c r="K17" s="34"/>
      <c r="M17" s="4"/>
    </row>
    <row r="18" spans="1:15" ht="15.75" thickTop="1" thickBot="1" x14ac:dyDescent="0.25">
      <c r="D18" s="11" t="s">
        <v>6</v>
      </c>
      <c r="E18" s="8"/>
      <c r="F18" s="12">
        <v>1</v>
      </c>
      <c r="G18" s="12">
        <v>1</v>
      </c>
      <c r="H18" s="12">
        <v>1</v>
      </c>
      <c r="M18" s="4"/>
    </row>
    <row r="19" spans="1:15" ht="15.75" thickTop="1" thickBot="1" x14ac:dyDescent="0.25">
      <c r="D19" s="5" t="s">
        <v>7</v>
      </c>
      <c r="E19" s="6"/>
      <c r="F19" s="12">
        <f>F18*K15</f>
        <v>0.25</v>
      </c>
      <c r="G19" s="13">
        <f>G18*K15</f>
        <v>0.25</v>
      </c>
      <c r="H19" s="13">
        <f>H18*K15</f>
        <v>0.25</v>
      </c>
      <c r="M19" s="4"/>
    </row>
    <row r="20" spans="1:15" ht="15.75" thickTop="1" thickBot="1" x14ac:dyDescent="0.25">
      <c r="D20" s="14" t="s">
        <v>8</v>
      </c>
      <c r="E20" s="15"/>
      <c r="F20" s="35"/>
      <c r="G20" s="24">
        <v>350</v>
      </c>
      <c r="H20" s="12"/>
      <c r="M20" s="4"/>
    </row>
    <row r="21" spans="1:15" ht="15.75" thickTop="1" thickBot="1" x14ac:dyDescent="0.25">
      <c r="D21" s="5" t="s">
        <v>9</v>
      </c>
      <c r="E21" s="6"/>
      <c r="F21" s="35"/>
      <c r="G21" s="24">
        <f>IF(SUM(F16:H16)&gt;=4,200,50)</f>
        <v>200</v>
      </c>
      <c r="H21" s="12"/>
      <c r="M21" s="4"/>
    </row>
    <row r="22" spans="1:15" ht="15.75" thickTop="1" thickBot="1" x14ac:dyDescent="0.25">
      <c r="D22" s="5" t="s">
        <v>31</v>
      </c>
      <c r="E22" s="6"/>
      <c r="F22" s="35"/>
      <c r="G22" s="24">
        <f xml:space="preserve"> G20+G21</f>
        <v>550</v>
      </c>
      <c r="H22" s="36"/>
      <c r="M22" s="4"/>
    </row>
    <row r="23" spans="1:15" x14ac:dyDescent="0.2">
      <c r="D23" s="34"/>
      <c r="E23" s="34"/>
      <c r="F23" s="34"/>
      <c r="G23" s="34"/>
      <c r="H23" s="47"/>
      <c r="M23" s="4"/>
    </row>
    <row r="24" spans="1:15" x14ac:dyDescent="0.2">
      <c r="D24" s="34"/>
      <c r="E24" s="34"/>
      <c r="F24" s="34"/>
      <c r="G24" s="34"/>
      <c r="H24" s="47"/>
      <c r="M24" s="4"/>
    </row>
    <row r="25" spans="1:15" x14ac:dyDescent="0.2">
      <c r="M25" s="4"/>
    </row>
    <row r="26" spans="1:15" ht="15" thickBot="1" x14ac:dyDescent="0.25">
      <c r="M26" s="4"/>
    </row>
    <row r="27" spans="1:15" ht="15" thickBot="1" x14ac:dyDescent="0.25">
      <c r="A27" s="5" t="s">
        <v>21</v>
      </c>
      <c r="B27" s="6"/>
      <c r="D27" s="37" t="s">
        <v>32</v>
      </c>
      <c r="E27" s="38"/>
      <c r="F27" s="30"/>
      <c r="G27" s="18">
        <f xml:space="preserve"> SQRT((F19*F17+G19*G17+H19*H17)/(2*G22))</f>
        <v>3.872983346207417</v>
      </c>
      <c r="H27" s="6"/>
      <c r="M27" s="4"/>
    </row>
    <row r="28" spans="1:15" ht="15" thickBot="1" x14ac:dyDescent="0.25">
      <c r="A28" s="7" t="s">
        <v>13</v>
      </c>
      <c r="B28" s="8"/>
      <c r="M28" s="4"/>
    </row>
    <row r="29" spans="1:15" ht="15" thickBot="1" x14ac:dyDescent="0.25">
      <c r="A29" s="14"/>
      <c r="C29" s="15"/>
      <c r="D29" s="5" t="s">
        <v>12</v>
      </c>
      <c r="E29" s="6"/>
      <c r="F29" s="39">
        <f xml:space="preserve"> F15/$G$27</f>
        <v>258.1988897471611</v>
      </c>
      <c r="G29" s="39">
        <f t="shared" ref="G29:H29" si="1" xml:space="preserve"> G15/$G$27</f>
        <v>1290.9944487358057</v>
      </c>
      <c r="H29" s="39">
        <f t="shared" si="1"/>
        <v>3098.3866769659335</v>
      </c>
      <c r="M29" s="4"/>
    </row>
    <row r="30" spans="1:15" ht="15" thickBot="1" x14ac:dyDescent="0.25">
      <c r="A30" s="40"/>
      <c r="D30" s="11" t="s">
        <v>14</v>
      </c>
      <c r="E30" s="8"/>
      <c r="F30" s="41">
        <f>F29/2</f>
        <v>129.09944487358055</v>
      </c>
      <c r="G30" s="42">
        <f>G29/2</f>
        <v>645.49722436790285</v>
      </c>
      <c r="H30" s="15">
        <f>H29/2</f>
        <v>1549.1933384829667</v>
      </c>
      <c r="M30" s="4"/>
      <c r="N30" s="14"/>
      <c r="O30" s="34"/>
    </row>
    <row r="31" spans="1:15" ht="15" thickBot="1" x14ac:dyDescent="0.25">
      <c r="D31" s="14" t="s">
        <v>17</v>
      </c>
      <c r="E31" s="15"/>
      <c r="F31" s="43">
        <f xml:space="preserve"> (F19*F30)</f>
        <v>32.274861218395138</v>
      </c>
      <c r="G31" s="44">
        <f xml:space="preserve"> (G19*G30)</f>
        <v>161.37430609197571</v>
      </c>
      <c r="H31" s="45">
        <f xml:space="preserve"> (H19*H30)</f>
        <v>387.29833462074168</v>
      </c>
      <c r="M31" s="4"/>
      <c r="N31" s="14"/>
    </row>
    <row r="32" spans="1:15" ht="15.75" thickTop="1" thickBot="1" x14ac:dyDescent="0.25">
      <c r="D32" s="5" t="s">
        <v>18</v>
      </c>
      <c r="E32" s="6"/>
      <c r="F32" s="35"/>
      <c r="G32" s="24">
        <f>(G22*G15/G29)</f>
        <v>2130.1408404140793</v>
      </c>
      <c r="H32" s="46"/>
      <c r="M32" s="4"/>
    </row>
    <row r="33" spans="1:13" x14ac:dyDescent="0.2">
      <c r="M33" s="4"/>
    </row>
    <row r="34" spans="1:13" ht="15" thickBot="1" x14ac:dyDescent="0.25">
      <c r="M34" s="4"/>
    </row>
    <row r="35" spans="1:13" ht="15" thickBot="1" x14ac:dyDescent="0.25">
      <c r="A35" s="5" t="s">
        <v>57</v>
      </c>
      <c r="B35" s="6"/>
      <c r="M35" s="4"/>
    </row>
    <row r="36" spans="1:13" ht="15.75" thickTop="1" thickBot="1" x14ac:dyDescent="0.25">
      <c r="A36" s="7" t="s">
        <v>55</v>
      </c>
      <c r="B36" s="8"/>
      <c r="D36" s="23" t="s">
        <v>23</v>
      </c>
      <c r="E36" s="24"/>
      <c r="F36" s="48">
        <f>F31+G31+H31+G32</f>
        <v>2711.0883423451919</v>
      </c>
      <c r="M36" s="4"/>
    </row>
    <row r="37" spans="1:13" ht="15.75" thickTop="1" thickBot="1" x14ac:dyDescent="0.25">
      <c r="D37" s="23" t="s">
        <v>33</v>
      </c>
      <c r="E37" s="12"/>
      <c r="F37" s="49">
        <f>F18*F15+G18*G15+H18*H15+F36</f>
        <v>20711.088342345192</v>
      </c>
      <c r="M37" s="4"/>
    </row>
    <row r="38" spans="1:13" ht="15.75" thickTop="1" thickBo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9"/>
    </row>
    <row r="39" spans="1:13" ht="15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C0A7-1333-4F9C-AAE4-36992B01C42A}">
  <dimension ref="A2:L39"/>
  <sheetViews>
    <sheetView workbookViewId="0">
      <selection activeCell="A35" sqref="A35"/>
    </sheetView>
  </sheetViews>
  <sheetFormatPr defaultRowHeight="14.25" x14ac:dyDescent="0.2"/>
  <cols>
    <col min="2" max="2" width="25.125" customWidth="1"/>
    <col min="5" max="5" width="13.875" bestFit="1" customWidth="1"/>
  </cols>
  <sheetData>
    <row r="2" spans="1:12" ht="15" thickBot="1" x14ac:dyDescent="0.25"/>
    <row r="3" spans="1:12" ht="15" thickBot="1" x14ac:dyDescent="0.25">
      <c r="A3" s="1" t="s">
        <v>53</v>
      </c>
      <c r="B3" s="2"/>
      <c r="C3" s="2"/>
      <c r="D3" s="3"/>
      <c r="E3" s="1"/>
      <c r="F3" s="2"/>
      <c r="G3" s="2"/>
      <c r="H3" s="3"/>
    </row>
    <row r="5" spans="1:12" x14ac:dyDescent="0.2">
      <c r="A5" t="s">
        <v>36</v>
      </c>
    </row>
    <row r="6" spans="1:12" ht="1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x14ac:dyDescent="0.2">
      <c r="L7" s="66"/>
    </row>
    <row r="8" spans="1:12" ht="15" thickBot="1" x14ac:dyDescent="0.25">
      <c r="L8" s="15"/>
    </row>
    <row r="9" spans="1:12" ht="15" thickBot="1" x14ac:dyDescent="0.25">
      <c r="A9" s="5" t="s">
        <v>37</v>
      </c>
      <c r="B9" s="6"/>
      <c r="F9" s="5" t="s">
        <v>58</v>
      </c>
      <c r="G9" s="6" t="s">
        <v>60</v>
      </c>
      <c r="H9" s="6" t="s">
        <v>59</v>
      </c>
      <c r="L9" s="15"/>
    </row>
    <row r="10" spans="1:12" ht="15" thickBot="1" x14ac:dyDescent="0.25">
      <c r="A10" s="67"/>
      <c r="B10" s="66"/>
      <c r="D10" s="5" t="s">
        <v>4</v>
      </c>
      <c r="E10" s="6"/>
      <c r="F10" s="9">
        <v>1000</v>
      </c>
      <c r="G10" s="10">
        <v>5000</v>
      </c>
      <c r="H10" s="10">
        <v>12000</v>
      </c>
      <c r="L10" s="15"/>
    </row>
    <row r="11" spans="1:12" ht="15" thickBot="1" x14ac:dyDescent="0.25">
      <c r="A11" s="14"/>
      <c r="B11" s="15"/>
      <c r="D11" s="11" t="s">
        <v>34</v>
      </c>
      <c r="E11" s="8"/>
      <c r="F11" s="9">
        <v>12</v>
      </c>
      <c r="G11" s="9">
        <v>6</v>
      </c>
      <c r="H11" s="9">
        <v>2</v>
      </c>
      <c r="L11" s="15"/>
    </row>
    <row r="12" spans="1:12" ht="15" thickBot="1" x14ac:dyDescent="0.25">
      <c r="A12" s="7" t="s">
        <v>62</v>
      </c>
      <c r="B12" s="8"/>
      <c r="D12" s="5" t="s">
        <v>4</v>
      </c>
      <c r="E12" s="6"/>
      <c r="F12" s="9">
        <f>F10*F11</f>
        <v>12000</v>
      </c>
      <c r="G12" s="9">
        <f t="shared" ref="G12:H12" si="0">G10*G11</f>
        <v>30000</v>
      </c>
      <c r="H12" s="9">
        <f t="shared" si="0"/>
        <v>24000</v>
      </c>
      <c r="J12" s="5" t="s">
        <v>38</v>
      </c>
      <c r="K12" s="6">
        <v>0.25</v>
      </c>
      <c r="L12" s="15"/>
    </row>
    <row r="13" spans="1:12" ht="15.75" thickTop="1" thickBot="1" x14ac:dyDescent="0.25">
      <c r="D13" s="11" t="s">
        <v>6</v>
      </c>
      <c r="E13" s="8"/>
      <c r="F13" s="12">
        <v>1</v>
      </c>
      <c r="G13" s="12">
        <v>1</v>
      </c>
      <c r="H13" s="12">
        <v>1</v>
      </c>
      <c r="L13" s="15"/>
    </row>
    <row r="14" spans="1:12" ht="15.75" thickTop="1" thickBot="1" x14ac:dyDescent="0.25">
      <c r="D14" s="5" t="s">
        <v>7</v>
      </c>
      <c r="E14" s="6"/>
      <c r="F14" s="12">
        <f>F13*K12</f>
        <v>0.25</v>
      </c>
      <c r="G14" s="13">
        <f>G13*K12</f>
        <v>0.25</v>
      </c>
      <c r="H14" s="13">
        <f>H13*K12</f>
        <v>0.25</v>
      </c>
      <c r="L14" s="15"/>
    </row>
    <row r="15" spans="1:12" ht="15.75" thickTop="1" thickBot="1" x14ac:dyDescent="0.25">
      <c r="D15" s="14" t="s">
        <v>8</v>
      </c>
      <c r="E15" s="15"/>
      <c r="F15" s="35"/>
      <c r="G15" s="35">
        <v>350</v>
      </c>
      <c r="H15" s="65"/>
      <c r="L15" s="15"/>
    </row>
    <row r="16" spans="1:12" ht="15.75" thickTop="1" thickBot="1" x14ac:dyDescent="0.25">
      <c r="D16" s="5" t="s">
        <v>9</v>
      </c>
      <c r="E16" s="6"/>
      <c r="F16" s="16">
        <f>IF(F11&gt;=4, 200, 50)</f>
        <v>200</v>
      </c>
      <c r="G16" s="16">
        <f t="shared" ref="G16:H16" si="1">IF(G11&gt;=4, 200, 50)</f>
        <v>200</v>
      </c>
      <c r="H16" s="16">
        <f t="shared" si="1"/>
        <v>50</v>
      </c>
      <c r="L16" s="15"/>
    </row>
    <row r="17" spans="1:12" ht="15.75" thickTop="1" thickBot="1" x14ac:dyDescent="0.25">
      <c r="D17" s="5" t="s">
        <v>31</v>
      </c>
      <c r="E17" s="6"/>
      <c r="F17" s="35"/>
      <c r="G17" s="35">
        <f>G15+MAX(F16:H16)</f>
        <v>550</v>
      </c>
      <c r="H17" s="65"/>
      <c r="L17" s="15"/>
    </row>
    <row r="18" spans="1:12" x14ac:dyDescent="0.2">
      <c r="L18" s="15"/>
    </row>
    <row r="19" spans="1:12" x14ac:dyDescent="0.2">
      <c r="L19" s="15"/>
    </row>
    <row r="20" spans="1:12" ht="15" thickBot="1" x14ac:dyDescent="0.25">
      <c r="L20" s="15"/>
    </row>
    <row r="21" spans="1:12" ht="15" thickBot="1" x14ac:dyDescent="0.25">
      <c r="A21" s="5" t="s">
        <v>0</v>
      </c>
      <c r="B21" s="50"/>
      <c r="C21" s="51"/>
      <c r="D21" s="5" t="s">
        <v>39</v>
      </c>
      <c r="E21" s="50"/>
      <c r="F21" s="30">
        <f>F14*F12/(2*($G$15+F16))</f>
        <v>2.7272727272727271</v>
      </c>
      <c r="G21" s="30">
        <f>G14*G12/(2*($G$15+G16))</f>
        <v>6.8181818181818183</v>
      </c>
      <c r="H21" s="6">
        <f>H14*H12/(2*($G$15+H16))</f>
        <v>7.5</v>
      </c>
      <c r="L21" s="15"/>
    </row>
    <row r="22" spans="1:12" x14ac:dyDescent="0.2">
      <c r="A22" s="52" t="s">
        <v>40</v>
      </c>
      <c r="B22" s="53"/>
      <c r="C22" s="54"/>
      <c r="L22" s="15"/>
    </row>
    <row r="23" spans="1:12" x14ac:dyDescent="0.2">
      <c r="A23" s="52" t="s">
        <v>41</v>
      </c>
      <c r="B23" s="53"/>
      <c r="C23" s="54"/>
      <c r="D23" s="55"/>
      <c r="E23" s="56" t="s">
        <v>42</v>
      </c>
      <c r="F23" s="57" t="str">
        <f xml:space="preserve"> IF(MAX(F21:H21) = F21, "A", IF(MAX(F21:H21) =G21, "B", "C"))</f>
        <v>C</v>
      </c>
      <c r="G23" s="56"/>
      <c r="H23" s="58"/>
      <c r="L23" s="15"/>
    </row>
    <row r="24" spans="1:12" ht="15" thickBot="1" x14ac:dyDescent="0.25">
      <c r="A24" s="31" t="s">
        <v>43</v>
      </c>
      <c r="B24" s="59"/>
      <c r="C24" s="54"/>
      <c r="L24" s="15"/>
    </row>
    <row r="25" spans="1:12" x14ac:dyDescent="0.2">
      <c r="L25" s="15"/>
    </row>
    <row r="26" spans="1:12" ht="15" thickBot="1" x14ac:dyDescent="0.25">
      <c r="L26" s="15"/>
    </row>
    <row r="27" spans="1:12" ht="15.75" thickTop="1" thickBot="1" x14ac:dyDescent="0.25">
      <c r="A27" s="5" t="s">
        <v>11</v>
      </c>
      <c r="B27" s="50"/>
      <c r="D27" s="23" t="s">
        <v>44</v>
      </c>
      <c r="E27" s="12"/>
      <c r="F27" s="24">
        <f>F12/$F$28</f>
        <v>2717.4651472139644</v>
      </c>
      <c r="G27" s="24">
        <f>G12/$F$28</f>
        <v>6793.6628680349113</v>
      </c>
      <c r="H27" s="68">
        <f t="shared" ref="H27" si="2">H12/$F$28</f>
        <v>5434.9302944279289</v>
      </c>
      <c r="L27" s="15"/>
    </row>
    <row r="28" spans="1:12" ht="16.5" thickTop="1" thickBot="1" x14ac:dyDescent="0.25">
      <c r="A28" s="60" t="s">
        <v>45</v>
      </c>
      <c r="B28" s="53"/>
      <c r="D28" s="23" t="s">
        <v>46</v>
      </c>
      <c r="E28" s="12"/>
      <c r="F28" s="24">
        <v>4.4158800021051965</v>
      </c>
      <c r="G28" s="24"/>
      <c r="H28" s="12"/>
      <c r="L28" s="15"/>
    </row>
    <row r="29" spans="1:12" ht="16.5" thickTop="1" thickBot="1" x14ac:dyDescent="0.25">
      <c r="A29" s="52" t="s">
        <v>47</v>
      </c>
      <c r="B29" s="53"/>
      <c r="D29" s="61" t="s">
        <v>48</v>
      </c>
      <c r="E29" s="9"/>
      <c r="F29" s="27">
        <v>2</v>
      </c>
      <c r="G29" s="27">
        <v>1</v>
      </c>
      <c r="H29" s="9">
        <v>1</v>
      </c>
      <c r="L29" s="15"/>
    </row>
    <row r="30" spans="1:12" ht="15.75" thickTop="1" thickBot="1" x14ac:dyDescent="0.25">
      <c r="A30" s="31"/>
      <c r="B30" s="59"/>
      <c r="L30" s="15"/>
    </row>
    <row r="31" spans="1:12" x14ac:dyDescent="0.2">
      <c r="A31" s="62" t="s">
        <v>49</v>
      </c>
      <c r="L31" s="15"/>
    </row>
    <row r="32" spans="1:12" ht="15" thickBot="1" x14ac:dyDescent="0.25">
      <c r="A32" s="62"/>
      <c r="L32" s="15"/>
    </row>
    <row r="33" spans="1:12" ht="15.75" thickTop="1" thickBot="1" x14ac:dyDescent="0.25">
      <c r="A33" s="5" t="s">
        <v>50</v>
      </c>
      <c r="B33" s="6"/>
      <c r="D33" s="23" t="s">
        <v>15</v>
      </c>
      <c r="E33" s="12"/>
      <c r="F33" s="12">
        <f>F16*(F28/F29)+F14*F12*F29/(2*F28)</f>
        <v>1120.9542870140108</v>
      </c>
      <c r="G33" s="13">
        <f>G16*$F$24/G29+G14*G12*G29/(2*F28)</f>
        <v>849.20785850436391</v>
      </c>
      <c r="H33" s="12">
        <f>H16*F28/H29+H14*H12*H29/(2*F28)</f>
        <v>900.16028690875089</v>
      </c>
      <c r="L33" s="15"/>
    </row>
    <row r="34" spans="1:12" ht="15.75" thickTop="1" thickBot="1" x14ac:dyDescent="0.25">
      <c r="A34" s="11" t="s">
        <v>63</v>
      </c>
      <c r="B34" s="8"/>
      <c r="D34" s="63" t="s">
        <v>51</v>
      </c>
      <c r="E34" s="12"/>
      <c r="F34" s="24">
        <f>SUM(F33:H33)+F28*G15</f>
        <v>4415.880433163944</v>
      </c>
      <c r="G34" s="24"/>
      <c r="H34" s="12"/>
      <c r="L34" s="15"/>
    </row>
    <row r="35" spans="1:12" ht="15.75" thickTop="1" thickBot="1" x14ac:dyDescent="0.25">
      <c r="D35" s="23" t="s">
        <v>16</v>
      </c>
      <c r="E35" s="12"/>
      <c r="F35" s="64">
        <f>F33+F13*F12</f>
        <v>13120.95428701401</v>
      </c>
      <c r="G35" s="12">
        <f>G33+G13*G12</f>
        <v>30849.207858504364</v>
      </c>
      <c r="H35" s="12">
        <f>H33+H13*H12</f>
        <v>24900.160286908751</v>
      </c>
      <c r="L35" s="15"/>
    </row>
    <row r="36" spans="1:12" ht="15.75" thickTop="1" thickBot="1" x14ac:dyDescent="0.25">
      <c r="D36" s="61" t="s">
        <v>52</v>
      </c>
      <c r="E36" s="9"/>
      <c r="F36" s="69">
        <f>SUM(F35:H35)</f>
        <v>68870.322432427129</v>
      </c>
      <c r="G36" s="27"/>
      <c r="H36" s="9"/>
      <c r="L36" s="15"/>
    </row>
    <row r="37" spans="1:12" ht="15" thickTop="1" x14ac:dyDescent="0.2">
      <c r="L37" s="15"/>
    </row>
    <row r="38" spans="1:12" ht="15" thickBo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8"/>
    </row>
    <row r="39" spans="1:12" x14ac:dyDescent="0.2">
      <c r="L3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Q1. No aggregation </vt:lpstr>
      <vt:lpstr>Q2. Complete aggregation</vt:lpstr>
      <vt:lpstr>Q2. Tailored 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2021-04-28T07:55:43Z</dcterms:modified>
</cp:coreProperties>
</file>