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pcom\Desktop\Supply chain model\"/>
    </mc:Choice>
  </mc:AlternateContent>
  <xr:revisionPtr revIDLastSave="0" documentId="8_{7C2CF551-7C14-4D2D-8318-9E4A5F997821}" xr6:coauthVersionLast="46" xr6:coauthVersionMax="46" xr10:uidLastSave="{00000000-0000-0000-0000-000000000000}"/>
  <bookViews>
    <workbookView xWindow="-120" yWindow="-120" windowWidth="29040" windowHeight="15840" firstSheet="2" activeTab="7" xr2:uid="{E786AE53-9A93-4DE4-9DA0-793ED03D6CB3}"/>
  </bookViews>
  <sheets>
    <sheet name="4.1) Multi-item with constraint" sheetId="1" r:id="rId1"/>
    <sheet name="Total number of orders (N)" sheetId="5" r:id="rId2"/>
    <sheet name="Space (W)" sheetId="6" r:id="rId3"/>
    <sheet name="Limitation of Budget (B)" sheetId="7" r:id="rId4"/>
    <sheet name="4.2 Multi-item with delivery op" sheetId="8" r:id="rId5"/>
    <sheet name="No Aggregation" sheetId="12" r:id="rId6"/>
    <sheet name="Complete Aggregation" sheetId="10" r:id="rId7"/>
    <sheet name="Tailored Aggregation" sheetId="11" r:id="rId8"/>
  </sheets>
  <definedNames>
    <definedName name="solver_adj" localSheetId="0" hidden="1">'4.1) Multi-item with constraint'!#REF!</definedName>
    <definedName name="solver_adj" localSheetId="3" hidden="1">'Limitation of Budget (B)'!$D$29</definedName>
    <definedName name="solver_adj" localSheetId="2" hidden="1">'Space (W)'!$D$30</definedName>
    <definedName name="solver_adj" localSheetId="7" hidden="1">'Tailored Aggregation'!$F$22,'Tailored Aggregation'!$G$23:$H$23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eng" localSheetId="0" hidden="1">3</definedName>
    <definedName name="solver_eng" localSheetId="3" hidden="1">3</definedName>
    <definedName name="solver_eng" localSheetId="2" hidden="1">1</definedName>
    <definedName name="solver_eng" localSheetId="7" hidden="1">3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lhs1" localSheetId="0" hidden="1">'4.1) Multi-item with constraint'!#REF!</definedName>
    <definedName name="solver_lhs1" localSheetId="3" hidden="1">'Limitation of Budget (B)'!$D$29</definedName>
    <definedName name="solver_lhs1" localSheetId="2" hidden="1">'Space (W)'!$D$30</definedName>
    <definedName name="solver_lhs1" localSheetId="7" hidden="1">'Tailored Aggregation'!$F$22</definedName>
    <definedName name="solver_lhs2" localSheetId="0" hidden="1">'4.1) Multi-item with constraint'!#REF!</definedName>
    <definedName name="solver_lhs2" localSheetId="3" hidden="1">'Limitation of Budget (B)'!$D$29</definedName>
    <definedName name="solver_lhs2" localSheetId="2" hidden="1">'Space (W)'!$D$30</definedName>
    <definedName name="solver_lhs2" localSheetId="7" hidden="1">'Tailored Aggregation'!$F$22</definedName>
    <definedName name="solver_lhs3" localSheetId="0" hidden="1">'4.1) Multi-item with constraint'!#REF!</definedName>
    <definedName name="solver_lhs3" localSheetId="3" hidden="1">'Limitation of Budget (B)'!$G$29</definedName>
    <definedName name="solver_lhs3" localSheetId="2" hidden="1">'Space (W)'!$G$30</definedName>
    <definedName name="solver_lhs3" localSheetId="7" hidden="1">'Tailored Aggregation'!$G$23:$H$23</definedName>
    <definedName name="solver_lhs4" localSheetId="0" hidden="1">'4.1) Multi-item with constraint'!#REF!</definedName>
    <definedName name="solver_lhs4" localSheetId="7" hidden="1">'Tailored Aggregation'!$G$23:$H$23</definedName>
    <definedName name="solver_lhs5" localSheetId="0" hidden="1">'4.1) Multi-item with constraint'!#REF!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eg" localSheetId="7" hidden="1">1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um" localSheetId="0" hidden="1">3</definedName>
    <definedName name="solver_num" localSheetId="3" hidden="1">3</definedName>
    <definedName name="solver_num" localSheetId="2" hidden="1">3</definedName>
    <definedName name="solver_num" localSheetId="7" hidden="1">4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opt" localSheetId="0" hidden="1">'4.1) Multi-item with constraint'!#REF!</definedName>
    <definedName name="solver_opt" localSheetId="3" hidden="1">'Limitation of Budget (B)'!$G$29</definedName>
    <definedName name="solver_opt" localSheetId="2" hidden="1">'Space (W)'!$G$30</definedName>
    <definedName name="solver_opt" localSheetId="7" hidden="1">'Tailored Aggregation'!$F$28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rbv" localSheetId="0" hidden="1">1</definedName>
    <definedName name="solver_rbv" localSheetId="3" hidden="1">1</definedName>
    <definedName name="solver_rbv" localSheetId="7" hidden="1">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1" localSheetId="7" hidden="1">1</definedName>
    <definedName name="solver_rel2" localSheetId="0" hidden="1">3</definedName>
    <definedName name="solver_rel2" localSheetId="3" hidden="1">3</definedName>
    <definedName name="solver_rel2" localSheetId="2" hidden="1">3</definedName>
    <definedName name="solver_rel2" localSheetId="7" hidden="1">3</definedName>
    <definedName name="solver_rel3" localSheetId="0" hidden="1">1</definedName>
    <definedName name="solver_rel3" localSheetId="3" hidden="1">1</definedName>
    <definedName name="solver_rel3" localSheetId="2" hidden="1">1</definedName>
    <definedName name="solver_rel3" localSheetId="7" hidden="1">1</definedName>
    <definedName name="solver_rel4" localSheetId="0" hidden="1">3</definedName>
    <definedName name="solver_rel4" localSheetId="7" hidden="1">4</definedName>
    <definedName name="solver_rel5" localSheetId="0" hidden="1">2</definedName>
    <definedName name="solver_rhs1" localSheetId="0" hidden="1">1</definedName>
    <definedName name="solver_rhs1" localSheetId="3" hidden="1">1</definedName>
    <definedName name="solver_rhs1" localSheetId="2" hidden="1">1</definedName>
    <definedName name="solver_rhs1" localSheetId="7" hidden="1">30</definedName>
    <definedName name="solver_rhs2" localSheetId="0" hidden="1">0</definedName>
    <definedName name="solver_rhs2" localSheetId="3" hidden="1">0</definedName>
    <definedName name="solver_rhs2" localSheetId="2" hidden="1">0</definedName>
    <definedName name="solver_rhs2" localSheetId="7" hidden="1">0</definedName>
    <definedName name="solver_rhs3" localSheetId="0" hidden="1">'4.1) Multi-item with constraint'!#REF!</definedName>
    <definedName name="solver_rhs3" localSheetId="3" hidden="1">'Limitation of Budget (B)'!$F$11</definedName>
    <definedName name="solver_rhs3" localSheetId="2" hidden="1">'Space (W)'!$F$12</definedName>
    <definedName name="solver_rhs3" localSheetId="7" hidden="1">30</definedName>
    <definedName name="solver_rhs4" localSheetId="0" hidden="1">0</definedName>
    <definedName name="solver_rhs4" localSheetId="7" hidden="1">"integer"</definedName>
    <definedName name="solver_rhs5" localSheetId="0" hidden="1">'4.1) Multi-item with constraint'!#REF!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typ" localSheetId="7" hidden="1">2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7" hidden="1">0</definedName>
    <definedName name="solver_ver" localSheetId="0" hidden="1">3</definedName>
    <definedName name="solver_ver" localSheetId="3" hidden="1">3</definedName>
    <definedName name="solver_ver" localSheetId="2" hidden="1">3</definedName>
    <definedName name="solver_ver" localSheetId="7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1" l="1"/>
  <c r="G19" i="10" l="1"/>
  <c r="F18" i="10"/>
  <c r="H11" i="12"/>
  <c r="G11" i="12"/>
  <c r="G14" i="12" s="1"/>
  <c r="G19" i="12" s="1"/>
  <c r="G20" i="12" s="1"/>
  <c r="F11" i="12"/>
  <c r="H8" i="12"/>
  <c r="G8" i="12"/>
  <c r="F8" i="12"/>
  <c r="F30" i="6"/>
  <c r="E30" i="6"/>
  <c r="G9" i="7"/>
  <c r="F9" i="7"/>
  <c r="E29" i="7" s="1"/>
  <c r="G9" i="6"/>
  <c r="F9" i="6"/>
  <c r="G9" i="5"/>
  <c r="F9" i="5"/>
  <c r="G15" i="11"/>
  <c r="H15" i="11"/>
  <c r="F15" i="11"/>
  <c r="F27" i="11"/>
  <c r="G29" i="11"/>
  <c r="H14" i="12" l="1"/>
  <c r="G15" i="12"/>
  <c r="G17" i="12" s="1"/>
  <c r="G18" i="12"/>
  <c r="F14" i="12"/>
  <c r="F18" i="12" s="1"/>
  <c r="G21" i="11"/>
  <c r="F21" i="11"/>
  <c r="G16" i="12" l="1"/>
  <c r="H19" i="12"/>
  <c r="H20" i="12" s="1"/>
  <c r="H15" i="12"/>
  <c r="H17" i="12" s="1"/>
  <c r="H18" i="12"/>
  <c r="F19" i="12"/>
  <c r="F20" i="12" s="1"/>
  <c r="F15" i="12"/>
  <c r="F17" i="12" s="1"/>
  <c r="F16" i="10"/>
  <c r="G16" i="10"/>
  <c r="G14" i="10"/>
  <c r="H27" i="11"/>
  <c r="G27" i="11"/>
  <c r="H21" i="11"/>
  <c r="G11" i="11"/>
  <c r="G11" i="10"/>
  <c r="H8" i="11"/>
  <c r="G8" i="11"/>
  <c r="F8" i="11"/>
  <c r="H8" i="10"/>
  <c r="G8" i="10"/>
  <c r="F8" i="10"/>
  <c r="F29" i="7"/>
  <c r="G10" i="6"/>
  <c r="F10" i="6"/>
  <c r="E15" i="5"/>
  <c r="E18" i="5" s="1"/>
  <c r="E16" i="5"/>
  <c r="E19" i="5" s="1"/>
  <c r="F16" i="12" l="1"/>
  <c r="H16" i="12"/>
  <c r="E34" i="7"/>
  <c r="G29" i="7"/>
  <c r="G30" i="6"/>
  <c r="H18" i="5"/>
  <c r="F22" i="5" s="1"/>
  <c r="E26" i="5" s="1"/>
  <c r="E28" i="5" s="1"/>
  <c r="F29" i="11"/>
  <c r="F17" i="11"/>
  <c r="H29" i="11"/>
  <c r="E33" i="7"/>
  <c r="E15" i="7"/>
  <c r="E18" i="7" s="1"/>
  <c r="E16" i="7"/>
  <c r="E19" i="7" s="1"/>
  <c r="E16" i="6"/>
  <c r="E19" i="6" s="1"/>
  <c r="E17" i="6"/>
  <c r="E20" i="6" s="1"/>
  <c r="F24" i="12" l="1"/>
  <c r="H18" i="7"/>
  <c r="F22" i="7" s="1"/>
  <c r="F30" i="11"/>
  <c r="F17" i="10"/>
  <c r="H16" i="10"/>
  <c r="H17" i="10" s="1"/>
  <c r="H18" i="10" s="1"/>
  <c r="H19" i="6"/>
  <c r="F23" i="6" s="1"/>
  <c r="E35" i="6" s="1"/>
  <c r="E29" i="5"/>
  <c r="G17" i="10" l="1"/>
  <c r="G18" i="10" s="1"/>
  <c r="F23" i="10" s="1"/>
  <c r="F24" i="10" s="1"/>
  <c r="E34" i="6"/>
</calcChain>
</file>

<file path=xl/sharedStrings.xml><?xml version="1.0" encoding="utf-8"?>
<sst xmlns="http://schemas.openxmlformats.org/spreadsheetml/2006/main" count="181" uniqueCount="89">
  <si>
    <t>3 main types of constraint</t>
  </si>
  <si>
    <t>1. Total number of orders (N)</t>
  </si>
  <si>
    <t>2. Space (W)</t>
  </si>
  <si>
    <t>3. Budget for purchasing cost (B)</t>
  </si>
  <si>
    <t>Constraint Type 1 : Total number of orders (N)</t>
  </si>
  <si>
    <t>4.1 Multi- Item Inventory Model with constraint</t>
  </si>
  <si>
    <t>A</t>
  </si>
  <si>
    <t>B</t>
  </si>
  <si>
    <t>Step 1)</t>
  </si>
  <si>
    <t>Annual demand D</t>
  </si>
  <si>
    <t>Order cost K</t>
  </si>
  <si>
    <t>Unit Price c</t>
  </si>
  <si>
    <t>Input the demand for Item A &amp; B</t>
  </si>
  <si>
    <t>Step 2)</t>
  </si>
  <si>
    <t>The total number of orders (N)</t>
  </si>
  <si>
    <t>Holding cost h</t>
  </si>
  <si>
    <r>
      <t xml:space="preserve">EOQ </t>
    </r>
    <r>
      <rPr>
        <sz val="8"/>
        <color theme="1"/>
        <rFont val="Tahoma"/>
        <family val="2"/>
        <scheme val="minor"/>
      </rPr>
      <t>A</t>
    </r>
  </si>
  <si>
    <r>
      <t xml:space="preserve">EOQ </t>
    </r>
    <r>
      <rPr>
        <sz val="8"/>
        <color theme="1"/>
        <rFont val="Tahoma"/>
        <family val="2"/>
        <scheme val="minor"/>
      </rPr>
      <t>B</t>
    </r>
  </si>
  <si>
    <t>Step 3)</t>
  </si>
  <si>
    <t>Check Constrain</t>
  </si>
  <si>
    <t>Violent the constraint :</t>
  </si>
  <si>
    <t>Find EOQ &amp; n of each Item</t>
  </si>
  <si>
    <r>
      <t xml:space="preserve">n </t>
    </r>
    <r>
      <rPr>
        <sz val="8"/>
        <color theme="1"/>
        <rFont val="Tahoma"/>
        <family val="2"/>
        <scheme val="minor"/>
      </rPr>
      <t>A</t>
    </r>
  </si>
  <si>
    <r>
      <t xml:space="preserve">n </t>
    </r>
    <r>
      <rPr>
        <sz val="8"/>
        <color theme="1"/>
        <rFont val="Tahoma"/>
        <family val="2"/>
        <scheme val="minor"/>
      </rPr>
      <t>B</t>
    </r>
  </si>
  <si>
    <t>Step 4)</t>
  </si>
  <si>
    <r>
      <t>Find Q</t>
    </r>
    <r>
      <rPr>
        <sz val="8"/>
        <color theme="1"/>
        <rFont val="Tahoma"/>
        <family val="2"/>
        <scheme val="minor"/>
      </rPr>
      <t>a</t>
    </r>
    <r>
      <rPr>
        <sz val="10"/>
        <color theme="1"/>
        <rFont val="Tahoma"/>
        <family val="2"/>
        <scheme val="minor"/>
      </rPr>
      <t>* Q</t>
    </r>
    <r>
      <rPr>
        <sz val="8"/>
        <color theme="1"/>
        <rFont val="Tahoma"/>
        <family val="2"/>
        <scheme val="minor"/>
      </rPr>
      <t>b</t>
    </r>
    <r>
      <rPr>
        <sz val="10"/>
        <color theme="1"/>
        <rFont val="Tahoma"/>
        <family val="2"/>
        <scheme val="minor"/>
      </rPr>
      <t>*</t>
    </r>
  </si>
  <si>
    <r>
      <t xml:space="preserve">Q* </t>
    </r>
    <r>
      <rPr>
        <sz val="8"/>
        <color theme="1"/>
        <rFont val="Tahoma"/>
        <family val="2"/>
        <scheme val="minor"/>
      </rPr>
      <t>a</t>
    </r>
  </si>
  <si>
    <r>
      <t xml:space="preserve">Q* </t>
    </r>
    <r>
      <rPr>
        <sz val="8"/>
        <color theme="1"/>
        <rFont val="Tahoma"/>
        <family val="2"/>
        <scheme val="minor"/>
      </rPr>
      <t>b</t>
    </r>
  </si>
  <si>
    <r>
      <t>i</t>
    </r>
    <r>
      <rPr>
        <sz val="11"/>
        <color theme="1"/>
        <rFont val="Tahoma"/>
        <family val="2"/>
        <scheme val="minor"/>
      </rPr>
      <t xml:space="preserve"> (optional)</t>
    </r>
  </si>
  <si>
    <t xml:space="preserve">λ </t>
  </si>
  <si>
    <t>Constraint Type 2 : Space (W)</t>
  </si>
  <si>
    <t>Storage space (w) required (sq ft/unit)</t>
  </si>
  <si>
    <t>Space limitation (W)  (sq ft/unit)</t>
  </si>
  <si>
    <t>Holding cost (h)</t>
  </si>
  <si>
    <r>
      <t xml:space="preserve">w </t>
    </r>
    <r>
      <rPr>
        <sz val="8"/>
        <color theme="1"/>
        <rFont val="Tahoma"/>
        <family val="2"/>
        <scheme val="minor"/>
      </rPr>
      <t>A</t>
    </r>
  </si>
  <si>
    <r>
      <t xml:space="preserve">w </t>
    </r>
    <r>
      <rPr>
        <sz val="8"/>
        <color theme="1"/>
        <rFont val="Tahoma"/>
        <family val="2"/>
        <scheme val="minor"/>
      </rPr>
      <t>B</t>
    </r>
  </si>
  <si>
    <t>Space Required</t>
  </si>
  <si>
    <t xml:space="preserve">Total Space: </t>
  </si>
  <si>
    <t xml:space="preserve">Limitation of budget(B) ($) </t>
  </si>
  <si>
    <t xml:space="preserve">Find the best λ </t>
  </si>
  <si>
    <t>Budget used</t>
  </si>
  <si>
    <r>
      <t>Find Q</t>
    </r>
    <r>
      <rPr>
        <sz val="8"/>
        <color theme="1"/>
        <rFont val="Tahoma"/>
        <family val="2"/>
        <scheme val="minor"/>
      </rPr>
      <t>a</t>
    </r>
    <r>
      <rPr>
        <sz val="10"/>
        <color theme="1"/>
        <rFont val="Tahoma"/>
        <family val="2"/>
        <scheme val="minor"/>
      </rPr>
      <t>*, Q</t>
    </r>
    <r>
      <rPr>
        <sz val="8"/>
        <color theme="1"/>
        <rFont val="Tahoma"/>
        <family val="2"/>
        <scheme val="minor"/>
      </rPr>
      <t>b</t>
    </r>
    <r>
      <rPr>
        <sz val="10"/>
        <color theme="1"/>
        <rFont val="Tahoma"/>
        <family val="2"/>
        <scheme val="minor"/>
      </rPr>
      <t>*</t>
    </r>
  </si>
  <si>
    <t>Constraint Type 3 : Limitation of Budget (B)</t>
  </si>
  <si>
    <t xml:space="preserve">Total Budget: </t>
  </si>
  <si>
    <t xml:space="preserve">Total orders: </t>
  </si>
  <si>
    <t>In fact, we need to set Qa QB &gt;=0 too</t>
  </si>
  <si>
    <t>4.2 Multi- Item Inventory Model with Delivery options</t>
  </si>
  <si>
    <t>3 options of delivering</t>
  </si>
  <si>
    <t>C</t>
  </si>
  <si>
    <t>Individual Ordering cost</t>
  </si>
  <si>
    <t>Fixed cost</t>
  </si>
  <si>
    <t>Common Ordering cost K</t>
  </si>
  <si>
    <t>Computing</t>
  </si>
  <si>
    <t>Q</t>
  </si>
  <si>
    <t>Average Inventory</t>
  </si>
  <si>
    <t>AIC</t>
  </si>
  <si>
    <t>Holding cost per unit h</t>
  </si>
  <si>
    <t>Total Ordering cost</t>
  </si>
  <si>
    <t>Total Holding cost</t>
  </si>
  <si>
    <t>Order per year</t>
  </si>
  <si>
    <t>Order cycle time (year)</t>
  </si>
  <si>
    <t>Compute Total Inventory cost:</t>
  </si>
  <si>
    <t>Total Average Inventory Cost =</t>
  </si>
  <si>
    <t>2. Complete Aggregatation (All products delivered on the each truck)</t>
  </si>
  <si>
    <t>3. Tailored Aggregatation (Selected subsets of the products delivered on the each truck )</t>
  </si>
  <si>
    <t>1. No aggregation (Each product were ordered seperately)</t>
  </si>
  <si>
    <t>Option 1 : No aggregation</t>
  </si>
  <si>
    <t>Option 2 : Complete aggregation</t>
  </si>
  <si>
    <t>Ordering cost (k)</t>
  </si>
  <si>
    <t>Optimal number of orders per year (n*)</t>
  </si>
  <si>
    <t>Total Average Total Cost       =</t>
  </si>
  <si>
    <t>Step 0)</t>
  </si>
  <si>
    <t>icⱼDⱼ/(2(S+sⱼ))</t>
  </si>
  <si>
    <t>for each product j, calculatei cⱼDⱼ/(2(S+sⱼ))</t>
  </si>
  <si>
    <t xml:space="preserve">and choose the item that yields the </t>
  </si>
  <si>
    <t>largest value to be item 1</t>
  </si>
  <si>
    <t>so, product 1 =</t>
  </si>
  <si>
    <t>Qⱼ</t>
  </si>
  <si>
    <t>mⱼ</t>
  </si>
  <si>
    <t>. Find the optimal n₁ and mⱼ</t>
  </si>
  <si>
    <t>Note: mⱼ &gt;= 0, n₁ = integer</t>
  </si>
  <si>
    <t>ATC</t>
  </si>
  <si>
    <t>Total ATC</t>
  </si>
  <si>
    <t xml:space="preserve">n₁ </t>
  </si>
  <si>
    <t>Total AIC + Total Common ordering cost</t>
  </si>
  <si>
    <r>
      <t xml:space="preserve">. </t>
    </r>
    <r>
      <rPr>
        <sz val="12"/>
        <color theme="1"/>
        <rFont val="Tahoma"/>
        <family val="2"/>
        <scheme val="minor"/>
      </rPr>
      <t>Which give the lowest AIC</t>
    </r>
  </si>
  <si>
    <t>Result:</t>
  </si>
  <si>
    <t>Option 3 : Tailored aggregation</t>
  </si>
  <si>
    <t>Solve for n1 &amp;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</si>
</sst>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36"/>
      <color theme="1"/>
      <name val="Tahoma"/>
      <family val="2"/>
      <scheme val="minor"/>
    </font>
    <font>
      <sz val="36"/>
      <color theme="1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14"/>
      <color theme="2"/>
      <name val="Tahoma"/>
      <family val="2"/>
      <charset val="222"/>
      <scheme val="minor"/>
    </font>
    <font>
      <sz val="8"/>
      <color theme="1"/>
      <name val="Tahoma"/>
      <family val="2"/>
      <scheme val="minor"/>
    </font>
    <font>
      <sz val="14"/>
      <color rgb="FF222222"/>
      <name val="Arial"/>
      <family val="2"/>
    </font>
    <font>
      <b/>
      <sz val="8"/>
      <color theme="1"/>
      <name val="Tahoma"/>
      <family val="2"/>
      <scheme val="minor"/>
    </font>
    <font>
      <b/>
      <sz val="14"/>
      <color rgb="FF222222"/>
      <name val="Arial"/>
      <family val="2"/>
    </font>
    <font>
      <sz val="14"/>
      <color theme="3" tint="0.39997558519241921"/>
      <name val="Tahoma"/>
      <family val="2"/>
      <charset val="222"/>
      <scheme val="minor"/>
    </font>
    <font>
      <sz val="11"/>
      <color theme="3" tint="0.39997558519241921"/>
      <name val="Tahoma"/>
      <family val="2"/>
      <charset val="222"/>
      <scheme val="minor"/>
    </font>
    <font>
      <b/>
      <sz val="26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8"/>
      <color theme="1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/>
  </cellStyleXfs>
  <cellXfs count="127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6" xfId="0" applyFont="1" applyBorder="1"/>
    <xf numFmtId="0" fontId="0" fillId="0" borderId="18" xfId="0" applyBorder="1"/>
    <xf numFmtId="0" fontId="0" fillId="0" borderId="0" xfId="0" applyBorder="1"/>
    <xf numFmtId="0" fontId="0" fillId="0" borderId="0" xfId="0" applyFill="1" applyBorder="1"/>
    <xf numFmtId="0" fontId="7" fillId="0" borderId="9" xfId="0" applyFont="1" applyFill="1" applyBorder="1"/>
    <xf numFmtId="0" fontId="0" fillId="0" borderId="1" xfId="0" applyBorder="1"/>
    <xf numFmtId="0" fontId="0" fillId="0" borderId="15" xfId="0" applyFill="1" applyBorder="1"/>
    <xf numFmtId="0" fontId="0" fillId="0" borderId="16" xfId="0" applyFill="1" applyBorder="1"/>
    <xf numFmtId="0" fontId="0" fillId="0" borderId="9" xfId="0" applyFill="1" applyBorder="1"/>
    <xf numFmtId="0" fontId="8" fillId="2" borderId="1" xfId="0" applyFont="1" applyFill="1" applyBorder="1"/>
    <xf numFmtId="0" fontId="3" fillId="0" borderId="0" xfId="0" applyFont="1" applyBorder="1"/>
    <xf numFmtId="0" fontId="0" fillId="0" borderId="19" xfId="0" applyBorder="1"/>
    <xf numFmtId="0" fontId="0" fillId="0" borderId="20" xfId="0" applyBorder="1"/>
    <xf numFmtId="0" fontId="10" fillId="0" borderId="0" xfId="0" applyFont="1"/>
    <xf numFmtId="0" fontId="1" fillId="3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7" xfId="0" applyBorder="1"/>
    <xf numFmtId="0" fontId="0" fillId="0" borderId="21" xfId="0" applyBorder="1"/>
    <xf numFmtId="0" fontId="9" fillId="0" borderId="9" xfId="0" applyFont="1" applyFill="1" applyBorder="1"/>
    <xf numFmtId="0" fontId="0" fillId="0" borderId="22" xfId="0" applyBorder="1"/>
    <xf numFmtId="0" fontId="11" fillId="0" borderId="9" xfId="0" applyFont="1" applyFill="1" applyBorder="1"/>
    <xf numFmtId="0" fontId="12" fillId="0" borderId="1" xfId="0" applyFont="1" applyBorder="1"/>
    <xf numFmtId="0" fontId="13" fillId="0" borderId="0" xfId="0" applyFont="1"/>
    <xf numFmtId="0" fontId="4" fillId="0" borderId="12" xfId="0" applyFont="1" applyBorder="1"/>
    <xf numFmtId="0" fontId="5" fillId="0" borderId="12" xfId="0" applyFont="1" applyBorder="1"/>
    <xf numFmtId="0" fontId="1" fillId="0" borderId="0" xfId="0" applyFont="1" applyFill="1" applyBorder="1"/>
    <xf numFmtId="0" fontId="14" fillId="0" borderId="0" xfId="0" applyFont="1"/>
    <xf numFmtId="0" fontId="6" fillId="0" borderId="0" xfId="0" applyFont="1"/>
    <xf numFmtId="0" fontId="15" fillId="0" borderId="12" xfId="0" applyFont="1" applyBorder="1"/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" xfId="0" applyFill="1" applyBorder="1"/>
    <xf numFmtId="0" fontId="0" fillId="0" borderId="24" xfId="0" applyBorder="1"/>
    <xf numFmtId="0" fontId="0" fillId="5" borderId="10" xfId="0" applyFill="1" applyBorder="1"/>
    <xf numFmtId="0" fontId="0" fillId="2" borderId="1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6" xfId="0" applyFill="1" applyBorder="1" applyAlignment="1">
      <alignment horizontal="center"/>
    </xf>
    <xf numFmtId="0" fontId="3" fillId="0" borderId="4" xfId="0" applyFont="1" applyBorder="1"/>
    <xf numFmtId="0" fontId="0" fillId="0" borderId="27" xfId="0" applyBorder="1"/>
    <xf numFmtId="0" fontId="0" fillId="5" borderId="28" xfId="0" applyFill="1" applyBorder="1"/>
    <xf numFmtId="0" fontId="0" fillId="5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23" xfId="0" applyBorder="1"/>
    <xf numFmtId="0" fontId="9" fillId="0" borderId="4" xfId="0" applyFont="1" applyBorder="1"/>
    <xf numFmtId="0" fontId="9" fillId="0" borderId="6" xfId="0" applyFont="1" applyBorder="1"/>
    <xf numFmtId="0" fontId="0" fillId="0" borderId="34" xfId="0" applyBorder="1"/>
    <xf numFmtId="0" fontId="9" fillId="0" borderId="35" xfId="0" applyFont="1" applyBorder="1"/>
    <xf numFmtId="0" fontId="9" fillId="0" borderId="36" xfId="0" applyFont="1" applyBorder="1"/>
    <xf numFmtId="0" fontId="9" fillId="0" borderId="37" xfId="0" applyFont="1" applyBorder="1"/>
    <xf numFmtId="0" fontId="0" fillId="0" borderId="37" xfId="0" applyBorder="1"/>
    <xf numFmtId="0" fontId="16" fillId="0" borderId="4" xfId="0" applyFont="1" applyBorder="1"/>
    <xf numFmtId="0" fontId="0" fillId="0" borderId="38" xfId="0" applyFill="1" applyBorder="1"/>
    <xf numFmtId="0" fontId="0" fillId="0" borderId="39" xfId="0" applyBorder="1"/>
    <xf numFmtId="0" fontId="0" fillId="0" borderId="39" xfId="0" applyFill="1" applyBorder="1" applyAlignment="1">
      <alignment horizontal="right"/>
    </xf>
    <xf numFmtId="0" fontId="0" fillId="0" borderId="39" xfId="0" applyFill="1" applyBorder="1"/>
    <xf numFmtId="0" fontId="0" fillId="0" borderId="40" xfId="0" applyFill="1" applyBorder="1"/>
    <xf numFmtId="0" fontId="17" fillId="0" borderId="0" xfId="0" applyFont="1"/>
    <xf numFmtId="0" fontId="0" fillId="0" borderId="18" xfId="0" applyFill="1" applyBorder="1"/>
    <xf numFmtId="0" fontId="0" fillId="0" borderId="41" xfId="0" applyFill="1" applyBorder="1"/>
    <xf numFmtId="0" fontId="0" fillId="0" borderId="12" xfId="0" applyFill="1" applyBorder="1"/>
    <xf numFmtId="0" fontId="0" fillId="0" borderId="13" xfId="0" applyFill="1" applyBorder="1"/>
    <xf numFmtId="0" fontId="3" fillId="0" borderId="26" xfId="0" applyFont="1" applyFill="1" applyBorder="1"/>
    <xf numFmtId="0" fontId="0" fillId="0" borderId="42" xfId="0" applyFill="1" applyBorder="1"/>
    <xf numFmtId="0" fontId="18" fillId="0" borderId="0" xfId="1"/>
    <xf numFmtId="0" fontId="18" fillId="0" borderId="18" xfId="1" applyBorder="1"/>
    <xf numFmtId="0" fontId="18" fillId="3" borderId="9" xfId="1" applyFill="1" applyBorder="1"/>
    <xf numFmtId="0" fontId="18" fillId="3" borderId="10" xfId="1" applyFill="1" applyBorder="1"/>
    <xf numFmtId="0" fontId="18" fillId="3" borderId="11" xfId="1" applyFill="1" applyBorder="1"/>
    <xf numFmtId="0" fontId="18" fillId="0" borderId="14" xfId="1" applyBorder="1"/>
    <xf numFmtId="0" fontId="18" fillId="0" borderId="9" xfId="1" applyBorder="1"/>
    <xf numFmtId="0" fontId="18" fillId="0" borderId="11" xfId="1" applyBorder="1"/>
    <xf numFmtId="0" fontId="3" fillId="0" borderId="6" xfId="1" applyFont="1" applyBorder="1"/>
    <xf numFmtId="0" fontId="18" fillId="0" borderId="8" xfId="1" applyBorder="1"/>
    <xf numFmtId="0" fontId="18" fillId="0" borderId="13" xfId="1" applyBorder="1"/>
    <xf numFmtId="0" fontId="18" fillId="0" borderId="6" xfId="1" applyBorder="1"/>
    <xf numFmtId="0" fontId="18" fillId="0" borderId="4" xfId="1" applyBorder="1"/>
    <xf numFmtId="0" fontId="18" fillId="0" borderId="5" xfId="1" applyBorder="1"/>
    <xf numFmtId="0" fontId="18" fillId="5" borderId="9" xfId="1" applyFill="1" applyBorder="1"/>
    <xf numFmtId="0" fontId="18" fillId="5" borderId="10" xfId="1" applyFill="1" applyBorder="1"/>
    <xf numFmtId="0" fontId="18" fillId="5" borderId="11" xfId="1" applyFill="1" applyBorder="1"/>
    <xf numFmtId="0" fontId="18" fillId="0" borderId="7" xfId="1" applyBorder="1"/>
    <xf numFmtId="0" fontId="18" fillId="0" borderId="26" xfId="1" applyBorder="1"/>
    <xf numFmtId="0" fontId="18" fillId="0" borderId="24" xfId="1" applyBorder="1"/>
    <xf numFmtId="0" fontId="18" fillId="2" borderId="1" xfId="1" applyFill="1" applyBorder="1"/>
    <xf numFmtId="0" fontId="18" fillId="0" borderId="12" xfId="1" applyBorder="1"/>
    <xf numFmtId="0" fontId="18" fillId="0" borderId="10" xfId="1" applyBorder="1"/>
  </cellXfs>
  <cellStyles count="2">
    <cellStyle name="ปกติ" xfId="0" builtinId="0"/>
    <cellStyle name="ปกติ 2" xfId="1" xr:uid="{97D8FE89-5BA2-4C36-84E5-B97BB2513CE7}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19</xdr:row>
      <xdr:rowOff>9525</xdr:rowOff>
    </xdr:from>
    <xdr:to>
      <xdr:col>5</xdr:col>
      <xdr:colOff>1266825</xdr:colOff>
      <xdr:row>19</xdr:row>
      <xdr:rowOff>9526</xdr:rowOff>
    </xdr:to>
    <xdr:cxnSp macro="">
      <xdr:nvCxnSpPr>
        <xdr:cNvPr id="2" name="ลูกศรเชื่อมต่อแบบตรง 1">
          <a:extLst>
            <a:ext uri="{FF2B5EF4-FFF2-40B4-BE49-F238E27FC236}">
              <a16:creationId xmlns:a16="http://schemas.microsoft.com/office/drawing/2014/main" id="{04BD3CB8-AF75-41E6-AD79-2B1D1AADC83C}"/>
            </a:ext>
          </a:extLst>
        </xdr:cNvPr>
        <xdr:cNvCxnSpPr/>
      </xdr:nvCxnSpPr>
      <xdr:spPr>
        <a:xfrm flipV="1">
          <a:off x="5600700" y="14954250"/>
          <a:ext cx="9429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30</xdr:row>
      <xdr:rowOff>85725</xdr:rowOff>
    </xdr:from>
    <xdr:to>
      <xdr:col>4</xdr:col>
      <xdr:colOff>476250</xdr:colOff>
      <xdr:row>32</xdr:row>
      <xdr:rowOff>95250</xdr:rowOff>
    </xdr:to>
    <xdr:cxnSp macro="">
      <xdr:nvCxnSpPr>
        <xdr:cNvPr id="3" name="ลูกศรเชื่อมต่อแบบตรง 2">
          <a:extLst>
            <a:ext uri="{FF2B5EF4-FFF2-40B4-BE49-F238E27FC236}">
              <a16:creationId xmlns:a16="http://schemas.microsoft.com/office/drawing/2014/main" id="{C8CD19AB-FBE7-4441-AAA7-CE227C233BDD}"/>
            </a:ext>
          </a:extLst>
        </xdr:cNvPr>
        <xdr:cNvCxnSpPr/>
      </xdr:nvCxnSpPr>
      <xdr:spPr>
        <a:xfrm flipH="1">
          <a:off x="4552950" y="17649825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733425</xdr:colOff>
      <xdr:row>23</xdr:row>
      <xdr:rowOff>0</xdr:rowOff>
    </xdr:from>
    <xdr:to>
      <xdr:col>16</xdr:col>
      <xdr:colOff>772907</xdr:colOff>
      <xdr:row>37</xdr:row>
      <xdr:rowOff>198904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B9EE0EE1-98B1-4EF6-9F6B-3816B1B43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3325" y="5524500"/>
          <a:ext cx="3392282" cy="3494554"/>
        </a:xfrm>
        <a:prstGeom prst="rect">
          <a:avLst/>
        </a:prstGeom>
      </xdr:spPr>
    </xdr:pic>
    <xdr:clientData/>
  </xdr:twoCellAnchor>
  <xdr:twoCellAnchor>
    <xdr:from>
      <xdr:col>7</xdr:col>
      <xdr:colOff>771525</xdr:colOff>
      <xdr:row>30</xdr:row>
      <xdr:rowOff>66675</xdr:rowOff>
    </xdr:from>
    <xdr:to>
      <xdr:col>13</xdr:col>
      <xdr:colOff>45383</xdr:colOff>
      <xdr:row>30</xdr:row>
      <xdr:rowOff>89087</xdr:rowOff>
    </xdr:to>
    <xdr:cxnSp macro="">
      <xdr:nvCxnSpPr>
        <xdr:cNvPr id="5" name="ลูกศรเชื่อมต่อแบบตรง 4">
          <a:extLst>
            <a:ext uri="{FF2B5EF4-FFF2-40B4-BE49-F238E27FC236}">
              <a16:creationId xmlns:a16="http://schemas.microsoft.com/office/drawing/2014/main" id="{A2E9AA46-322E-4212-8636-3FC578999C86}"/>
            </a:ext>
          </a:extLst>
        </xdr:cNvPr>
        <xdr:cNvCxnSpPr/>
      </xdr:nvCxnSpPr>
      <xdr:spPr>
        <a:xfrm flipH="1">
          <a:off x="7210425" y="7248525"/>
          <a:ext cx="4303058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17</xdr:row>
      <xdr:rowOff>219075</xdr:rowOff>
    </xdr:from>
    <xdr:to>
      <xdr:col>5</xdr:col>
      <xdr:colOff>990600</xdr:colOff>
      <xdr:row>17</xdr:row>
      <xdr:rowOff>219076</xdr:rowOff>
    </xdr:to>
    <xdr:cxnSp macro="">
      <xdr:nvCxnSpPr>
        <xdr:cNvPr id="5" name="ลูกศรเชื่อมต่อแบบตรง 4">
          <a:extLst>
            <a:ext uri="{FF2B5EF4-FFF2-40B4-BE49-F238E27FC236}">
              <a16:creationId xmlns:a16="http://schemas.microsoft.com/office/drawing/2014/main" id="{C0EF827C-33C7-4D52-8550-77C3920264BC}"/>
            </a:ext>
          </a:extLst>
        </xdr:cNvPr>
        <xdr:cNvCxnSpPr/>
      </xdr:nvCxnSpPr>
      <xdr:spPr>
        <a:xfrm flipV="1">
          <a:off x="4429125" y="4295775"/>
          <a:ext cx="752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29</xdr:row>
      <xdr:rowOff>85725</xdr:rowOff>
    </xdr:from>
    <xdr:to>
      <xdr:col>4</xdr:col>
      <xdr:colOff>476250</xdr:colOff>
      <xdr:row>31</xdr:row>
      <xdr:rowOff>95250</xdr:rowOff>
    </xdr:to>
    <xdr:cxnSp macro="">
      <xdr:nvCxnSpPr>
        <xdr:cNvPr id="6" name="ลูกศรเชื่อมต่อแบบตรง 5">
          <a:extLst>
            <a:ext uri="{FF2B5EF4-FFF2-40B4-BE49-F238E27FC236}">
              <a16:creationId xmlns:a16="http://schemas.microsoft.com/office/drawing/2014/main" id="{CD3B6556-02B5-498C-AD75-B7F2CC034EA6}"/>
            </a:ext>
          </a:extLst>
        </xdr:cNvPr>
        <xdr:cNvCxnSpPr/>
      </xdr:nvCxnSpPr>
      <xdr:spPr>
        <a:xfrm flipH="1">
          <a:off x="4552950" y="27146250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28</xdr:row>
      <xdr:rowOff>142875</xdr:rowOff>
    </xdr:from>
    <xdr:to>
      <xdr:col>12</xdr:col>
      <xdr:colOff>752475</xdr:colOff>
      <xdr:row>28</xdr:row>
      <xdr:rowOff>161925</xdr:rowOff>
    </xdr:to>
    <xdr:cxnSp macro="">
      <xdr:nvCxnSpPr>
        <xdr:cNvPr id="7" name="ลูกศรเชื่อมต่อแบบตรง 6">
          <a:extLst>
            <a:ext uri="{FF2B5EF4-FFF2-40B4-BE49-F238E27FC236}">
              <a16:creationId xmlns:a16="http://schemas.microsoft.com/office/drawing/2014/main" id="{C74EC7AD-09BC-453D-8981-6C2C017C0AEE}"/>
            </a:ext>
          </a:extLst>
        </xdr:cNvPr>
        <xdr:cNvCxnSpPr/>
      </xdr:nvCxnSpPr>
      <xdr:spPr>
        <a:xfrm flipH="1" flipV="1">
          <a:off x="8915400" y="26965275"/>
          <a:ext cx="40767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95250</xdr:colOff>
      <xdr:row>20</xdr:row>
      <xdr:rowOff>1</xdr:rowOff>
    </xdr:from>
    <xdr:to>
      <xdr:col>17</xdr:col>
      <xdr:colOff>596857</xdr:colOff>
      <xdr:row>37</xdr:row>
      <xdr:rowOff>28576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1B46B486-2DB9-4026-8B7C-56A67E88E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791076"/>
          <a:ext cx="3854407" cy="403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627529</xdr:colOff>
      <xdr:row>9</xdr:row>
      <xdr:rowOff>201705</xdr:rowOff>
    </xdr:from>
    <xdr:to>
      <xdr:col>20</xdr:col>
      <xdr:colOff>96821</xdr:colOff>
      <xdr:row>33</xdr:row>
      <xdr:rowOff>160100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AD659265-4D3E-4129-850D-19662B32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5558" y="2342029"/>
          <a:ext cx="5352381" cy="5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4B62-6BDB-4BC7-BB9F-30B7996C9716}">
  <dimension ref="A1:L21"/>
  <sheetViews>
    <sheetView zoomScale="85" zoomScaleNormal="85" workbookViewId="0">
      <selection sqref="A1:L8"/>
    </sheetView>
  </sheetViews>
  <sheetFormatPr defaultRowHeight="18" x14ac:dyDescent="0.25"/>
  <cols>
    <col min="2" max="2" width="10.796875" customWidth="1"/>
    <col min="3" max="3" width="14.5" customWidth="1"/>
    <col min="5" max="5" width="12.5" customWidth="1"/>
    <col min="6" max="6" width="14.3984375" customWidth="1"/>
    <col min="7" max="7" width="14.69921875" customWidth="1"/>
  </cols>
  <sheetData>
    <row r="1" spans="1:12" ht="45" thickBot="1" x14ac:dyDescent="0.6">
      <c r="A1" s="47" t="s">
        <v>5</v>
      </c>
      <c r="B1" s="48"/>
      <c r="C1" s="48"/>
      <c r="D1" s="48"/>
      <c r="E1" s="48"/>
      <c r="F1" s="48"/>
      <c r="G1" s="1"/>
      <c r="H1" s="1"/>
      <c r="I1" s="1"/>
      <c r="J1" s="1"/>
      <c r="K1" s="1"/>
      <c r="L1" s="3"/>
    </row>
    <row r="2" spans="1:12" ht="19.5" thickTop="1" thickBot="1" x14ac:dyDescent="0.3">
      <c r="L2" s="2"/>
    </row>
    <row r="3" spans="1:12" ht="18.75" thickBot="1" x14ac:dyDescent="0.3">
      <c r="A3" s="49"/>
      <c r="B3" s="19"/>
      <c r="C3" s="19"/>
      <c r="D3" s="12"/>
      <c r="E3" s="30" t="s">
        <v>0</v>
      </c>
      <c r="F3" s="31"/>
      <c r="G3" s="32"/>
      <c r="L3" s="2"/>
    </row>
    <row r="4" spans="1:12" x14ac:dyDescent="0.25">
      <c r="A4" s="19"/>
      <c r="B4" s="19"/>
      <c r="C4" s="19"/>
      <c r="D4" s="12"/>
      <c r="E4" s="33" t="s">
        <v>1</v>
      </c>
      <c r="F4" s="34"/>
      <c r="G4" s="35"/>
      <c r="L4" s="2"/>
    </row>
    <row r="5" spans="1:12" x14ac:dyDescent="0.25">
      <c r="A5" s="19"/>
      <c r="B5" s="19"/>
      <c r="C5" s="19"/>
      <c r="E5" s="33" t="s">
        <v>2</v>
      </c>
      <c r="F5" s="34"/>
      <c r="G5" s="35"/>
      <c r="L5" s="2"/>
    </row>
    <row r="6" spans="1:12" x14ac:dyDescent="0.25">
      <c r="A6" s="19"/>
      <c r="B6" s="19"/>
      <c r="C6" s="19"/>
      <c r="E6" s="33" t="s">
        <v>3</v>
      </c>
      <c r="F6" s="34"/>
      <c r="G6" s="35"/>
      <c r="L6" s="2"/>
    </row>
    <row r="7" spans="1:12" ht="18.75" thickBot="1" x14ac:dyDescent="0.3">
      <c r="A7" s="19"/>
      <c r="B7" s="19"/>
      <c r="C7" s="19"/>
      <c r="E7" s="36"/>
      <c r="F7" s="37"/>
      <c r="G7" s="38"/>
      <c r="L7" s="2"/>
    </row>
    <row r="8" spans="1:12" ht="18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3"/>
    </row>
    <row r="9" spans="1:12" ht="18.75" thickTop="1" x14ac:dyDescent="0.25"/>
    <row r="18" ht="22.5" customHeight="1" x14ac:dyDescent="0.25"/>
    <row r="19" ht="21" customHeight="1" x14ac:dyDescent="0.25"/>
    <row r="20" ht="26.25" customHeight="1" x14ac:dyDescent="0.25"/>
    <row r="21" ht="30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ADAE-8FF9-40BE-ABEC-BFCCDAC8CF89}">
  <dimension ref="A1:L31"/>
  <sheetViews>
    <sheetView topLeftCell="A10" workbookViewId="0">
      <selection activeCell="G10" sqref="G10"/>
    </sheetView>
  </sheetViews>
  <sheetFormatPr defaultRowHeight="18" x14ac:dyDescent="0.25"/>
  <cols>
    <col min="2" max="2" width="14.59765625" customWidth="1"/>
    <col min="4" max="4" width="15.3984375" customWidth="1"/>
    <col min="7" max="7" width="11.3984375" customWidth="1"/>
    <col min="8" max="8" width="8.796875" customWidth="1"/>
  </cols>
  <sheetData>
    <row r="1" spans="1:12" ht="19.5" thickTop="1" thickBot="1" x14ac:dyDescent="0.3">
      <c r="L1" s="17"/>
    </row>
    <row r="2" spans="1:12" ht="18.75" thickBot="1" x14ac:dyDescent="0.3">
      <c r="A2" s="39" t="s">
        <v>4</v>
      </c>
      <c r="B2" s="31"/>
      <c r="C2" s="31"/>
      <c r="D2" s="32"/>
      <c r="L2" s="2"/>
    </row>
    <row r="3" spans="1:12" x14ac:dyDescent="0.25">
      <c r="L3" s="2"/>
    </row>
    <row r="4" spans="1:12" ht="18.75" thickBot="1" x14ac:dyDescent="0.3">
      <c r="L4" s="2"/>
    </row>
    <row r="5" spans="1:12" ht="18.75" thickBot="1" x14ac:dyDescent="0.3">
      <c r="A5" s="4" t="s">
        <v>8</v>
      </c>
      <c r="B5" s="6"/>
      <c r="F5" s="4" t="s">
        <v>6</v>
      </c>
      <c r="G5" s="6" t="s">
        <v>7</v>
      </c>
      <c r="L5" s="2"/>
    </row>
    <row r="6" spans="1:12" ht="18.75" thickBot="1" x14ac:dyDescent="0.3">
      <c r="A6" s="16" t="s">
        <v>12</v>
      </c>
      <c r="B6" s="10"/>
      <c r="D6" s="7" t="s">
        <v>9</v>
      </c>
      <c r="E6" s="8"/>
      <c r="F6" s="3">
        <v>10000</v>
      </c>
      <c r="G6" s="15">
        <v>20000</v>
      </c>
      <c r="I6" s="4" t="s">
        <v>28</v>
      </c>
      <c r="J6" s="6">
        <v>0.2</v>
      </c>
      <c r="L6" s="2"/>
    </row>
    <row r="7" spans="1:12" ht="19.5" thickTop="1" thickBot="1" x14ac:dyDescent="0.3">
      <c r="D7" s="11" t="s">
        <v>10</v>
      </c>
      <c r="E7" s="12"/>
      <c r="F7" s="14">
        <v>300</v>
      </c>
      <c r="G7" s="13">
        <v>300</v>
      </c>
      <c r="L7" s="2"/>
    </row>
    <row r="8" spans="1:12" ht="19.5" thickTop="1" thickBot="1" x14ac:dyDescent="0.3">
      <c r="D8" s="9" t="s">
        <v>11</v>
      </c>
      <c r="E8" s="10"/>
      <c r="F8" s="14">
        <v>20</v>
      </c>
      <c r="G8" s="13">
        <v>25</v>
      </c>
      <c r="L8" s="2"/>
    </row>
    <row r="9" spans="1:12" ht="19.5" thickTop="1" thickBot="1" x14ac:dyDescent="0.3">
      <c r="D9" s="24" t="s">
        <v>15</v>
      </c>
      <c r="E9" s="6"/>
      <c r="F9" s="23">
        <f>F8*$J$6</f>
        <v>4</v>
      </c>
      <c r="G9" s="22">
        <f>G8*$J$6</f>
        <v>5</v>
      </c>
      <c r="L9" s="2"/>
    </row>
    <row r="10" spans="1:12" ht="18.75" thickBot="1" x14ac:dyDescent="0.3">
      <c r="D10" s="18"/>
      <c r="E10" s="18"/>
      <c r="F10" s="18"/>
      <c r="G10" s="18"/>
      <c r="L10" s="2"/>
    </row>
    <row r="11" spans="1:12" ht="18.75" thickBot="1" x14ac:dyDescent="0.3">
      <c r="D11" s="20" t="s">
        <v>14</v>
      </c>
      <c r="E11" s="6"/>
      <c r="F11" s="25">
        <v>15</v>
      </c>
      <c r="G11" s="18"/>
      <c r="L11" s="2"/>
    </row>
    <row r="12" spans="1:12" x14ac:dyDescent="0.25">
      <c r="L12" s="2"/>
    </row>
    <row r="13" spans="1:12" ht="18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</row>
    <row r="14" spans="1:12" ht="19.5" thickTop="1" thickBot="1" x14ac:dyDescent="0.3">
      <c r="L14" s="17"/>
    </row>
    <row r="15" spans="1:12" ht="18.75" thickBot="1" x14ac:dyDescent="0.3">
      <c r="A15" s="4" t="s">
        <v>13</v>
      </c>
      <c r="B15" s="6"/>
      <c r="D15" s="7" t="s">
        <v>16</v>
      </c>
      <c r="E15" s="8">
        <f xml:space="preserve"> SQRT(2*F7*F6/F9)</f>
        <v>1224.744871391589</v>
      </c>
      <c r="L15" s="2"/>
    </row>
    <row r="16" spans="1:12" ht="18.75" thickBot="1" x14ac:dyDescent="0.3">
      <c r="A16" s="16" t="s">
        <v>21</v>
      </c>
      <c r="B16" s="10"/>
      <c r="D16" s="9" t="s">
        <v>17</v>
      </c>
      <c r="E16" s="10">
        <f xml:space="preserve"> SQRT(2*G7*G6/G9)</f>
        <v>1549.1933384829667</v>
      </c>
      <c r="L16" s="2"/>
    </row>
    <row r="17" spans="1:12" ht="18.75" thickBot="1" x14ac:dyDescent="0.3">
      <c r="A17" s="26"/>
      <c r="B17" s="18"/>
      <c r="D17" s="18"/>
      <c r="E17" s="18"/>
      <c r="L17" s="2"/>
    </row>
    <row r="18" spans="1:12" ht="18.75" thickBot="1" x14ac:dyDescent="0.3">
      <c r="A18" s="26"/>
      <c r="B18" s="18"/>
      <c r="D18" s="7" t="s">
        <v>22</v>
      </c>
      <c r="E18" s="8">
        <f xml:space="preserve"> F6/E15</f>
        <v>8.1649658092772608</v>
      </c>
      <c r="G18" s="4" t="s">
        <v>44</v>
      </c>
      <c r="H18" s="6">
        <f>E18+E19</f>
        <v>21.074910296635316</v>
      </c>
      <c r="L18" s="2"/>
    </row>
    <row r="19" spans="1:12" ht="18.75" thickBot="1" x14ac:dyDescent="0.3">
      <c r="D19" s="9" t="s">
        <v>23</v>
      </c>
      <c r="E19" s="10">
        <f xml:space="preserve"> G6/E16</f>
        <v>12.909944487358056</v>
      </c>
      <c r="L19" s="2"/>
    </row>
    <row r="20" spans="1:12" ht="18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</row>
    <row r="21" spans="1:12" ht="19.5" thickTop="1" thickBot="1" x14ac:dyDescent="0.3">
      <c r="L21" s="17"/>
    </row>
    <row r="22" spans="1:12" ht="18.75" thickBot="1" x14ac:dyDescent="0.3">
      <c r="A22" s="4" t="s">
        <v>18</v>
      </c>
      <c r="B22" s="6"/>
      <c r="D22" t="s">
        <v>20</v>
      </c>
      <c r="F22" s="21" t="b">
        <f xml:space="preserve"> IF(H18 &lt;= F11, FALSE, TRUE)</f>
        <v>1</v>
      </c>
      <c r="L22" s="2"/>
    </row>
    <row r="23" spans="1:12" ht="18.75" thickBot="1" x14ac:dyDescent="0.3">
      <c r="A23" s="16" t="s">
        <v>19</v>
      </c>
      <c r="B23" s="10"/>
      <c r="L23" s="2"/>
    </row>
    <row r="24" spans="1:12" ht="18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</row>
    <row r="25" spans="1:12" ht="18.75" thickTop="1" x14ac:dyDescent="0.25">
      <c r="L25" s="17"/>
    </row>
    <row r="26" spans="1:12" x14ac:dyDescent="0.25">
      <c r="D26" s="29" t="s">
        <v>29</v>
      </c>
      <c r="E26">
        <f>IF(F22=TRUE,(J6*((SQRT(F6*F8)+SQRT(G6*G8))^2/(2*F11^2)))-F7, "")</f>
        <v>292.20245868163363</v>
      </c>
      <c r="L26" s="2"/>
    </row>
    <row r="27" spans="1:12" ht="18.75" thickBot="1" x14ac:dyDescent="0.3">
      <c r="L27" s="2"/>
    </row>
    <row r="28" spans="1:12" ht="18.75" thickBot="1" x14ac:dyDescent="0.3">
      <c r="A28" s="4" t="s">
        <v>24</v>
      </c>
      <c r="B28" s="6"/>
      <c r="D28" s="27" t="s">
        <v>26</v>
      </c>
      <c r="E28" s="27">
        <f>IF(F22=TRUE,SQRT(2*F6*(F7+E26)/F9),E15)</f>
        <v>1720.7592200561262</v>
      </c>
      <c r="L28" s="2"/>
    </row>
    <row r="29" spans="1:12" ht="18.75" thickBot="1" x14ac:dyDescent="0.3">
      <c r="A29" s="16" t="s">
        <v>25</v>
      </c>
      <c r="B29" s="10"/>
      <c r="D29" s="28" t="s">
        <v>27</v>
      </c>
      <c r="E29" s="28">
        <f>IF(F22=TRUE,SQRT(2*G6*(G7+E26)/G9),E16)</f>
        <v>2176.6073760449008</v>
      </c>
      <c r="L29" s="2"/>
    </row>
    <row r="30" spans="1:12" x14ac:dyDescent="0.25">
      <c r="L30" s="2"/>
    </row>
    <row r="31" spans="1:12" ht="18.75" thickBo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273B-8979-4DE3-8471-CEDE2767E3DB}">
  <dimension ref="A1:Q40"/>
  <sheetViews>
    <sheetView topLeftCell="A9" workbookViewId="0">
      <selection activeCell="F31" sqref="F31"/>
    </sheetView>
  </sheetViews>
  <sheetFormatPr defaultRowHeight="18" x14ac:dyDescent="0.25"/>
  <cols>
    <col min="2" max="2" width="14.796875" customWidth="1"/>
    <col min="5" max="5" width="11.3984375" customWidth="1"/>
    <col min="7" max="7" width="14.296875" customWidth="1"/>
  </cols>
  <sheetData>
    <row r="1" spans="1:12" ht="19.5" thickTop="1" thickBot="1" x14ac:dyDescent="0.3">
      <c r="L1" s="17"/>
    </row>
    <row r="2" spans="1:12" ht="18.75" thickBot="1" x14ac:dyDescent="0.3">
      <c r="A2" s="39" t="s">
        <v>30</v>
      </c>
      <c r="B2" s="31"/>
      <c r="C2" s="31"/>
      <c r="D2" s="32"/>
      <c r="L2" s="2"/>
    </row>
    <row r="3" spans="1:12" x14ac:dyDescent="0.25">
      <c r="L3" s="2"/>
    </row>
    <row r="4" spans="1:12" ht="18.75" thickBot="1" x14ac:dyDescent="0.3">
      <c r="L4" s="2"/>
    </row>
    <row r="5" spans="1:12" ht="18.75" thickBot="1" x14ac:dyDescent="0.3">
      <c r="A5" s="4" t="s">
        <v>8</v>
      </c>
      <c r="B5" s="6"/>
      <c r="F5" s="4" t="s">
        <v>6</v>
      </c>
      <c r="G5" s="6" t="s">
        <v>7</v>
      </c>
      <c r="I5" s="18"/>
      <c r="J5" s="18"/>
      <c r="L5" s="2"/>
    </row>
    <row r="6" spans="1:12" ht="18.75" thickBot="1" x14ac:dyDescent="0.3">
      <c r="A6" s="16" t="s">
        <v>12</v>
      </c>
      <c r="B6" s="10"/>
      <c r="D6" s="7" t="s">
        <v>9</v>
      </c>
      <c r="E6" s="8"/>
      <c r="F6" s="3">
        <v>10000</v>
      </c>
      <c r="G6" s="15">
        <v>20000</v>
      </c>
      <c r="H6" s="43"/>
      <c r="I6" s="4" t="s">
        <v>28</v>
      </c>
      <c r="J6" s="6">
        <v>0.2</v>
      </c>
      <c r="L6" s="2"/>
    </row>
    <row r="7" spans="1:12" ht="19.5" thickTop="1" thickBot="1" x14ac:dyDescent="0.3">
      <c r="D7" s="4" t="s">
        <v>10</v>
      </c>
      <c r="E7" s="6"/>
      <c r="F7" s="14">
        <v>300</v>
      </c>
      <c r="G7" s="13">
        <v>300</v>
      </c>
      <c r="J7" s="18"/>
      <c r="L7" s="2"/>
    </row>
    <row r="8" spans="1:12" ht="19.5" thickTop="1" thickBot="1" x14ac:dyDescent="0.3">
      <c r="D8" s="9" t="s">
        <v>11</v>
      </c>
      <c r="E8" s="10"/>
      <c r="F8" s="14">
        <v>20</v>
      </c>
      <c r="G8" s="13">
        <v>25</v>
      </c>
      <c r="L8" s="2"/>
    </row>
    <row r="9" spans="1:12" ht="19.5" thickTop="1" thickBot="1" x14ac:dyDescent="0.3">
      <c r="D9" s="9" t="s">
        <v>33</v>
      </c>
      <c r="E9" s="10"/>
      <c r="F9" s="14">
        <f>F8*$J$6</f>
        <v>4</v>
      </c>
      <c r="G9" s="13">
        <f>G8*$J$6</f>
        <v>5</v>
      </c>
      <c r="L9" s="2"/>
    </row>
    <row r="10" spans="1:12" ht="19.5" thickTop="1" thickBot="1" x14ac:dyDescent="0.3">
      <c r="D10" s="42" t="s">
        <v>31</v>
      </c>
      <c r="E10" s="6"/>
      <c r="F10" s="23">
        <f>3</f>
        <v>3</v>
      </c>
      <c r="G10" s="22">
        <f>4</f>
        <v>4</v>
      </c>
      <c r="L10" s="2"/>
    </row>
    <row r="11" spans="1:12" ht="18.75" thickBot="1" x14ac:dyDescent="0.3">
      <c r="D11" s="18"/>
      <c r="E11" s="18"/>
      <c r="F11" s="18"/>
      <c r="G11" s="18"/>
      <c r="L11" s="2"/>
    </row>
    <row r="12" spans="1:12" ht="18.75" thickBot="1" x14ac:dyDescent="0.3">
      <c r="D12" s="44" t="s">
        <v>32</v>
      </c>
      <c r="E12" s="6"/>
      <c r="F12" s="25">
        <v>8000</v>
      </c>
      <c r="G12" s="18"/>
      <c r="L12" s="2"/>
    </row>
    <row r="13" spans="1:12" x14ac:dyDescent="0.25">
      <c r="L13" s="2"/>
    </row>
    <row r="14" spans="1:12" ht="18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"/>
    </row>
    <row r="15" spans="1:12" ht="19.5" thickTop="1" thickBot="1" x14ac:dyDescent="0.3">
      <c r="L15" s="17"/>
    </row>
    <row r="16" spans="1:12" ht="18.75" thickBot="1" x14ac:dyDescent="0.3">
      <c r="A16" s="4" t="s">
        <v>13</v>
      </c>
      <c r="B16" s="6"/>
      <c r="D16" s="7" t="s">
        <v>16</v>
      </c>
      <c r="E16" s="8">
        <f xml:space="preserve"> SQRT(2*F7*F6/F9)</f>
        <v>1224.744871391589</v>
      </c>
      <c r="L16" s="2"/>
    </row>
    <row r="17" spans="1:12" ht="18.75" thickBot="1" x14ac:dyDescent="0.3">
      <c r="A17" s="16" t="s">
        <v>21</v>
      </c>
      <c r="B17" s="10"/>
      <c r="D17" s="9" t="s">
        <v>17</v>
      </c>
      <c r="E17" s="10">
        <f xml:space="preserve"> SQRT(2*G7*G6/G9)</f>
        <v>1549.1933384829667</v>
      </c>
      <c r="L17" s="2"/>
    </row>
    <row r="18" spans="1:12" ht="18.75" thickBot="1" x14ac:dyDescent="0.3">
      <c r="A18" s="26"/>
      <c r="B18" s="18"/>
      <c r="D18" s="18"/>
      <c r="E18" s="18"/>
      <c r="L18" s="2"/>
    </row>
    <row r="19" spans="1:12" ht="18.75" thickBot="1" x14ac:dyDescent="0.3">
      <c r="A19" s="26"/>
      <c r="B19" s="18"/>
      <c r="D19" s="7" t="s">
        <v>34</v>
      </c>
      <c r="E19" s="8">
        <f xml:space="preserve"> F10*E16</f>
        <v>3674.2346141747666</v>
      </c>
      <c r="G19" s="4" t="s">
        <v>37</v>
      </c>
      <c r="H19" s="6">
        <f>E19+E20</f>
        <v>9871.0079681066345</v>
      </c>
      <c r="L19" s="2"/>
    </row>
    <row r="20" spans="1:12" ht="18.75" thickBot="1" x14ac:dyDescent="0.3">
      <c r="D20" s="9" t="s">
        <v>35</v>
      </c>
      <c r="E20" s="10">
        <f xml:space="preserve"> G10*E17</f>
        <v>6196.773353931867</v>
      </c>
      <c r="L20" s="2"/>
    </row>
    <row r="21" spans="1:12" ht="18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</row>
    <row r="22" spans="1:12" ht="19.5" thickTop="1" thickBot="1" x14ac:dyDescent="0.3">
      <c r="L22" s="17"/>
    </row>
    <row r="23" spans="1:12" ht="18.75" thickBot="1" x14ac:dyDescent="0.3">
      <c r="A23" s="4" t="s">
        <v>18</v>
      </c>
      <c r="B23" s="6"/>
      <c r="D23" t="s">
        <v>20</v>
      </c>
      <c r="F23" s="21" t="b">
        <f xml:space="preserve"> IF(H19 &lt;= F12, FALSE, TRUE)</f>
        <v>1</v>
      </c>
      <c r="L23" s="2"/>
    </row>
    <row r="24" spans="1:12" ht="18.75" thickBot="1" x14ac:dyDescent="0.3">
      <c r="A24" s="16" t="s">
        <v>19</v>
      </c>
      <c r="B24" s="10"/>
      <c r="L24" s="2"/>
    </row>
    <row r="25" spans="1:12" ht="18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</row>
    <row r="26" spans="1:12" ht="18.75" thickTop="1" x14ac:dyDescent="0.25">
      <c r="L26" s="17"/>
    </row>
    <row r="27" spans="1:12" x14ac:dyDescent="0.25">
      <c r="L27" s="2"/>
    </row>
    <row r="28" spans="1:12" ht="18.75" thickBot="1" x14ac:dyDescent="0.3">
      <c r="L28" s="2"/>
    </row>
    <row r="29" spans="1:12" ht="18.75" thickBot="1" x14ac:dyDescent="0.3">
      <c r="D29" s="45" t="s">
        <v>29</v>
      </c>
      <c r="E29" s="21" t="s">
        <v>26</v>
      </c>
      <c r="F29" s="6" t="s">
        <v>27</v>
      </c>
      <c r="G29" s="21" t="s">
        <v>36</v>
      </c>
      <c r="L29" s="2"/>
    </row>
    <row r="30" spans="1:12" ht="18.75" thickBot="1" x14ac:dyDescent="0.3">
      <c r="D30" s="21">
        <v>0.33438746404372743</v>
      </c>
      <c r="E30" s="5">
        <f xml:space="preserve"> SQRT(2*F7*F6/(F9+2*$D$30*F10))</f>
        <v>999.47335097592918</v>
      </c>
      <c r="F30" s="5">
        <f xml:space="preserve"> SQRT(2*G7*G6/(G9+2*$D$30*G10))</f>
        <v>1250.3989773681324</v>
      </c>
      <c r="G30" s="6">
        <f xml:space="preserve"> F10*E30 + G10*F30</f>
        <v>8000.0159624003172</v>
      </c>
      <c r="J30" s="46" t="s">
        <v>39</v>
      </c>
      <c r="L30" s="2"/>
    </row>
    <row r="31" spans="1:12" x14ac:dyDescent="0.25">
      <c r="L31" s="2"/>
    </row>
    <row r="32" spans="1:12" x14ac:dyDescent="0.25">
      <c r="D32" s="29"/>
      <c r="L32" s="2"/>
    </row>
    <row r="33" spans="1:17" ht="18.75" thickBot="1" x14ac:dyDescent="0.3">
      <c r="L33" s="2"/>
    </row>
    <row r="34" spans="1:17" ht="18.75" thickBot="1" x14ac:dyDescent="0.3">
      <c r="A34" s="4" t="s">
        <v>24</v>
      </c>
      <c r="B34" s="6"/>
      <c r="D34" s="27" t="s">
        <v>26</v>
      </c>
      <c r="E34" s="27">
        <f>IF(F23=TRUE,E30,E16)</f>
        <v>999.47335097592918</v>
      </c>
      <c r="L34" s="2"/>
    </row>
    <row r="35" spans="1:17" ht="18.75" thickBot="1" x14ac:dyDescent="0.3">
      <c r="A35" s="16" t="s">
        <v>41</v>
      </c>
      <c r="B35" s="10"/>
      <c r="D35" s="28" t="s">
        <v>27</v>
      </c>
      <c r="E35" s="28">
        <f>IF(F23=TRUE,F30,E17)</f>
        <v>1250.3989773681324</v>
      </c>
      <c r="L35" s="2"/>
    </row>
    <row r="36" spans="1:17" x14ac:dyDescent="0.25">
      <c r="L36" s="2"/>
    </row>
    <row r="37" spans="1:17" ht="18.75" thickBot="1" x14ac:dyDescent="0.3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1"/>
    </row>
    <row r="40" spans="1:17" x14ac:dyDescent="0.25">
      <c r="N40" s="51" t="s">
        <v>45</v>
      </c>
      <c r="O40" s="51"/>
      <c r="P40" s="51"/>
      <c r="Q40" s="5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74F3-6CD7-490D-9447-B1E44A209FCA}">
  <dimension ref="A1:N39"/>
  <sheetViews>
    <sheetView topLeftCell="A13" workbookViewId="0">
      <selection activeCell="G10" sqref="G10"/>
    </sheetView>
  </sheetViews>
  <sheetFormatPr defaultRowHeight="18" x14ac:dyDescent="0.25"/>
  <cols>
    <col min="2" max="2" width="11.8984375" customWidth="1"/>
    <col min="4" max="4" width="12.3984375" customWidth="1"/>
    <col min="5" max="5" width="10.59765625" customWidth="1"/>
    <col min="6" max="6" width="11.296875" customWidth="1"/>
    <col min="7" max="7" width="12.59765625" customWidth="1"/>
  </cols>
  <sheetData>
    <row r="1" spans="1:12" ht="19.5" thickTop="1" thickBot="1" x14ac:dyDescent="0.3">
      <c r="L1" s="17"/>
    </row>
    <row r="2" spans="1:12" ht="18.75" thickBot="1" x14ac:dyDescent="0.3">
      <c r="A2" s="39" t="s">
        <v>42</v>
      </c>
      <c r="B2" s="31"/>
      <c r="C2" s="31"/>
      <c r="D2" s="32"/>
      <c r="L2" s="2"/>
    </row>
    <row r="3" spans="1:12" x14ac:dyDescent="0.25">
      <c r="L3" s="2"/>
    </row>
    <row r="4" spans="1:12" ht="18.75" thickBot="1" x14ac:dyDescent="0.3">
      <c r="L4" s="2"/>
    </row>
    <row r="5" spans="1:12" ht="18.75" thickBot="1" x14ac:dyDescent="0.3">
      <c r="A5" s="4" t="s">
        <v>8</v>
      </c>
      <c r="B5" s="6"/>
      <c r="F5" s="4" t="s">
        <v>6</v>
      </c>
      <c r="G5" s="6" t="s">
        <v>7</v>
      </c>
      <c r="I5" s="18"/>
      <c r="J5" s="18"/>
      <c r="L5" s="2"/>
    </row>
    <row r="6" spans="1:12" ht="18.75" thickBot="1" x14ac:dyDescent="0.3">
      <c r="A6" s="16" t="s">
        <v>12</v>
      </c>
      <c r="B6" s="10"/>
      <c r="D6" s="7" t="s">
        <v>9</v>
      </c>
      <c r="E6" s="8"/>
      <c r="F6" s="3">
        <v>10000</v>
      </c>
      <c r="G6" s="15">
        <v>20000</v>
      </c>
      <c r="H6" s="43"/>
      <c r="I6" s="4" t="s">
        <v>28</v>
      </c>
      <c r="J6" s="6">
        <v>0.2</v>
      </c>
      <c r="L6" s="2"/>
    </row>
    <row r="7" spans="1:12" ht="19.5" thickTop="1" thickBot="1" x14ac:dyDescent="0.3">
      <c r="D7" s="4" t="s">
        <v>10</v>
      </c>
      <c r="E7" s="6"/>
      <c r="F7" s="14">
        <v>300</v>
      </c>
      <c r="G7" s="13">
        <v>300</v>
      </c>
      <c r="J7" s="18"/>
      <c r="L7" s="2"/>
    </row>
    <row r="8" spans="1:12" ht="19.5" thickTop="1" thickBot="1" x14ac:dyDescent="0.3">
      <c r="D8" s="9" t="s">
        <v>11</v>
      </c>
      <c r="E8" s="10"/>
      <c r="F8" s="14">
        <v>20</v>
      </c>
      <c r="G8" s="13">
        <v>25</v>
      </c>
      <c r="L8" s="2"/>
    </row>
    <row r="9" spans="1:12" ht="19.5" thickTop="1" thickBot="1" x14ac:dyDescent="0.3">
      <c r="D9" s="9" t="s">
        <v>33</v>
      </c>
      <c r="E9" s="10"/>
      <c r="F9" s="14">
        <f>F8*$J$6</f>
        <v>4</v>
      </c>
      <c r="G9" s="13">
        <f>G8*$J$6</f>
        <v>5</v>
      </c>
      <c r="L9" s="2"/>
    </row>
    <row r="10" spans="1:12" ht="18.75" thickBot="1" x14ac:dyDescent="0.3">
      <c r="D10" s="18"/>
      <c r="E10" s="18"/>
      <c r="F10" s="18"/>
      <c r="G10" s="18"/>
      <c r="L10" s="2"/>
    </row>
    <row r="11" spans="1:12" ht="18.75" thickBot="1" x14ac:dyDescent="0.3">
      <c r="D11" s="44" t="s">
        <v>38</v>
      </c>
      <c r="E11" s="6"/>
      <c r="F11" s="25">
        <v>50000</v>
      </c>
      <c r="G11" s="18"/>
      <c r="L11" s="2"/>
    </row>
    <row r="12" spans="1:12" x14ac:dyDescent="0.25">
      <c r="L12" s="2"/>
    </row>
    <row r="13" spans="1:12" ht="18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</row>
    <row r="14" spans="1:12" ht="19.5" thickTop="1" thickBot="1" x14ac:dyDescent="0.3">
      <c r="L14" s="17"/>
    </row>
    <row r="15" spans="1:12" ht="18.75" thickBot="1" x14ac:dyDescent="0.3">
      <c r="A15" s="4" t="s">
        <v>13</v>
      </c>
      <c r="B15" s="6"/>
      <c r="D15" s="7" t="s">
        <v>16</v>
      </c>
      <c r="E15" s="8">
        <f xml:space="preserve"> SQRT(2*F7*F6/F9)</f>
        <v>1224.744871391589</v>
      </c>
      <c r="L15" s="2"/>
    </row>
    <row r="16" spans="1:12" ht="18.75" thickBot="1" x14ac:dyDescent="0.3">
      <c r="A16" s="16" t="s">
        <v>21</v>
      </c>
      <c r="B16" s="10"/>
      <c r="D16" s="9" t="s">
        <v>17</v>
      </c>
      <c r="E16" s="10">
        <f xml:space="preserve"> SQRT(2*G7*G6/G9)</f>
        <v>1549.1933384829667</v>
      </c>
      <c r="L16" s="2"/>
    </row>
    <row r="17" spans="1:12" ht="18.75" thickBot="1" x14ac:dyDescent="0.3">
      <c r="A17" s="26"/>
      <c r="B17" s="18"/>
      <c r="D17" s="18"/>
      <c r="E17" s="18"/>
      <c r="L17" s="2"/>
    </row>
    <row r="18" spans="1:12" ht="18.75" thickBot="1" x14ac:dyDescent="0.3">
      <c r="A18" s="26"/>
      <c r="B18" s="18"/>
      <c r="D18" s="7" t="s">
        <v>34</v>
      </c>
      <c r="E18" s="8">
        <f>F8* E15</f>
        <v>24494.89742783178</v>
      </c>
      <c r="G18" s="4" t="s">
        <v>43</v>
      </c>
      <c r="H18" s="6">
        <f>E18+E19</f>
        <v>63224.730889905943</v>
      </c>
      <c r="L18" s="2"/>
    </row>
    <row r="19" spans="1:12" ht="18.75" thickBot="1" x14ac:dyDescent="0.3">
      <c r="D19" s="9" t="s">
        <v>35</v>
      </c>
      <c r="E19" s="10">
        <f>G8* E16</f>
        <v>38729.833462074166</v>
      </c>
      <c r="L19" s="2"/>
    </row>
    <row r="20" spans="1:12" ht="18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</row>
    <row r="21" spans="1:12" ht="19.5" thickTop="1" thickBot="1" x14ac:dyDescent="0.3">
      <c r="L21" s="17"/>
    </row>
    <row r="22" spans="1:12" ht="18.75" thickBot="1" x14ac:dyDescent="0.3">
      <c r="A22" s="4" t="s">
        <v>18</v>
      </c>
      <c r="B22" s="6"/>
      <c r="D22" t="s">
        <v>20</v>
      </c>
      <c r="F22" s="21" t="b">
        <f xml:space="preserve"> IF(H18 &lt;= F11, FALSE, TRUE)</f>
        <v>1</v>
      </c>
      <c r="L22" s="2"/>
    </row>
    <row r="23" spans="1:12" ht="18.75" thickBot="1" x14ac:dyDescent="0.3">
      <c r="A23" s="16" t="s">
        <v>19</v>
      </c>
      <c r="B23" s="10"/>
      <c r="L23" s="2"/>
    </row>
    <row r="24" spans="1:12" ht="18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</row>
    <row r="25" spans="1:12" ht="18.75" thickTop="1" x14ac:dyDescent="0.25">
      <c r="L25" s="17"/>
    </row>
    <row r="26" spans="1:12" x14ac:dyDescent="0.25">
      <c r="L26" s="2"/>
    </row>
    <row r="27" spans="1:12" ht="18.75" thickBot="1" x14ac:dyDescent="0.3">
      <c r="L27" s="2"/>
    </row>
    <row r="28" spans="1:12" ht="18.75" thickBot="1" x14ac:dyDescent="0.3">
      <c r="D28" s="45" t="s">
        <v>29</v>
      </c>
      <c r="E28" s="21" t="s">
        <v>26</v>
      </c>
      <c r="F28" s="6" t="s">
        <v>27</v>
      </c>
      <c r="G28" s="21" t="s">
        <v>40</v>
      </c>
      <c r="J28" s="50" t="s">
        <v>39</v>
      </c>
      <c r="K28" s="50"/>
      <c r="L28" s="2"/>
    </row>
    <row r="29" spans="1:12" ht="18.75" thickBot="1" x14ac:dyDescent="0.3">
      <c r="D29" s="21">
        <v>5.9894538929367164E-2</v>
      </c>
      <c r="E29" s="5">
        <f xml:space="preserve"> SQRT(2*F7*F6/(F9+2*D29*F8))</f>
        <v>968.56509514361323</v>
      </c>
      <c r="F29" s="5">
        <f xml:space="preserve"> SQRT(2*G7*G6/(G9+2*D29*G8))</f>
        <v>1225.1487051166034</v>
      </c>
      <c r="G29" s="6">
        <f>F8* E29 +G8* F29</f>
        <v>50000.019530787351</v>
      </c>
      <c r="L29" s="2"/>
    </row>
    <row r="30" spans="1:12" x14ac:dyDescent="0.25">
      <c r="L30" s="2"/>
    </row>
    <row r="31" spans="1:12" x14ac:dyDescent="0.25">
      <c r="D31" s="29"/>
      <c r="L31" s="2"/>
    </row>
    <row r="32" spans="1:12" ht="18.75" thickBot="1" x14ac:dyDescent="0.3">
      <c r="L32" s="2"/>
    </row>
    <row r="33" spans="1:14" ht="18.75" thickBot="1" x14ac:dyDescent="0.3">
      <c r="A33" s="4" t="s">
        <v>24</v>
      </c>
      <c r="B33" s="6"/>
      <c r="D33" s="27" t="s">
        <v>26</v>
      </c>
      <c r="E33" s="27">
        <f>E29</f>
        <v>968.56509514361323</v>
      </c>
      <c r="L33" s="2"/>
    </row>
    <row r="34" spans="1:14" ht="18.75" thickBot="1" x14ac:dyDescent="0.3">
      <c r="A34" s="16" t="s">
        <v>25</v>
      </c>
      <c r="B34" s="10"/>
      <c r="D34" s="28" t="s">
        <v>27</v>
      </c>
      <c r="E34" s="28">
        <f>F29</f>
        <v>1225.1487051166034</v>
      </c>
      <c r="L34" s="2"/>
    </row>
    <row r="35" spans="1:14" x14ac:dyDescent="0.25">
      <c r="L35" s="2"/>
    </row>
    <row r="36" spans="1:14" ht="18.75" thickBot="1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</row>
    <row r="39" spans="1:14" x14ac:dyDescent="0.25">
      <c r="N39" s="51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B155-8A7B-4F44-AD6A-70897336C2FC}">
  <dimension ref="A1:L9"/>
  <sheetViews>
    <sheetView workbookViewId="0">
      <selection activeCell="G5" sqref="G5"/>
    </sheetView>
  </sheetViews>
  <sheetFormatPr defaultRowHeight="18" x14ac:dyDescent="0.25"/>
  <cols>
    <col min="7" max="7" width="58.69921875" customWidth="1"/>
    <col min="12" max="12" width="17.796875" customWidth="1"/>
  </cols>
  <sheetData>
    <row r="1" spans="1:12" ht="45" thickBot="1" x14ac:dyDescent="0.6">
      <c r="A1" s="52" t="s">
        <v>46</v>
      </c>
      <c r="B1" s="48"/>
      <c r="C1" s="48"/>
      <c r="D1" s="48"/>
      <c r="E1" s="48"/>
      <c r="F1" s="48"/>
      <c r="G1" s="1"/>
      <c r="H1" s="1"/>
      <c r="I1" s="1"/>
      <c r="J1" s="1"/>
      <c r="K1" s="1"/>
      <c r="L1" s="3"/>
    </row>
    <row r="2" spans="1:12" ht="19.5" thickTop="1" thickBot="1" x14ac:dyDescent="0.3">
      <c r="L2" s="2"/>
    </row>
    <row r="3" spans="1:12" ht="18.75" thickBot="1" x14ac:dyDescent="0.3">
      <c r="A3" s="49"/>
      <c r="B3" s="19"/>
      <c r="C3" s="19"/>
      <c r="D3" s="12"/>
      <c r="E3" s="53" t="s">
        <v>47</v>
      </c>
      <c r="F3" s="54"/>
      <c r="G3" s="55"/>
      <c r="L3" s="2"/>
    </row>
    <row r="4" spans="1:12" x14ac:dyDescent="0.25">
      <c r="A4" s="19"/>
      <c r="B4" s="19"/>
      <c r="C4" s="19"/>
      <c r="D4" s="12"/>
      <c r="E4" s="56" t="s">
        <v>65</v>
      </c>
      <c r="F4" s="57"/>
      <c r="G4" s="58"/>
      <c r="L4" s="2"/>
    </row>
    <row r="5" spans="1:12" x14ac:dyDescent="0.25">
      <c r="A5" s="19"/>
      <c r="B5" s="19"/>
      <c r="C5" s="19"/>
      <c r="E5" s="56" t="s">
        <v>63</v>
      </c>
      <c r="F5" s="57"/>
      <c r="G5" s="58"/>
      <c r="L5" s="2"/>
    </row>
    <row r="6" spans="1:12" x14ac:dyDescent="0.25">
      <c r="A6" s="19"/>
      <c r="B6" s="19"/>
      <c r="C6" s="19"/>
      <c r="E6" s="56" t="s">
        <v>64</v>
      </c>
      <c r="F6" s="57"/>
      <c r="G6" s="58"/>
      <c r="L6" s="2"/>
    </row>
    <row r="7" spans="1:12" ht="18.75" thickBot="1" x14ac:dyDescent="0.3">
      <c r="A7" s="19"/>
      <c r="B7" s="19"/>
      <c r="C7" s="19"/>
      <c r="E7" s="59"/>
      <c r="F7" s="60"/>
      <c r="G7" s="61"/>
      <c r="L7" s="2"/>
    </row>
    <row r="8" spans="1:12" ht="18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3"/>
    </row>
    <row r="9" spans="1:12" ht="18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D739-DAC8-4FDB-9855-E13429461648}">
  <dimension ref="A1:M28"/>
  <sheetViews>
    <sheetView workbookViewId="0">
      <selection activeCell="G11" sqref="G11:H11"/>
    </sheetView>
  </sheetViews>
  <sheetFormatPr defaultRowHeight="18" x14ac:dyDescent="0.25"/>
  <cols>
    <col min="1" max="1" width="8.796875" style="104"/>
    <col min="2" max="2" width="11.69921875" style="104" customWidth="1"/>
    <col min="3" max="3" width="8.796875" style="104"/>
    <col min="4" max="4" width="16.5" style="104" customWidth="1"/>
    <col min="5" max="5" width="11.09765625" style="104" customWidth="1"/>
    <col min="6" max="6" width="9.5" style="104" customWidth="1"/>
    <col min="7" max="16384" width="8.796875" style="104"/>
  </cols>
  <sheetData>
    <row r="1" spans="1:13" ht="19.5" thickTop="1" thickBot="1" x14ac:dyDescent="0.3">
      <c r="M1" s="105"/>
    </row>
    <row r="2" spans="1:13" ht="18.75" thickBot="1" x14ac:dyDescent="0.3">
      <c r="A2" s="106" t="s">
        <v>66</v>
      </c>
      <c r="B2" s="107"/>
      <c r="C2" s="107"/>
      <c r="D2" s="108"/>
      <c r="M2" s="109"/>
    </row>
    <row r="3" spans="1:13" x14ac:dyDescent="0.25">
      <c r="M3" s="109"/>
    </row>
    <row r="4" spans="1:13" ht="18.75" thickBot="1" x14ac:dyDescent="0.3">
      <c r="M4" s="109"/>
    </row>
    <row r="5" spans="1:13" ht="18.75" thickBot="1" x14ac:dyDescent="0.3">
      <c r="A5" s="110" t="s">
        <v>8</v>
      </c>
      <c r="B5" s="111"/>
      <c r="F5" s="110" t="s">
        <v>6</v>
      </c>
      <c r="G5" s="111" t="s">
        <v>7</v>
      </c>
      <c r="H5" s="111" t="s">
        <v>48</v>
      </c>
      <c r="M5" s="109"/>
    </row>
    <row r="6" spans="1:13" ht="18.75" thickBot="1" x14ac:dyDescent="0.3">
      <c r="A6" s="112" t="s">
        <v>12</v>
      </c>
      <c r="B6" s="113"/>
      <c r="D6" s="110" t="s">
        <v>9</v>
      </c>
      <c r="E6" s="111"/>
      <c r="F6" s="3">
        <v>12000</v>
      </c>
      <c r="G6" s="15">
        <v>1200</v>
      </c>
      <c r="H6" s="15">
        <v>120</v>
      </c>
      <c r="J6" s="110" t="s">
        <v>28</v>
      </c>
      <c r="K6" s="111">
        <v>0.2</v>
      </c>
      <c r="M6" s="109"/>
    </row>
    <row r="7" spans="1:13" ht="19.5" thickTop="1" thickBot="1" x14ac:dyDescent="0.3">
      <c r="D7" s="115" t="s">
        <v>11</v>
      </c>
      <c r="E7" s="113"/>
      <c r="F7" s="14">
        <v>500</v>
      </c>
      <c r="G7" s="14">
        <v>500</v>
      </c>
      <c r="H7" s="14">
        <v>500</v>
      </c>
      <c r="M7" s="109"/>
    </row>
    <row r="8" spans="1:13" ht="19.5" thickTop="1" thickBot="1" x14ac:dyDescent="0.3">
      <c r="D8" s="110" t="s">
        <v>56</v>
      </c>
      <c r="E8" s="111"/>
      <c r="F8" s="23">
        <f>F7*K6</f>
        <v>100</v>
      </c>
      <c r="G8" s="22">
        <f>G7*K6</f>
        <v>100</v>
      </c>
      <c r="H8" s="22">
        <f>H7*K6</f>
        <v>100</v>
      </c>
      <c r="M8" s="109"/>
    </row>
    <row r="9" spans="1:13" ht="19.5" thickTop="1" thickBot="1" x14ac:dyDescent="0.3">
      <c r="D9" s="116" t="s">
        <v>51</v>
      </c>
      <c r="E9" s="117"/>
      <c r="F9" s="83"/>
      <c r="G9" s="67">
        <v>4000</v>
      </c>
      <c r="H9" s="14"/>
      <c r="M9" s="109"/>
    </row>
    <row r="10" spans="1:13" ht="19.5" thickTop="1" thickBot="1" x14ac:dyDescent="0.3">
      <c r="D10" s="110" t="s">
        <v>49</v>
      </c>
      <c r="E10" s="111"/>
      <c r="F10" s="64">
        <v>1000</v>
      </c>
      <c r="G10" s="64">
        <v>1000</v>
      </c>
      <c r="H10" s="64">
        <v>1000</v>
      </c>
      <c r="M10" s="109"/>
    </row>
    <row r="11" spans="1:13" ht="19.5" thickTop="1" thickBot="1" x14ac:dyDescent="0.3">
      <c r="D11" s="110" t="s">
        <v>50</v>
      </c>
      <c r="E11" s="111"/>
      <c r="F11" s="62">
        <f>$G$9+F10</f>
        <v>5000</v>
      </c>
      <c r="G11" s="63">
        <f xml:space="preserve"> $G$9+G10</f>
        <v>5000</v>
      </c>
      <c r="H11" s="63">
        <f xml:space="preserve"> $G$9+H10</f>
        <v>5000</v>
      </c>
      <c r="M11" s="109"/>
    </row>
    <row r="12" spans="1:13" x14ac:dyDescent="0.25">
      <c r="M12" s="109"/>
    </row>
    <row r="13" spans="1:13" ht="18.75" thickBot="1" x14ac:dyDescent="0.3">
      <c r="M13" s="109"/>
    </row>
    <row r="14" spans="1:13" ht="18.75" thickBot="1" x14ac:dyDescent="0.3">
      <c r="A14" s="110" t="s">
        <v>13</v>
      </c>
      <c r="B14" s="111"/>
      <c r="D14" s="110" t="s">
        <v>53</v>
      </c>
      <c r="E14" s="111"/>
      <c r="F14" s="118">
        <f xml:space="preserve"> SQRT(2*F11*F6/F8)</f>
        <v>1095.4451150103323</v>
      </c>
      <c r="G14" s="119">
        <f xml:space="preserve"> SQRT(2*G11*G6/G8)</f>
        <v>346.41016151377545</v>
      </c>
      <c r="H14" s="120">
        <f xml:space="preserve"> SQRT(2*H11*H6/H8)</f>
        <v>109.54451150103323</v>
      </c>
      <c r="M14" s="109"/>
    </row>
    <row r="15" spans="1:13" ht="18.75" thickBot="1" x14ac:dyDescent="0.3">
      <c r="A15" s="112" t="s">
        <v>52</v>
      </c>
      <c r="B15" s="113"/>
      <c r="D15" s="115" t="s">
        <v>54</v>
      </c>
      <c r="E15" s="113"/>
      <c r="F15" s="116">
        <f>F14/2</f>
        <v>547.72255750516615</v>
      </c>
      <c r="G15" s="104">
        <f>G14/2</f>
        <v>173.20508075688772</v>
      </c>
      <c r="H15" s="117">
        <f>H14/2</f>
        <v>54.772255750516614</v>
      </c>
      <c r="M15" s="109"/>
    </row>
    <row r="16" spans="1:13" ht="18.75" thickBot="1" x14ac:dyDescent="0.3">
      <c r="D16" s="110" t="s">
        <v>55</v>
      </c>
      <c r="E16" s="111"/>
      <c r="F16" s="118">
        <f>(F11*F6/F14)+(F8*F15)</f>
        <v>109544.51150103322</v>
      </c>
      <c r="G16" s="119">
        <f>(G11*G6/G14)+(G8*G15)</f>
        <v>34641.016151377546</v>
      </c>
      <c r="H16" s="120">
        <f>(H11*H6/H14)+(H8*H15)</f>
        <v>10954.451150103323</v>
      </c>
      <c r="M16" s="109"/>
    </row>
    <row r="17" spans="1:13" ht="18.75" thickBot="1" x14ac:dyDescent="0.3">
      <c r="D17" s="116" t="s">
        <v>58</v>
      </c>
      <c r="E17" s="117"/>
      <c r="F17" s="116">
        <f xml:space="preserve"> (F8*F15)</f>
        <v>54772.255750516619</v>
      </c>
      <c r="G17" s="104">
        <f xml:space="preserve"> (G8*G15)</f>
        <v>17320.508075688773</v>
      </c>
      <c r="H17" s="117">
        <f xml:space="preserve"> (H8*H15)</f>
        <v>5477.2255750516615</v>
      </c>
      <c r="M17" s="109"/>
    </row>
    <row r="18" spans="1:13" ht="18.75" thickBot="1" x14ac:dyDescent="0.3">
      <c r="D18" s="110" t="s">
        <v>57</v>
      </c>
      <c r="E18" s="111"/>
      <c r="F18" s="116">
        <f>(F11*F6/F14)</f>
        <v>54772.255750516604</v>
      </c>
      <c r="G18" s="104">
        <f>(G11*G6/G14)</f>
        <v>17320.508075688773</v>
      </c>
      <c r="H18" s="117">
        <f>(H11*H6/H14)</f>
        <v>5477.2255750516606</v>
      </c>
      <c r="M18" s="109"/>
    </row>
    <row r="19" spans="1:13" ht="18.75" thickBot="1" x14ac:dyDescent="0.3">
      <c r="D19" s="110" t="s">
        <v>59</v>
      </c>
      <c r="E19" s="111"/>
      <c r="F19" s="116">
        <f>F6/F14</f>
        <v>10.954451150103322</v>
      </c>
      <c r="G19" s="104">
        <f>G6/G14</f>
        <v>3.4641016151377548</v>
      </c>
      <c r="H19" s="117">
        <f>H6/H14</f>
        <v>1.0954451150103321</v>
      </c>
      <c r="M19" s="109"/>
    </row>
    <row r="20" spans="1:13" ht="18.75" thickBot="1" x14ac:dyDescent="0.3">
      <c r="D20" s="110" t="s">
        <v>60</v>
      </c>
      <c r="E20" s="111"/>
      <c r="F20" s="115">
        <f>1/F19</f>
        <v>9.1287092917527679E-2</v>
      </c>
      <c r="G20" s="121">
        <f>1/G19</f>
        <v>0.28867513459481287</v>
      </c>
      <c r="H20" s="113">
        <f>1/H19</f>
        <v>0.9128709291752769</v>
      </c>
      <c r="M20" s="109"/>
    </row>
    <row r="21" spans="1:13" x14ac:dyDescent="0.25">
      <c r="M21" s="109"/>
    </row>
    <row r="22" spans="1:13" ht="18.75" thickBot="1" x14ac:dyDescent="0.3">
      <c r="M22" s="109"/>
    </row>
    <row r="23" spans="1:13" ht="18.75" thickBot="1" x14ac:dyDescent="0.3">
      <c r="A23" s="110" t="s">
        <v>18</v>
      </c>
      <c r="B23" s="111"/>
      <c r="M23" s="109"/>
    </row>
    <row r="24" spans="1:13" ht="19.5" thickTop="1" thickBot="1" x14ac:dyDescent="0.3">
      <c r="A24" s="112" t="s">
        <v>61</v>
      </c>
      <c r="B24" s="113"/>
      <c r="D24" s="122" t="s">
        <v>62</v>
      </c>
      <c r="E24" s="123"/>
      <c r="F24" s="124">
        <f>F16+G16+H16</f>
        <v>155139.97880251409</v>
      </c>
      <c r="M24" s="109"/>
    </row>
    <row r="25" spans="1:13" x14ac:dyDescent="0.25">
      <c r="M25" s="109"/>
    </row>
    <row r="26" spans="1:13" ht="18.75" thickBot="1" x14ac:dyDescent="0.3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14"/>
    </row>
    <row r="27" spans="1:13" ht="19.5" thickTop="1" thickBot="1" x14ac:dyDescent="0.3"/>
    <row r="28" spans="1:13" ht="18.75" thickBot="1" x14ac:dyDescent="0.3">
      <c r="A28" s="110"/>
      <c r="B28" s="126"/>
      <c r="C28" s="126"/>
      <c r="D28" s="1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C448-2156-4B67-BC5A-20FD6FA81BAC}">
  <dimension ref="A1:M26"/>
  <sheetViews>
    <sheetView workbookViewId="0">
      <selection activeCell="G20" sqref="G20"/>
    </sheetView>
  </sheetViews>
  <sheetFormatPr defaultRowHeight="18" x14ac:dyDescent="0.25"/>
  <cols>
    <col min="2" max="2" width="11.296875" customWidth="1"/>
    <col min="5" max="5" width="18" customWidth="1"/>
    <col min="6" max="6" width="8.796875" customWidth="1"/>
    <col min="8" max="8" width="10.19921875" customWidth="1"/>
  </cols>
  <sheetData>
    <row r="1" spans="1:13" ht="18.75" thickBot="1" x14ac:dyDescent="0.3"/>
    <row r="2" spans="1:13" ht="18.75" thickBot="1" x14ac:dyDescent="0.3">
      <c r="A2" s="39" t="s">
        <v>67</v>
      </c>
      <c r="B2" s="31"/>
      <c r="C2" s="31"/>
      <c r="D2" s="32"/>
      <c r="M2" s="2"/>
    </row>
    <row r="3" spans="1:13" x14ac:dyDescent="0.25">
      <c r="M3" s="2"/>
    </row>
    <row r="4" spans="1:13" ht="18.75" thickBot="1" x14ac:dyDescent="0.3">
      <c r="M4" s="2"/>
    </row>
    <row r="5" spans="1:13" ht="18.75" thickBot="1" x14ac:dyDescent="0.3">
      <c r="A5" s="4" t="s">
        <v>8</v>
      </c>
      <c r="B5" s="6"/>
      <c r="F5" s="4" t="s">
        <v>6</v>
      </c>
      <c r="G5" s="6" t="s">
        <v>7</v>
      </c>
      <c r="H5" s="6" t="s">
        <v>48</v>
      </c>
      <c r="I5" s="18"/>
      <c r="M5" s="2"/>
    </row>
    <row r="6" spans="1:13" ht="18.75" thickBot="1" x14ac:dyDescent="0.3">
      <c r="A6" s="16" t="s">
        <v>12</v>
      </c>
      <c r="B6" s="10"/>
      <c r="D6" s="4" t="s">
        <v>9</v>
      </c>
      <c r="E6" s="6"/>
      <c r="F6" s="3">
        <v>12000</v>
      </c>
      <c r="G6" s="15">
        <v>1200</v>
      </c>
      <c r="H6" s="15">
        <v>120</v>
      </c>
      <c r="I6" s="18"/>
      <c r="J6" s="4" t="s">
        <v>28</v>
      </c>
      <c r="K6" s="6">
        <v>0.2</v>
      </c>
      <c r="M6" s="2"/>
    </row>
    <row r="7" spans="1:13" ht="19.5" thickTop="1" thickBot="1" x14ac:dyDescent="0.3">
      <c r="D7" s="9" t="s">
        <v>11</v>
      </c>
      <c r="E7" s="10"/>
      <c r="F7" s="14">
        <v>500</v>
      </c>
      <c r="G7" s="14">
        <v>500</v>
      </c>
      <c r="H7" s="14">
        <v>500</v>
      </c>
      <c r="I7" s="18"/>
      <c r="M7" s="2"/>
    </row>
    <row r="8" spans="1:13" ht="19.5" thickTop="1" thickBot="1" x14ac:dyDescent="0.3">
      <c r="D8" s="24" t="s">
        <v>56</v>
      </c>
      <c r="E8" s="6"/>
      <c r="F8" s="23">
        <f>F7*K6</f>
        <v>100</v>
      </c>
      <c r="G8" s="22">
        <f>G7*K6</f>
        <v>100</v>
      </c>
      <c r="H8" s="22">
        <f>H7*K6</f>
        <v>100</v>
      </c>
      <c r="I8" s="19"/>
      <c r="M8" s="2"/>
    </row>
    <row r="9" spans="1:13" ht="19.5" thickTop="1" thickBot="1" x14ac:dyDescent="0.3">
      <c r="D9" s="11" t="s">
        <v>51</v>
      </c>
      <c r="E9" s="12"/>
      <c r="F9" s="83"/>
      <c r="G9" s="67">
        <v>4000</v>
      </c>
      <c r="H9" s="14"/>
      <c r="I9" s="19"/>
      <c r="M9" s="2"/>
    </row>
    <row r="10" spans="1:13" ht="19.5" thickTop="1" thickBot="1" x14ac:dyDescent="0.3">
      <c r="D10" s="24" t="s">
        <v>49</v>
      </c>
      <c r="E10" s="6"/>
      <c r="F10" s="64">
        <v>1000</v>
      </c>
      <c r="G10" s="64">
        <v>1000</v>
      </c>
      <c r="H10" s="64">
        <v>1000</v>
      </c>
      <c r="I10" s="19"/>
      <c r="M10" s="2"/>
    </row>
    <row r="11" spans="1:13" ht="19.5" thickTop="1" thickBot="1" x14ac:dyDescent="0.3">
      <c r="D11" s="24" t="s">
        <v>68</v>
      </c>
      <c r="E11" s="6"/>
      <c r="F11" s="62"/>
      <c r="G11" s="63">
        <f xml:space="preserve"> G9+F10+G10+H10</f>
        <v>7000</v>
      </c>
      <c r="H11" s="72"/>
      <c r="I11" s="19"/>
      <c r="M11" s="2"/>
    </row>
    <row r="12" spans="1:13" x14ac:dyDescent="0.25">
      <c r="D12" s="19"/>
      <c r="E12" s="18"/>
      <c r="F12" s="19"/>
      <c r="G12" s="19"/>
      <c r="H12" s="19"/>
      <c r="I12" s="19"/>
      <c r="M12" s="2"/>
    </row>
    <row r="13" spans="1:13" ht="18.75" thickBot="1" x14ac:dyDescent="0.3">
      <c r="D13" s="19"/>
      <c r="E13" s="18"/>
      <c r="F13" s="19"/>
      <c r="G13" s="19"/>
      <c r="H13" s="19"/>
      <c r="I13" s="19"/>
      <c r="M13" s="2"/>
    </row>
    <row r="14" spans="1:13" ht="18.75" thickBot="1" x14ac:dyDescent="0.3">
      <c r="A14" s="4" t="s">
        <v>13</v>
      </c>
      <c r="B14" s="6"/>
      <c r="D14" s="20" t="s">
        <v>69</v>
      </c>
      <c r="E14" s="74"/>
      <c r="F14" s="70"/>
      <c r="G14" s="68">
        <f xml:space="preserve"> SQRT(($F$8*$F$6+$G$6*$G$8+$H$6*$H$8)/(2*$G$11))</f>
        <v>9.7541200086351783</v>
      </c>
      <c r="H14" s="71"/>
      <c r="I14" s="19"/>
      <c r="M14" s="2"/>
    </row>
    <row r="15" spans="1:13" ht="18.75" thickBot="1" x14ac:dyDescent="0.3">
      <c r="A15" s="16" t="s">
        <v>52</v>
      </c>
      <c r="B15" s="10"/>
      <c r="D15" s="19"/>
      <c r="E15" s="18"/>
      <c r="F15" s="19"/>
      <c r="G15" s="19"/>
      <c r="H15" s="19"/>
      <c r="I15" s="19"/>
      <c r="M15" s="2"/>
    </row>
    <row r="16" spans="1:13" ht="18.75" thickBot="1" x14ac:dyDescent="0.3">
      <c r="A16" s="11"/>
      <c r="B16" s="18"/>
      <c r="C16" s="12"/>
      <c r="D16" s="4" t="s">
        <v>53</v>
      </c>
      <c r="E16" s="6"/>
      <c r="F16" s="75">
        <f xml:space="preserve"> F6/$G$14</f>
        <v>1230.2493704584911</v>
      </c>
      <c r="G16" s="76">
        <f xml:space="preserve"> G6/$G$14</f>
        <v>123.02493704584911</v>
      </c>
      <c r="H16" s="76">
        <f xml:space="preserve"> H6/$G$14</f>
        <v>12.302493704584911</v>
      </c>
      <c r="I16" s="19"/>
      <c r="M16" s="2"/>
    </row>
    <row r="17" spans="1:13" ht="18.75" thickBot="1" x14ac:dyDescent="0.3">
      <c r="A17" s="73"/>
      <c r="B17" s="18"/>
      <c r="D17" s="9" t="s">
        <v>54</v>
      </c>
      <c r="E17" s="10"/>
      <c r="F17" s="77">
        <f>F16/2</f>
        <v>615.12468522924553</v>
      </c>
      <c r="G17" s="78">
        <f>G16/2</f>
        <v>61.512468522924557</v>
      </c>
      <c r="H17" s="66">
        <f>H16/2</f>
        <v>6.1512468522924557</v>
      </c>
      <c r="I17" s="19"/>
      <c r="M17" s="2"/>
    </row>
    <row r="18" spans="1:13" ht="18.75" thickBot="1" x14ac:dyDescent="0.3">
      <c r="D18" s="11" t="s">
        <v>58</v>
      </c>
      <c r="E18" s="12"/>
      <c r="F18" s="79">
        <f xml:space="preserve"> (F8*F17)</f>
        <v>61512.468522924552</v>
      </c>
      <c r="G18" s="80">
        <f xml:space="preserve"> (G8*G17)</f>
        <v>6151.2468522924555</v>
      </c>
      <c r="H18" s="81">
        <f xml:space="preserve"> (H8*H17)</f>
        <v>615.12468522924553</v>
      </c>
      <c r="I18" s="19"/>
      <c r="M18" s="2"/>
    </row>
    <row r="19" spans="1:13" ht="19.5" thickTop="1" thickBot="1" x14ac:dyDescent="0.3">
      <c r="D19" s="24" t="s">
        <v>57</v>
      </c>
      <c r="E19" s="6"/>
      <c r="F19" s="62"/>
      <c r="G19" s="63">
        <f>(G11*G14)</f>
        <v>68278.840060446251</v>
      </c>
      <c r="H19" s="82"/>
      <c r="I19" s="19"/>
      <c r="M19" s="2"/>
    </row>
    <row r="20" spans="1:13" x14ac:dyDescent="0.25">
      <c r="D20" s="19"/>
      <c r="E20" s="18"/>
      <c r="F20" s="19"/>
      <c r="G20" s="19"/>
      <c r="H20" s="19"/>
      <c r="I20" s="19"/>
      <c r="M20" s="2"/>
    </row>
    <row r="21" spans="1:13" ht="18.75" thickBot="1" x14ac:dyDescent="0.3">
      <c r="D21" s="19"/>
      <c r="E21" s="18"/>
      <c r="F21" s="19"/>
      <c r="G21" s="19"/>
      <c r="H21" s="19"/>
      <c r="I21" s="19"/>
      <c r="M21" s="2"/>
    </row>
    <row r="22" spans="1:13" ht="18.75" thickBot="1" x14ac:dyDescent="0.3">
      <c r="A22" s="4" t="s">
        <v>18</v>
      </c>
      <c r="B22" s="6"/>
      <c r="D22" s="19"/>
      <c r="E22" s="18"/>
      <c r="F22" s="19"/>
      <c r="G22" s="19"/>
      <c r="H22" s="19"/>
      <c r="I22" s="19"/>
      <c r="M22" s="2"/>
    </row>
    <row r="23" spans="1:13" ht="19.5" thickTop="1" thickBot="1" x14ac:dyDescent="0.3">
      <c r="A23" s="16" t="s">
        <v>61</v>
      </c>
      <c r="B23" s="10"/>
      <c r="D23" s="65" t="s">
        <v>62</v>
      </c>
      <c r="E23" s="67"/>
      <c r="F23" s="69">
        <f>F18+G18+H18+G19</f>
        <v>136557.6801208925</v>
      </c>
      <c r="G23" s="19"/>
      <c r="H23" s="19"/>
      <c r="I23" s="19"/>
      <c r="M23" s="2"/>
    </row>
    <row r="24" spans="1:13" ht="19.5" thickTop="1" thickBot="1" x14ac:dyDescent="0.3">
      <c r="D24" s="65" t="s">
        <v>70</v>
      </c>
      <c r="E24" s="14"/>
      <c r="F24" s="80">
        <f>F7*F6+G7*G6+H7*H6+F23</f>
        <v>6796557.6801208928</v>
      </c>
      <c r="G24" s="19"/>
      <c r="H24" s="19"/>
      <c r="I24" s="19"/>
      <c r="M24" s="2"/>
    </row>
    <row r="25" spans="1:13" ht="19.5" thickTop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</row>
    <row r="26" spans="1:13" ht="18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D18D-71B3-4093-B997-51F2F8F9D854}">
  <dimension ref="A1:O38"/>
  <sheetViews>
    <sheetView tabSelected="1" topLeftCell="B7" zoomScaleNormal="100" workbookViewId="0">
      <selection activeCell="F29" sqref="F29"/>
    </sheetView>
  </sheetViews>
  <sheetFormatPr defaultRowHeight="18" x14ac:dyDescent="0.25"/>
  <cols>
    <col min="2" max="2" width="13.59765625" customWidth="1"/>
    <col min="5" max="5" width="14.796875" customWidth="1"/>
    <col min="6" max="6" width="11.8984375" bestFit="1" customWidth="1"/>
  </cols>
  <sheetData>
    <row r="1" spans="1:13" ht="18.75" thickBot="1" x14ac:dyDescent="0.3"/>
    <row r="2" spans="1:13" ht="18.75" thickBot="1" x14ac:dyDescent="0.3">
      <c r="A2" s="39" t="s">
        <v>87</v>
      </c>
      <c r="B2" s="31"/>
      <c r="C2" s="31"/>
      <c r="D2" s="32"/>
      <c r="M2" s="2"/>
    </row>
    <row r="3" spans="1:13" x14ac:dyDescent="0.25">
      <c r="M3" s="2"/>
    </row>
    <row r="4" spans="1:13" ht="18.75" thickBot="1" x14ac:dyDescent="0.3">
      <c r="M4" s="2"/>
    </row>
    <row r="5" spans="1:13" ht="18.75" thickBot="1" x14ac:dyDescent="0.3">
      <c r="A5" s="4" t="s">
        <v>71</v>
      </c>
      <c r="B5" s="6"/>
      <c r="F5" s="4" t="s">
        <v>6</v>
      </c>
      <c r="G5" s="6" t="s">
        <v>7</v>
      </c>
      <c r="H5" s="6" t="s">
        <v>48</v>
      </c>
      <c r="I5" s="18"/>
      <c r="M5" s="2"/>
    </row>
    <row r="6" spans="1:13" ht="18.75" thickBot="1" x14ac:dyDescent="0.3">
      <c r="A6" s="16" t="s">
        <v>12</v>
      </c>
      <c r="B6" s="10"/>
      <c r="D6" s="4" t="s">
        <v>9</v>
      </c>
      <c r="E6" s="6"/>
      <c r="F6" s="3">
        <v>12000</v>
      </c>
      <c r="G6" s="15">
        <v>1200</v>
      </c>
      <c r="H6" s="15">
        <v>120</v>
      </c>
      <c r="I6" s="18"/>
      <c r="J6" s="4" t="s">
        <v>28</v>
      </c>
      <c r="K6" s="6">
        <v>0.2</v>
      </c>
      <c r="M6" s="2"/>
    </row>
    <row r="7" spans="1:13" ht="19.5" thickTop="1" thickBot="1" x14ac:dyDescent="0.3">
      <c r="D7" s="9" t="s">
        <v>11</v>
      </c>
      <c r="E7" s="10"/>
      <c r="F7" s="14">
        <v>500</v>
      </c>
      <c r="G7" s="14">
        <v>500</v>
      </c>
      <c r="H7" s="14">
        <v>500</v>
      </c>
      <c r="I7" s="18"/>
      <c r="M7" s="2"/>
    </row>
    <row r="8" spans="1:13" ht="19.5" thickTop="1" thickBot="1" x14ac:dyDescent="0.3">
      <c r="D8" s="24" t="s">
        <v>56</v>
      </c>
      <c r="E8" s="6"/>
      <c r="F8" s="23">
        <f>F7*K6</f>
        <v>100</v>
      </c>
      <c r="G8" s="22">
        <f>G7*K6</f>
        <v>100</v>
      </c>
      <c r="H8" s="22">
        <f>H7*K6</f>
        <v>100</v>
      </c>
      <c r="I8" s="19"/>
      <c r="M8" s="2"/>
    </row>
    <row r="9" spans="1:13" ht="19.5" thickTop="1" thickBot="1" x14ac:dyDescent="0.3">
      <c r="D9" s="11" t="s">
        <v>51</v>
      </c>
      <c r="E9" s="12"/>
      <c r="F9" s="83"/>
      <c r="G9" s="67">
        <v>4000</v>
      </c>
      <c r="H9" s="14"/>
      <c r="I9" s="19"/>
      <c r="M9" s="2"/>
    </row>
    <row r="10" spans="1:13" ht="19.5" thickTop="1" thickBot="1" x14ac:dyDescent="0.3">
      <c r="D10" s="24" t="s">
        <v>49</v>
      </c>
      <c r="E10" s="6"/>
      <c r="F10" s="64">
        <v>1000</v>
      </c>
      <c r="G10" s="64">
        <v>1000</v>
      </c>
      <c r="H10" s="64">
        <v>1000</v>
      </c>
      <c r="I10" s="19"/>
      <c r="M10" s="2"/>
    </row>
    <row r="11" spans="1:13" ht="19.5" thickTop="1" thickBot="1" x14ac:dyDescent="0.3">
      <c r="D11" s="24" t="s">
        <v>68</v>
      </c>
      <c r="E11" s="6"/>
      <c r="F11" s="62"/>
      <c r="G11" s="63">
        <f xml:space="preserve"> G9+F10+G10+H10</f>
        <v>7000</v>
      </c>
      <c r="H11" s="72"/>
      <c r="I11" s="19"/>
      <c r="M11" s="2"/>
    </row>
    <row r="12" spans="1:13" x14ac:dyDescent="0.25">
      <c r="D12" s="19"/>
      <c r="E12" s="18"/>
      <c r="F12" s="19"/>
      <c r="G12" s="19"/>
      <c r="H12" s="19"/>
      <c r="I12" s="19"/>
      <c r="M12" s="2"/>
    </row>
    <row r="13" spans="1:13" x14ac:dyDescent="0.25">
      <c r="D13" s="19"/>
      <c r="E13" s="18"/>
      <c r="F13" s="19"/>
      <c r="G13" s="19"/>
      <c r="H13" s="19"/>
      <c r="I13" s="19"/>
      <c r="M13" s="2"/>
    </row>
    <row r="14" spans="1:13" ht="18.75" thickBot="1" x14ac:dyDescent="0.3">
      <c r="C14" s="18"/>
      <c r="D14" s="19"/>
      <c r="E14" s="18"/>
      <c r="F14" s="19"/>
      <c r="G14" s="19"/>
      <c r="H14" s="19"/>
      <c r="I14" s="19"/>
      <c r="M14" s="2"/>
    </row>
    <row r="15" spans="1:13" ht="18.75" thickBot="1" x14ac:dyDescent="0.3">
      <c r="A15" s="4" t="s">
        <v>8</v>
      </c>
      <c r="B15" s="86"/>
      <c r="C15" s="90"/>
      <c r="D15" s="4" t="s">
        <v>72</v>
      </c>
      <c r="E15" s="86"/>
      <c r="F15" s="70">
        <f>F8*F6/(2*($G$9+F10))</f>
        <v>120</v>
      </c>
      <c r="G15" s="70">
        <f>G8*G6/(2*(G9+G10))</f>
        <v>12</v>
      </c>
      <c r="H15" s="71">
        <f>H8*H6/(2*($G$9+H10))</f>
        <v>1.2</v>
      </c>
      <c r="I15" s="19"/>
      <c r="M15" s="2"/>
    </row>
    <row r="16" spans="1:13" x14ac:dyDescent="0.25">
      <c r="A16" s="84" t="s">
        <v>73</v>
      </c>
      <c r="B16" s="87"/>
      <c r="C16" s="89"/>
      <c r="D16" s="19"/>
      <c r="E16" s="18"/>
      <c r="F16" s="19"/>
      <c r="G16" s="19"/>
      <c r="H16" s="19"/>
      <c r="I16" s="19"/>
      <c r="M16" s="2"/>
    </row>
    <row r="17" spans="1:13" x14ac:dyDescent="0.25">
      <c r="A17" s="84" t="s">
        <v>74</v>
      </c>
      <c r="B17" s="87"/>
      <c r="C17" s="89"/>
      <c r="D17" s="92"/>
      <c r="E17" s="93" t="s">
        <v>76</v>
      </c>
      <c r="F17" s="94" t="str">
        <f xml:space="preserve"> IF(MAX(F15:H15) = F15, "A", IF(MAX(F15:H15) =G15, "B", "C"))</f>
        <v>A</v>
      </c>
      <c r="G17" s="95"/>
      <c r="H17" s="96"/>
      <c r="I17" s="19"/>
      <c r="M17" s="2"/>
    </row>
    <row r="18" spans="1:13" ht="18.75" thickBot="1" x14ac:dyDescent="0.3">
      <c r="A18" s="85" t="s">
        <v>75</v>
      </c>
      <c r="B18" s="88"/>
      <c r="C18" s="89"/>
      <c r="D18" s="19"/>
      <c r="E18" s="18"/>
      <c r="F18" s="19"/>
      <c r="G18" s="19"/>
      <c r="H18" s="19"/>
      <c r="I18" s="19"/>
      <c r="M18" s="2"/>
    </row>
    <row r="19" spans="1:13" x14ac:dyDescent="0.25">
      <c r="D19" s="19"/>
      <c r="E19" s="18"/>
      <c r="F19" s="19"/>
      <c r="G19" s="19"/>
      <c r="H19" s="19"/>
      <c r="I19" s="19"/>
      <c r="M19" s="2"/>
    </row>
    <row r="20" spans="1:13" ht="18.75" thickBot="1" x14ac:dyDescent="0.3">
      <c r="D20" s="19"/>
      <c r="E20" s="18"/>
      <c r="F20" s="19"/>
      <c r="G20" s="19"/>
      <c r="H20" s="19"/>
      <c r="I20" s="19"/>
      <c r="M20" s="2"/>
    </row>
    <row r="21" spans="1:13" ht="19.5" thickTop="1" thickBot="1" x14ac:dyDescent="0.3">
      <c r="A21" s="4" t="s">
        <v>13</v>
      </c>
      <c r="B21" s="86"/>
      <c r="D21" s="65" t="s">
        <v>77</v>
      </c>
      <c r="E21" s="14"/>
      <c r="F21" s="63">
        <f>F6/$F$22</f>
        <v>1046.1360090497765</v>
      </c>
      <c r="G21" s="63">
        <f>G6/$F$22</f>
        <v>104.61360090497763</v>
      </c>
      <c r="H21" s="23">
        <f>H6/$F$22</f>
        <v>10.461360090497763</v>
      </c>
      <c r="I21" s="19"/>
      <c r="M21" s="2"/>
    </row>
    <row r="22" spans="1:13" ht="19.5" thickTop="1" thickBot="1" x14ac:dyDescent="0.3">
      <c r="A22" s="91" t="s">
        <v>79</v>
      </c>
      <c r="B22" s="87"/>
      <c r="D22" s="65" t="s">
        <v>83</v>
      </c>
      <c r="E22" s="14"/>
      <c r="F22" s="63">
        <v>11.470783814142685</v>
      </c>
      <c r="G22" s="63"/>
      <c r="H22" s="23"/>
      <c r="I22" s="19"/>
      <c r="M22" s="2"/>
    </row>
    <row r="23" spans="1:13" ht="19.5" thickTop="1" thickBot="1" x14ac:dyDescent="0.3">
      <c r="A23" s="84" t="s">
        <v>85</v>
      </c>
      <c r="B23" s="87"/>
      <c r="D23" s="99" t="s">
        <v>78</v>
      </c>
      <c r="E23" s="3"/>
      <c r="F23" s="100">
        <v>1</v>
      </c>
      <c r="G23" s="100">
        <v>2</v>
      </c>
      <c r="H23" s="101">
        <v>5</v>
      </c>
      <c r="I23" s="19"/>
      <c r="M23" s="2"/>
    </row>
    <row r="24" spans="1:13" ht="19.5" thickTop="1" thickBot="1" x14ac:dyDescent="0.3">
      <c r="A24" s="85"/>
      <c r="B24" s="88"/>
      <c r="D24" s="19"/>
      <c r="E24" s="18"/>
      <c r="F24" s="19"/>
      <c r="G24" s="19"/>
      <c r="H24" s="19"/>
      <c r="I24" s="19"/>
      <c r="M24" s="2"/>
    </row>
    <row r="25" spans="1:13" x14ac:dyDescent="0.25">
      <c r="A25" s="97" t="s">
        <v>80</v>
      </c>
      <c r="D25" s="19"/>
      <c r="E25" s="18"/>
      <c r="F25" s="19"/>
      <c r="G25" s="19"/>
      <c r="H25" s="19"/>
      <c r="I25" s="19"/>
      <c r="M25" s="2"/>
    </row>
    <row r="26" spans="1:13" ht="18.75" thickBot="1" x14ac:dyDescent="0.3">
      <c r="A26" s="97"/>
      <c r="D26" s="19"/>
      <c r="E26" s="18"/>
      <c r="F26" s="19"/>
      <c r="G26" s="19"/>
      <c r="H26" s="19"/>
      <c r="I26" s="19"/>
      <c r="M26" s="2"/>
    </row>
    <row r="27" spans="1:13" ht="19.5" thickTop="1" thickBot="1" x14ac:dyDescent="0.3">
      <c r="A27" s="4" t="s">
        <v>86</v>
      </c>
      <c r="B27" s="6"/>
      <c r="D27" s="65" t="s">
        <v>55</v>
      </c>
      <c r="E27" s="14"/>
      <c r="F27" s="23">
        <f>F10*F22/F23+F8*F6*F23/(2*F22)</f>
        <v>63777.5842666315</v>
      </c>
      <c r="G27" s="22">
        <f>G10*$F$22/G23+G8*G6*G23/(2*F22)</f>
        <v>16196.751997569107</v>
      </c>
      <c r="H27" s="23">
        <f>H10*F22/H23+H8*H6*H23/(2*F22)</f>
        <v>4909.4967854529777</v>
      </c>
      <c r="I27" s="19"/>
      <c r="M27" s="2"/>
    </row>
    <row r="28" spans="1:13" ht="19.5" thickTop="1" thickBot="1" x14ac:dyDescent="0.3">
      <c r="A28" s="9" t="s">
        <v>55</v>
      </c>
      <c r="B28" s="10"/>
      <c r="D28" s="102" t="s">
        <v>84</v>
      </c>
      <c r="E28" s="14"/>
      <c r="F28" s="63">
        <f>SUM(F27:H27)+F22*G9</f>
        <v>130766.96830622433</v>
      </c>
      <c r="G28" s="63"/>
      <c r="H28" s="23"/>
      <c r="I28" s="19"/>
      <c r="M28" s="2"/>
    </row>
    <row r="29" spans="1:13" ht="19.5" thickTop="1" thickBot="1" x14ac:dyDescent="0.3">
      <c r="D29" s="65" t="s">
        <v>81</v>
      </c>
      <c r="E29" s="14"/>
      <c r="F29" s="98">
        <f>F27+F7*F6</f>
        <v>6063777.5842666319</v>
      </c>
      <c r="G29" s="23">
        <f>G27+G7*G6</f>
        <v>616196.75199756911</v>
      </c>
      <c r="H29" s="23">
        <f>H27+H7*H6</f>
        <v>64909.496785452975</v>
      </c>
      <c r="I29" s="19"/>
      <c r="M29" s="2"/>
    </row>
    <row r="30" spans="1:13" ht="19.5" thickTop="1" thickBot="1" x14ac:dyDescent="0.3">
      <c r="D30" s="99" t="s">
        <v>82</v>
      </c>
      <c r="E30" s="3"/>
      <c r="F30" s="103">
        <f>SUM(F29:H29)</f>
        <v>6744883.8330496531</v>
      </c>
      <c r="G30" s="100"/>
      <c r="H30" s="101"/>
      <c r="I30" s="19"/>
      <c r="M30" s="2"/>
    </row>
    <row r="31" spans="1:13" ht="18.75" thickTop="1" x14ac:dyDescent="0.25">
      <c r="D31" s="19"/>
      <c r="E31" s="18"/>
      <c r="F31" s="19"/>
      <c r="G31" s="19"/>
      <c r="H31" s="19"/>
      <c r="I31" s="19"/>
      <c r="M31" s="2"/>
    </row>
    <row r="32" spans="1:13" x14ac:dyDescent="0.25">
      <c r="D32" s="19"/>
      <c r="E32" s="18"/>
      <c r="F32" s="19"/>
      <c r="G32" s="19"/>
      <c r="H32" s="19"/>
      <c r="I32" s="19"/>
      <c r="M32" s="2"/>
    </row>
    <row r="33" spans="1:15" x14ac:dyDescent="0.25">
      <c r="D33" s="19"/>
      <c r="E33" s="18"/>
      <c r="F33" s="19"/>
      <c r="G33" s="19"/>
      <c r="H33" s="19"/>
      <c r="I33" s="19"/>
      <c r="M33" s="2"/>
    </row>
    <row r="34" spans="1:15" x14ac:dyDescent="0.25">
      <c r="D34" s="19"/>
      <c r="E34" s="18"/>
      <c r="F34" s="19"/>
      <c r="G34" s="19"/>
      <c r="H34" s="19"/>
      <c r="I34" s="19"/>
      <c r="M34" s="2"/>
    </row>
    <row r="35" spans="1:15" x14ac:dyDescent="0.25">
      <c r="D35" s="19"/>
      <c r="E35" s="18"/>
      <c r="F35" s="19"/>
      <c r="G35" s="19"/>
      <c r="H35" s="19"/>
      <c r="I35" s="19"/>
      <c r="M35" s="2"/>
      <c r="O35" t="s">
        <v>88</v>
      </c>
    </row>
    <row r="36" spans="1:15" x14ac:dyDescent="0.25">
      <c r="D36" s="19"/>
      <c r="E36" s="18"/>
      <c r="F36" s="19"/>
      <c r="G36" s="19"/>
      <c r="H36" s="19"/>
      <c r="I36" s="19"/>
      <c r="M36" s="2"/>
    </row>
    <row r="37" spans="1:15" ht="18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</row>
    <row r="38" spans="1:15" ht="18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4.1) Multi-item with constraint</vt:lpstr>
      <vt:lpstr>Total number of orders (N)</vt:lpstr>
      <vt:lpstr>Space (W)</vt:lpstr>
      <vt:lpstr>Limitation of Budget (B)</vt:lpstr>
      <vt:lpstr>4.2 Multi-item with delivery op</vt:lpstr>
      <vt:lpstr>No Aggregation</vt:lpstr>
      <vt:lpstr>Complete Aggregation</vt:lpstr>
      <vt:lpstr>Tailored Aggregation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Kampcom</dc:creator>
  <cp:lastModifiedBy>Kampcom</cp:lastModifiedBy>
  <dcterms:created xsi:type="dcterms:W3CDTF">2021-04-02T02:51:17Z</dcterms:created>
  <dcterms:modified xsi:type="dcterms:W3CDTF">2021-05-01T14:59:56Z</dcterms:modified>
</cp:coreProperties>
</file>