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wallyf\Desktop\Cicoti\BAT\"/>
    </mc:Choice>
  </mc:AlternateContent>
  <xr:revisionPtr revIDLastSave="0" documentId="8_{F159ADD9-219E-4B5B-81DD-D18C323782CE}" xr6:coauthVersionLast="40" xr6:coauthVersionMax="40" xr10:uidLastSave="{00000000-0000-0000-0000-000000000000}"/>
  <bookViews>
    <workbookView xWindow="0" yWindow="0" windowWidth="19200" windowHeight="7305" tabRatio="848" activeTab="3" xr2:uid="{00000000-000D-0000-FFFF-FFFF00000000}"/>
  </bookViews>
  <sheets>
    <sheet name="Metrics - May actuals" sheetId="5" r:id="rId1"/>
    <sheet name="Metrics - Budget" sheetId="6" state="hidden" r:id="rId2"/>
    <sheet name="Swaziland" sheetId="2" state="hidden" r:id="rId3"/>
    <sheet name="Mozambique" sheetId="1" r:id="rId4"/>
    <sheet name="Malawi" sheetId="3" state="hidden" r:id="rId5"/>
    <sheet name="Namibia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5" l="1"/>
  <c r="F56" i="5"/>
  <c r="E56" i="5"/>
  <c r="D56" i="5"/>
  <c r="C56" i="5"/>
  <c r="I39" i="5"/>
  <c r="F34" i="5"/>
  <c r="F35" i="5"/>
  <c r="F42" i="5" s="1"/>
  <c r="F54" i="5" l="1"/>
  <c r="F55" i="5" s="1"/>
  <c r="G33" i="5"/>
  <c r="F33" i="5"/>
  <c r="E33" i="5"/>
  <c r="D33" i="5"/>
  <c r="G61" i="5"/>
  <c r="F61" i="5"/>
  <c r="E61" i="5"/>
  <c r="D61" i="5"/>
  <c r="C61" i="5"/>
  <c r="G59" i="5"/>
  <c r="F59" i="5"/>
  <c r="E59" i="5"/>
  <c r="D59" i="5"/>
  <c r="C59" i="5"/>
  <c r="G47" i="5"/>
  <c r="G58" i="5" s="1"/>
  <c r="F47" i="5"/>
  <c r="F58" i="5" s="1"/>
  <c r="E47" i="5"/>
  <c r="E58" i="5" s="1"/>
  <c r="D47" i="5"/>
  <c r="D58" i="5" s="1"/>
  <c r="F37" i="5"/>
  <c r="F38" i="5" s="1"/>
  <c r="C33" i="5"/>
  <c r="C47" i="5"/>
  <c r="F36" i="5"/>
  <c r="I47" i="5" l="1"/>
  <c r="I50" i="5" s="1"/>
  <c r="C58" i="5"/>
  <c r="G31" i="5"/>
  <c r="F31" i="5"/>
  <c r="E31" i="5"/>
  <c r="D31" i="5"/>
  <c r="C31" i="5"/>
  <c r="I29" i="5"/>
  <c r="I31" i="5" l="1"/>
  <c r="I30" i="5" s="1"/>
  <c r="F57" i="5"/>
  <c r="F60" i="5"/>
  <c r="F62" i="5" s="1"/>
  <c r="G60" i="5"/>
  <c r="G62" i="5" s="1"/>
  <c r="F18" i="5"/>
  <c r="C5" i="4" l="1"/>
  <c r="C4" i="1" l="1"/>
  <c r="C7" i="6" s="1"/>
  <c r="C5" i="1"/>
  <c r="C6" i="6" s="1"/>
  <c r="F14" i="5"/>
  <c r="F16" i="5" s="1"/>
  <c r="G7" i="5"/>
  <c r="G6" i="5"/>
  <c r="E27" i="5"/>
  <c r="G18" i="5" l="1"/>
  <c r="G35" i="5"/>
  <c r="G34" i="5"/>
  <c r="G14" i="5"/>
  <c r="G16" i="5" s="1"/>
  <c r="G37" i="5"/>
  <c r="F10" i="5"/>
  <c r="G42" i="5" l="1"/>
  <c r="G36" i="5"/>
  <c r="G38" i="5"/>
  <c r="G26" i="5"/>
  <c r="G54" i="5" l="1"/>
  <c r="G55" i="5" s="1"/>
  <c r="G57" i="5" s="1"/>
  <c r="G11" i="6"/>
  <c r="G9" i="6" s="1"/>
  <c r="G7" i="6"/>
  <c r="G25" i="6" s="1"/>
  <c r="G6" i="6"/>
  <c r="G22" i="6" s="1"/>
  <c r="D7" i="6"/>
  <c r="D6" i="6"/>
  <c r="D22" i="6" s="1"/>
  <c r="C22" i="6"/>
  <c r="F22" i="6"/>
  <c r="E20" i="6"/>
  <c r="D20" i="6"/>
  <c r="E19" i="6"/>
  <c r="D19" i="6"/>
  <c r="D18" i="6"/>
  <c r="C18" i="6"/>
  <c r="C17" i="6"/>
  <c r="I17" i="6" s="1"/>
  <c r="D16" i="6"/>
  <c r="C16" i="6"/>
  <c r="E15" i="6"/>
  <c r="D15" i="6"/>
  <c r="C15" i="6"/>
  <c r="E14" i="6"/>
  <c r="D14" i="6"/>
  <c r="C14" i="6"/>
  <c r="F11" i="6"/>
  <c r="F25" i="6" s="1"/>
  <c r="E11" i="6"/>
  <c r="E9" i="6" s="1"/>
  <c r="D11" i="6"/>
  <c r="D9" i="6" s="1"/>
  <c r="C11" i="6"/>
  <c r="C9" i="6" s="1"/>
  <c r="F10" i="6"/>
  <c r="F9" i="6" s="1"/>
  <c r="F12" i="6" s="1"/>
  <c r="F8" i="6"/>
  <c r="E7" i="6"/>
  <c r="G11" i="5"/>
  <c r="G44" i="5" s="1"/>
  <c r="F11" i="5"/>
  <c r="F44" i="5" s="1"/>
  <c r="E11" i="5"/>
  <c r="E44" i="5" s="1"/>
  <c r="D11" i="5"/>
  <c r="D44" i="5" s="1"/>
  <c r="C11" i="5"/>
  <c r="I19" i="6" l="1"/>
  <c r="C44" i="5"/>
  <c r="C9" i="5"/>
  <c r="I16" i="6"/>
  <c r="I18" i="6"/>
  <c r="F46" i="5"/>
  <c r="F43" i="5"/>
  <c r="F45" i="5"/>
  <c r="F49" i="5"/>
  <c r="F51" i="5" s="1"/>
  <c r="C46" i="5"/>
  <c r="C49" i="5"/>
  <c r="C51" i="5" s="1"/>
  <c r="E46" i="5"/>
  <c r="E49" i="5"/>
  <c r="E51" i="5" s="1"/>
  <c r="C25" i="6"/>
  <c r="G46" i="5"/>
  <c r="G49" i="5"/>
  <c r="G51" i="5" s="1"/>
  <c r="G45" i="5"/>
  <c r="D46" i="5"/>
  <c r="D49" i="5"/>
  <c r="D51" i="5" s="1"/>
  <c r="I15" i="6"/>
  <c r="E25" i="6"/>
  <c r="G43" i="5"/>
  <c r="D8" i="6"/>
  <c r="D25" i="6"/>
  <c r="I10" i="6"/>
  <c r="I14" i="6"/>
  <c r="G8" i="6"/>
  <c r="G23" i="6"/>
  <c r="G12" i="6"/>
  <c r="I7" i="6"/>
  <c r="D23" i="6"/>
  <c r="C12" i="6"/>
  <c r="C23" i="6"/>
  <c r="I9" i="6"/>
  <c r="E12" i="6"/>
  <c r="D12" i="6"/>
  <c r="C8" i="6"/>
  <c r="I11" i="6"/>
  <c r="F23" i="6"/>
  <c r="I51" i="5" l="1"/>
  <c r="I12" i="6"/>
  <c r="G9" i="5" l="1"/>
  <c r="G12" i="5" s="1"/>
  <c r="G8" i="5"/>
  <c r="G15" i="5" l="1"/>
  <c r="I11" i="5"/>
  <c r="F9" i="5"/>
  <c r="F15" i="5" s="1"/>
  <c r="F8" i="5"/>
  <c r="I10" i="5" l="1"/>
  <c r="F12" i="5"/>
  <c r="E9" i="5"/>
  <c r="D9" i="5"/>
  <c r="I9" i="5" l="1"/>
  <c r="D27" i="5"/>
  <c r="D26" i="5" l="1"/>
  <c r="G25" i="5"/>
  <c r="D25" i="5"/>
  <c r="C25" i="5"/>
  <c r="C24" i="5"/>
  <c r="I24" i="5" s="1"/>
  <c r="G22" i="5"/>
  <c r="G21" i="5"/>
  <c r="E22" i="5"/>
  <c r="E21" i="5"/>
  <c r="C23" i="5"/>
  <c r="D23" i="5"/>
  <c r="D22" i="5"/>
  <c r="D21" i="5"/>
  <c r="C22" i="5"/>
  <c r="C21" i="5"/>
  <c r="E7" i="5"/>
  <c r="D7" i="5"/>
  <c r="C7" i="5"/>
  <c r="D6" i="5"/>
  <c r="D37" i="5" s="1"/>
  <c r="C6" i="5"/>
  <c r="C37" i="5" l="1"/>
  <c r="C14" i="5"/>
  <c r="D35" i="5"/>
  <c r="D42" i="5" s="1"/>
  <c r="D34" i="5"/>
  <c r="E35" i="5"/>
  <c r="E42" i="5" s="1"/>
  <c r="E34" i="5"/>
  <c r="E36" i="5" s="1"/>
  <c r="C34" i="5"/>
  <c r="C35" i="5"/>
  <c r="C36" i="5" s="1"/>
  <c r="D18" i="5"/>
  <c r="E12" i="5"/>
  <c r="E18" i="5"/>
  <c r="C12" i="5"/>
  <c r="C18" i="5"/>
  <c r="D14" i="5"/>
  <c r="D15" i="5" s="1"/>
  <c r="D12" i="5"/>
  <c r="I23" i="5"/>
  <c r="I25" i="5"/>
  <c r="I7" i="5"/>
  <c r="I26" i="5"/>
  <c r="I21" i="5"/>
  <c r="I22" i="5"/>
  <c r="D8" i="5"/>
  <c r="C8" i="5"/>
  <c r="D5" i="2"/>
  <c r="D36" i="5" l="1"/>
  <c r="E43" i="5"/>
  <c r="E54" i="5"/>
  <c r="E55" i="5" s="1"/>
  <c r="E57" i="5" s="1"/>
  <c r="D43" i="5"/>
  <c r="D45" i="5" s="1"/>
  <c r="D54" i="5"/>
  <c r="D55" i="5" s="1"/>
  <c r="D38" i="5"/>
  <c r="E60" i="5"/>
  <c r="E62" i="5" s="1"/>
  <c r="E45" i="5"/>
  <c r="C42" i="5"/>
  <c r="C54" i="5" s="1"/>
  <c r="C55" i="5" s="1"/>
  <c r="I35" i="5"/>
  <c r="C38" i="5"/>
  <c r="I58" i="5"/>
  <c r="I61" i="5" s="1"/>
  <c r="I34" i="5"/>
  <c r="I36" i="5" s="1"/>
  <c r="C16" i="5"/>
  <c r="I12" i="5"/>
  <c r="I18" i="5"/>
  <c r="D16" i="5"/>
  <c r="C15" i="5"/>
  <c r="C5" i="2"/>
  <c r="C4" i="3"/>
  <c r="C5" i="3"/>
  <c r="D5" i="1"/>
  <c r="D4" i="1"/>
  <c r="I54" i="5" l="1"/>
  <c r="E6" i="6"/>
  <c r="E6" i="5"/>
  <c r="C43" i="5"/>
  <c r="I42" i="5"/>
  <c r="D60" i="5"/>
  <c r="D62" i="5" s="1"/>
  <c r="D57" i="5"/>
  <c r="E37" i="5" l="1"/>
  <c r="E8" i="5"/>
  <c r="E14" i="5"/>
  <c r="I6" i="5"/>
  <c r="E22" i="6"/>
  <c r="E23" i="6" s="1"/>
  <c r="I6" i="6"/>
  <c r="E8" i="6"/>
  <c r="I43" i="5"/>
  <c r="I44" i="5" s="1"/>
  <c r="I46" i="5" s="1"/>
  <c r="C45" i="5"/>
  <c r="E16" i="5" l="1"/>
  <c r="I14" i="5"/>
  <c r="E15" i="5"/>
  <c r="E38" i="5"/>
  <c r="I37" i="5"/>
  <c r="I38" i="5" s="1"/>
  <c r="C57" i="5"/>
  <c r="I45" i="5"/>
  <c r="I49" i="5"/>
  <c r="I48" i="5" s="1"/>
  <c r="C60" i="5"/>
  <c r="C62" i="5" s="1"/>
  <c r="I62" i="5" s="1"/>
  <c r="I55" i="5"/>
  <c r="I56" i="5" s="1"/>
  <c r="I15" i="5" l="1"/>
  <c r="I16" i="5"/>
  <c r="I60" i="5"/>
  <c r="I59" i="5" s="1"/>
  <c r="I5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Christiaan C. Mulder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Christiaan Mulder:</t>
        </r>
        <r>
          <rPr>
            <sz val="9"/>
            <color indexed="81"/>
            <rFont val="Tahoma"/>
            <family val="2"/>
          </rPr>
          <t xml:space="preserve">
Reduced from 388m (2014) to 250m </t>
        </r>
      </text>
    </comment>
    <comment ref="I3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Due to the model applied Imperial is seen as a principal and not agent. Therefore revenue is to be recognised in our books. </t>
        </r>
      </text>
    </comment>
    <comment ref="I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Figures above already adjusted for actual P4P incentive achieved</t>
        </r>
      </text>
    </comment>
    <comment ref="C5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Hyperion reflects 2.33% due to USD debt blend. Hurdle rate = better indicator</t>
        </r>
      </text>
    </comment>
    <comment ref="D5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Hyperion shows 25,77% due to excess cash kept in Namibia for acquisition. Use hurdle rate </t>
        </r>
      </text>
    </comment>
    <comment ref="E50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Wacc in company = 7.22%. We prefer the hurdle rate as it is more conservative. Better reflection of business risk</t>
        </r>
      </text>
    </comment>
    <comment ref="F5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Hyperiod reflects 7.14%, We prefer the hurdle rate as it is more conservative. Better reflection of business risk</t>
        </r>
      </text>
    </comment>
    <comment ref="G5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Christiaan Mulder:</t>
        </r>
        <r>
          <rPr>
            <sz val="9"/>
            <color indexed="81"/>
            <rFont val="Tahoma"/>
            <charset val="1"/>
          </rPr>
          <t xml:space="preserve">
Actual WACC</t>
        </r>
      </text>
    </comment>
  </commentList>
</comments>
</file>

<file path=xl/sharedStrings.xml><?xml version="1.0" encoding="utf-8"?>
<sst xmlns="http://schemas.openxmlformats.org/spreadsheetml/2006/main" count="199" uniqueCount="103">
  <si>
    <t xml:space="preserve">Country : </t>
  </si>
  <si>
    <t xml:space="preserve">Mozambique </t>
  </si>
  <si>
    <t>Year on year growth</t>
  </si>
  <si>
    <t>Revenue - Value</t>
  </si>
  <si>
    <t>Sales - sticks</t>
  </si>
  <si>
    <t>Problems experienced</t>
  </si>
  <si>
    <t>Opportunities</t>
  </si>
  <si>
    <t xml:space="preserve">Other comments: </t>
  </si>
  <si>
    <t>YTD May 2017</t>
  </si>
  <si>
    <t>YTD May 2016</t>
  </si>
  <si>
    <t>(Exchange rate assumed at 5)</t>
  </si>
  <si>
    <t xml:space="preserve">Reason for shortfall : Volumes in the south down significantly </t>
  </si>
  <si>
    <t xml:space="preserve">Alex has approved to put BIC on the cash-vans </t>
  </si>
  <si>
    <t>Number of efficiencies available due to new handheld project</t>
  </si>
  <si>
    <t>(e.g. Accurate strike rate analysis, customer universe management, route efficencies, admin efficiencies)</t>
  </si>
  <si>
    <t xml:space="preserve">Norththern region is growing with 20% </t>
  </si>
  <si>
    <t xml:space="preserve">Status of negitiations: </t>
  </si>
  <si>
    <t xml:space="preserve">MD (Bertus) in negotiations with cluster head (Alex) </t>
  </si>
  <si>
    <t>Interest cost on financed assets to be recovered</t>
  </si>
  <si>
    <t xml:space="preserve">A revised ROI for the Mozambican business has been agreed. Number being negotiated </t>
  </si>
  <si>
    <t>Revised P4P KPI's in order to be more achievable</t>
  </si>
  <si>
    <t>Swaziland</t>
  </si>
  <si>
    <t>None</t>
  </si>
  <si>
    <t>Market conditions stable, no significant volume increases or decreases expected</t>
  </si>
  <si>
    <t>Looking at shared cost for dedicated vehicles by including alternative SKU's</t>
  </si>
  <si>
    <t xml:space="preserve">Bertus to enter into negotiations. </t>
  </si>
  <si>
    <t>New area manager (Adam) introduction done in May</t>
  </si>
  <si>
    <t>Malawi</t>
  </si>
  <si>
    <t>P4P achievement is too low. To renegotiate the KPI's (Mainly volume targets)</t>
  </si>
  <si>
    <t>Exise duty parity now between BAT and local producers from 1 July</t>
  </si>
  <si>
    <t>(This should result in price parity and will ensure that there is volume growth)</t>
  </si>
  <si>
    <t>Volume negotiations set for the week of the 5th of June (MD and country manager)</t>
  </si>
  <si>
    <t xml:space="preserve">Key accounts still not serviced by Warpack. </t>
  </si>
  <si>
    <t xml:space="preserve">Tooling: </t>
  </si>
  <si>
    <t xml:space="preserve">Depots: </t>
  </si>
  <si>
    <t>Cashvans:</t>
  </si>
  <si>
    <t>(Exchange rate assumed at 54)</t>
  </si>
  <si>
    <t>Delivery trucks</t>
  </si>
  <si>
    <t>Motorcycles</t>
  </si>
  <si>
    <t xml:space="preserve"> (7 months)</t>
  </si>
  <si>
    <t xml:space="preserve">12 month period   </t>
  </si>
  <si>
    <t>to May 2017</t>
  </si>
  <si>
    <t>to May 2016</t>
  </si>
  <si>
    <t>Namibia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</si>
  <si>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CIC business receives limited support from BAT, they are cutting enablers which could be deployed to exploit volume growth opportunities in Namibia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</si>
  <si>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This is a low margin business for CIC Namibia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</si>
  <si>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BAT portfolio is outpriced in the value category, bleeding sales to cheaper options in a high pressure economic environment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</si>
  <si>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Develop route to market initiatives with the support of BAT Namibia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</si>
  <si>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Get support from BAT to limit the impact of illicit trade on the Namibian market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</si>
  <si>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Conclude the BAT and CIC agreement for next term</t>
    </r>
  </si>
  <si>
    <t xml:space="preserve">This is currently in progress, the outcome is still unknown </t>
  </si>
  <si>
    <t xml:space="preserve">Motorcycles: </t>
  </si>
  <si>
    <t>Contract tenure</t>
  </si>
  <si>
    <t>Tenure</t>
  </si>
  <si>
    <t>Motor cycles</t>
  </si>
  <si>
    <t>??</t>
  </si>
  <si>
    <t>BAT metrics overview</t>
  </si>
  <si>
    <t>Country</t>
  </si>
  <si>
    <t>Mozambique</t>
  </si>
  <si>
    <t>Revenue</t>
  </si>
  <si>
    <t>Revenue per stick</t>
  </si>
  <si>
    <t>Depots</t>
  </si>
  <si>
    <t>Cashvans</t>
  </si>
  <si>
    <t>Motorcycle</t>
  </si>
  <si>
    <t>Customers serviced</t>
  </si>
  <si>
    <t>Total</t>
  </si>
  <si>
    <t>25+</t>
  </si>
  <si>
    <t>Routes</t>
  </si>
  <si>
    <t>Routes serviced</t>
  </si>
  <si>
    <t>Volumes (in sticks)</t>
  </si>
  <si>
    <t>Overhead recovery</t>
  </si>
  <si>
    <t>Distribution cost</t>
  </si>
  <si>
    <t>P4P</t>
  </si>
  <si>
    <t>Botswana</t>
  </si>
  <si>
    <t>Normalised</t>
  </si>
  <si>
    <t>10+</t>
  </si>
  <si>
    <t>Cases moved</t>
  </si>
  <si>
    <t>Cost per case moved</t>
  </si>
  <si>
    <t>Cost to serve</t>
  </si>
  <si>
    <t>(Over 12 month period ALL amounts in ZAR)</t>
  </si>
  <si>
    <t>Ave Selling price per case</t>
  </si>
  <si>
    <t>BAT benchmark overview</t>
  </si>
  <si>
    <t xml:space="preserve">BAT  revenue vs total basket </t>
  </si>
  <si>
    <t>Investment in tools</t>
  </si>
  <si>
    <t>Cost of in country funding</t>
  </si>
  <si>
    <t>Finance cost</t>
  </si>
  <si>
    <t>Imperial Revenue</t>
  </si>
  <si>
    <t>IL Revenue % of Product</t>
  </si>
  <si>
    <t>Expenses</t>
  </si>
  <si>
    <t>PBIT</t>
  </si>
  <si>
    <t>Margin %</t>
  </si>
  <si>
    <t>Invested Capital</t>
  </si>
  <si>
    <t>ROIC%</t>
  </si>
  <si>
    <t>For Facts above</t>
  </si>
  <si>
    <t>Tax rate in country</t>
  </si>
  <si>
    <t>Million of Sticks Sold</t>
  </si>
  <si>
    <t>IL Revenue / Million Sticks</t>
  </si>
  <si>
    <t>With % of P4P</t>
  </si>
  <si>
    <t>WACC%</t>
  </si>
  <si>
    <t>Economic Profit</t>
  </si>
  <si>
    <t>BAT sales into Imperial</t>
  </si>
  <si>
    <t>100% of P4P</t>
  </si>
  <si>
    <t>P4P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</si>
</sst>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R&quot;#,##0;\-&quot;R&quot;#,##0"/>
    <numFmt numFmtId="7" formatCode="&quot;R&quot;#,##0.00;\-&quot;R&quot;#,##0.00"/>
    <numFmt numFmtId="43" formatCode="_-* #,##0.00_-;\-* #,##0.00_-;_-* &quot;-&quot;??_-;_-@_-"/>
    <numFmt numFmtId="164" formatCode="_-* #,##0_-;\-* #,##0_-;_-* &quot;-&quot;??_-;_-@_-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ABE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43" fontId="0" fillId="0" borderId="0" xfId="1" applyFo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5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64" fontId="0" fillId="0" borderId="2" xfId="1" applyNumberFormat="1" applyFont="1" applyBorder="1"/>
    <xf numFmtId="164" fontId="0" fillId="0" borderId="3" xfId="1" applyNumberFormat="1" applyFont="1" applyBorder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horizontal="right"/>
    </xf>
    <xf numFmtId="0" fontId="10" fillId="0" borderId="0" xfId="0" applyFont="1"/>
    <xf numFmtId="164" fontId="3" fillId="0" borderId="0" xfId="1" applyNumberFormat="1" applyFont="1"/>
    <xf numFmtId="165" fontId="3" fillId="0" borderId="0" xfId="2" applyNumberFormat="1" applyFont="1"/>
    <xf numFmtId="164" fontId="1" fillId="0" borderId="0" xfId="1" applyNumberFormat="1" applyFont="1"/>
    <xf numFmtId="5" fontId="0" fillId="0" borderId="0" xfId="0" applyNumberFormat="1"/>
    <xf numFmtId="9" fontId="0" fillId="0" borderId="0" xfId="0" applyNumberFormat="1"/>
    <xf numFmtId="10" fontId="0" fillId="0" borderId="0" xfId="0" applyNumberFormat="1"/>
    <xf numFmtId="7" fontId="0" fillId="0" borderId="0" xfId="0" applyNumberFormat="1"/>
    <xf numFmtId="165" fontId="0" fillId="3" borderId="0" xfId="2" applyNumberFormat="1" applyFont="1" applyFill="1"/>
    <xf numFmtId="0" fontId="3" fillId="0" borderId="0" xfId="0" applyFont="1" applyAlignment="1">
      <alignment horizontal="center"/>
    </xf>
    <xf numFmtId="9" fontId="0" fillId="3" borderId="0" xfId="2" applyFont="1" applyFill="1"/>
    <xf numFmtId="165" fontId="0" fillId="0" borderId="0" xfId="2" applyNumberFormat="1" applyFont="1" applyFill="1"/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2"/>
  <sheetViews>
    <sheetView zoomScale="90" zoomScaleNormal="90" workbookViewId="0">
      <selection activeCell="C6" sqref="C6"/>
    </sheetView>
  </sheetViews>
  <sheetFormatPr defaultRowHeight="14.25" x14ac:dyDescent="0.45"/>
  <cols>
    <col min="1" max="1" width="1.53125" customWidth="1"/>
    <col min="2" max="2" width="24.53125" customWidth="1"/>
    <col min="3" max="7" width="14.53125" customWidth="1"/>
    <col min="8" max="8" width="0.53125" customWidth="1"/>
    <col min="9" max="9" width="15" bestFit="1" customWidth="1"/>
    <col min="10" max="10" width="0.53125" customWidth="1"/>
    <col min="12" max="12" width="16.19921875" bestFit="1" customWidth="1"/>
    <col min="13" max="13" width="14.53125" bestFit="1" customWidth="1"/>
  </cols>
  <sheetData>
    <row r="2" spans="2:13" ht="18" x14ac:dyDescent="0.45">
      <c r="B2" s="28" t="s">
        <v>81</v>
      </c>
      <c r="C2" s="29"/>
    </row>
    <row r="3" spans="2:13" ht="16.899999999999999" x14ac:dyDescent="0.45">
      <c r="B3" s="16" t="s">
        <v>79</v>
      </c>
      <c r="G3" s="6" t="s">
        <v>27</v>
      </c>
    </row>
    <row r="4" spans="2:13" ht="16.899999999999999" x14ac:dyDescent="0.45">
      <c r="B4" s="6" t="s">
        <v>57</v>
      </c>
      <c r="C4" s="6" t="s">
        <v>58</v>
      </c>
      <c r="D4" s="6" t="s">
        <v>43</v>
      </c>
      <c r="E4" s="6" t="s">
        <v>21</v>
      </c>
      <c r="F4" s="6" t="s">
        <v>73</v>
      </c>
      <c r="G4" s="6" t="s">
        <v>74</v>
      </c>
      <c r="I4" s="6" t="s">
        <v>65</v>
      </c>
    </row>
    <row r="5" spans="2:13" ht="3" customHeight="1" x14ac:dyDescent="0.45"/>
    <row r="6" spans="2:13" x14ac:dyDescent="0.45">
      <c r="B6" t="s">
        <v>69</v>
      </c>
      <c r="C6" s="2">
        <f>Mozambique!C5</f>
        <v>2190147000</v>
      </c>
      <c r="D6" s="2">
        <f>Namibia!C5</f>
        <v>256691634</v>
      </c>
      <c r="E6" s="2">
        <f>Swaziland!C5</f>
        <v>56822800</v>
      </c>
      <c r="F6" s="2">
        <v>207622000</v>
      </c>
      <c r="G6" s="2">
        <f>13703400*12</f>
        <v>164440800</v>
      </c>
      <c r="I6" s="2">
        <f>SUM(C6:H6)</f>
        <v>2875724234</v>
      </c>
      <c r="M6" s="13"/>
    </row>
    <row r="7" spans="2:13" x14ac:dyDescent="0.45">
      <c r="B7" t="s">
        <v>59</v>
      </c>
      <c r="C7" s="8">
        <f>Mozambique!C4</f>
        <v>704031871</v>
      </c>
      <c r="D7" s="8">
        <f>Namibia!C4</f>
        <v>347649552</v>
      </c>
      <c r="E7" s="8">
        <f>Swaziland!C4</f>
        <v>83733431</v>
      </c>
      <c r="F7" s="8">
        <v>317575625</v>
      </c>
      <c r="G7" s="8">
        <f>369336000*12/56</f>
        <v>79143428.571428567</v>
      </c>
      <c r="I7" s="8">
        <f>SUM(C7:H7)</f>
        <v>1532133907.5714285</v>
      </c>
      <c r="M7" s="13"/>
    </row>
    <row r="8" spans="2:13" x14ac:dyDescent="0.45">
      <c r="B8" t="s">
        <v>60</v>
      </c>
      <c r="C8" s="5">
        <f>C7/C6</f>
        <v>0.32145416312238401</v>
      </c>
      <c r="D8" s="5">
        <f>D7/D6</f>
        <v>1.3543470294789584</v>
      </c>
      <c r="E8" s="5">
        <f>E7/E6</f>
        <v>1.4735886123175908</v>
      </c>
      <c r="F8" s="5">
        <f>F7/F6</f>
        <v>1.5295856171311326</v>
      </c>
      <c r="G8" s="5">
        <f>G7/G6</f>
        <v>0.48128827256634954</v>
      </c>
      <c r="I8" s="5"/>
      <c r="M8" s="13"/>
    </row>
    <row r="9" spans="2:13" x14ac:dyDescent="0.45">
      <c r="B9" t="s">
        <v>71</v>
      </c>
      <c r="C9" s="2">
        <f>SUM(C10:C11)</f>
        <v>43137992.585895099</v>
      </c>
      <c r="D9" s="2">
        <f t="shared" ref="D9:F9" si="0">SUM(D10:D11)</f>
        <v>21240479.5</v>
      </c>
      <c r="E9" s="2">
        <f t="shared" si="0"/>
        <v>3181314.625</v>
      </c>
      <c r="F9" s="2">
        <f t="shared" si="0"/>
        <v>18191806.588829372</v>
      </c>
      <c r="G9" s="2">
        <f t="shared" ref="G9" si="1">SUM(G10:G11)</f>
        <v>9104648.2142857164</v>
      </c>
      <c r="I9" s="2">
        <f>SUM(C9:G9)</f>
        <v>94856241.514010176</v>
      </c>
    </row>
    <row r="10" spans="2:13" x14ac:dyDescent="0.45">
      <c r="B10" t="s">
        <v>70</v>
      </c>
      <c r="C10" s="11">
        <v>38889692.585895099</v>
      </c>
      <c r="D10" s="11">
        <v>18689587</v>
      </c>
      <c r="E10" s="11">
        <v>2722000</v>
      </c>
      <c r="F10" s="11">
        <f>12799193.6837149*1.3</f>
        <v>16638951.788829371</v>
      </c>
      <c r="G10" s="11">
        <v>7500000</v>
      </c>
      <c r="I10" s="2">
        <f>SUM(C10:G10)</f>
        <v>84440231.374724478</v>
      </c>
      <c r="M10" s="13"/>
    </row>
    <row r="11" spans="2:13" x14ac:dyDescent="0.45">
      <c r="B11" t="s">
        <v>72</v>
      </c>
      <c r="C11" s="12">
        <f>4998000*0.85</f>
        <v>4248300</v>
      </c>
      <c r="D11" s="12">
        <f>2834325*0.9</f>
        <v>2550892.5</v>
      </c>
      <c r="E11" s="12">
        <f>459314.625</f>
        <v>459314.625</v>
      </c>
      <c r="F11" s="12">
        <f>1826888*0.85</f>
        <v>1552854.8</v>
      </c>
      <c r="G11" s="12">
        <f>1887821.42857143*0.85</f>
        <v>1604648.2142857155</v>
      </c>
      <c r="H11" s="2"/>
      <c r="I11" s="2">
        <f>SUM(C11:G11)</f>
        <v>10416010.139285717</v>
      </c>
    </row>
    <row r="12" spans="2:13" s="4" customFormat="1" x14ac:dyDescent="0.45">
      <c r="B12" s="4" t="s">
        <v>78</v>
      </c>
      <c r="C12" s="18">
        <f>C9/C7</f>
        <v>6.1272783751426356E-2</v>
      </c>
      <c r="D12" s="18">
        <f>D9/D7</f>
        <v>6.1097387808513558E-2</v>
      </c>
      <c r="E12" s="18">
        <f>E9/E7</f>
        <v>3.7993362830193833E-2</v>
      </c>
      <c r="F12" s="18">
        <f>F9/F7</f>
        <v>5.728338435555113E-2</v>
      </c>
      <c r="G12" s="18">
        <f>G9/G7</f>
        <v>0.11503985079530114</v>
      </c>
      <c r="I12" s="18">
        <f>I9/I7</f>
        <v>6.1911195258621966E-2</v>
      </c>
    </row>
    <row r="13" spans="2:13" x14ac:dyDescent="0.45">
      <c r="G13" s="2"/>
    </row>
    <row r="14" spans="2:13" x14ac:dyDescent="0.45">
      <c r="B14" t="s">
        <v>76</v>
      </c>
      <c r="C14" s="13">
        <f>C6/10000</f>
        <v>219014.7</v>
      </c>
      <c r="D14" s="10">
        <f>D6/10000</f>
        <v>25669.163400000001</v>
      </c>
      <c r="E14" s="10">
        <f>E6/10000</f>
        <v>5682.28</v>
      </c>
      <c r="F14" s="10">
        <f>F6/10000</f>
        <v>20762.2</v>
      </c>
      <c r="G14" s="10">
        <f>G6/10000</f>
        <v>16444.080000000002</v>
      </c>
      <c r="H14" s="10"/>
      <c r="I14" s="2">
        <f>SUM(C14:H14)</f>
        <v>287572.42340000003</v>
      </c>
      <c r="J14" s="10"/>
      <c r="K14" s="10"/>
    </row>
    <row r="15" spans="2:13" s="4" customFormat="1" x14ac:dyDescent="0.45">
      <c r="B15" s="4" t="s">
        <v>77</v>
      </c>
      <c r="C15" s="17">
        <f>C9/C14</f>
        <v>196.96391422993568</v>
      </c>
      <c r="D15" s="17">
        <f>D9/D14</f>
        <v>827.47065687384259</v>
      </c>
      <c r="E15" s="17">
        <f>E9/E14</f>
        <v>559.86586810224071</v>
      </c>
      <c r="F15" s="17">
        <f>F9/F14</f>
        <v>876.19840810845528</v>
      </c>
      <c r="G15" s="17">
        <f>G9/G14</f>
        <v>553.67331065561075</v>
      </c>
      <c r="I15" s="17">
        <f>I9/I14</f>
        <v>329.85166099208863</v>
      </c>
    </row>
    <row r="16" spans="2:13" s="1" customFormat="1" x14ac:dyDescent="0.45">
      <c r="B16" s="1" t="s">
        <v>80</v>
      </c>
      <c r="C16" s="19">
        <f>C7/C14</f>
        <v>3214.5416312238399</v>
      </c>
      <c r="D16" s="19">
        <f>D7/D14</f>
        <v>13543.470294789584</v>
      </c>
      <c r="E16" s="19">
        <f>E7/E14</f>
        <v>14735.886123175909</v>
      </c>
      <c r="F16" s="19">
        <f>F7/F14</f>
        <v>15295.856171311325</v>
      </c>
      <c r="G16" s="19">
        <f>G7/G14</f>
        <v>4812.882725663495</v>
      </c>
      <c r="H16" s="19"/>
      <c r="I16" s="19">
        <f>I7/I14</f>
        <v>5327.8193001152295</v>
      </c>
      <c r="J16" s="19"/>
      <c r="K16" s="19"/>
    </row>
    <row r="17" spans="2:12" x14ac:dyDescent="0.45">
      <c r="C17" s="14"/>
      <c r="D17" s="14"/>
      <c r="E17" s="14"/>
      <c r="F17" s="14"/>
      <c r="G17" s="14"/>
      <c r="H17" s="2"/>
      <c r="I17" s="2"/>
      <c r="J17" s="2"/>
      <c r="K17" s="2"/>
    </row>
    <row r="18" spans="2:12" x14ac:dyDescent="0.45">
      <c r="B18" t="s">
        <v>82</v>
      </c>
      <c r="C18" s="9">
        <f>C7/1175503639.40301</f>
        <v>0.59891934605795771</v>
      </c>
      <c r="D18" s="14">
        <f>D7/2306000000</f>
        <v>0.15075869557675628</v>
      </c>
      <c r="E18" s="9">
        <f>E7/145140417.48</f>
        <v>0.57691325720169073</v>
      </c>
      <c r="F18" s="9">
        <f>F7/(1302311940.07081*1.25)</f>
        <v>0.19508421306970899</v>
      </c>
      <c r="G18" s="9">
        <f>G7/166433037.610281</f>
        <v>0.4755271531890834</v>
      </c>
      <c r="H18" s="9"/>
      <c r="I18" s="9">
        <f>I7/5420967019.5818</f>
        <v>0.2826311065972183</v>
      </c>
    </row>
    <row r="19" spans="2:12" x14ac:dyDescent="0.45">
      <c r="C19" s="14"/>
      <c r="D19" s="14"/>
      <c r="E19" s="14"/>
      <c r="F19" s="14"/>
      <c r="G19" s="14"/>
      <c r="H19" s="2"/>
      <c r="I19" s="2"/>
      <c r="J19" s="2"/>
      <c r="K19" s="2"/>
    </row>
    <row r="20" spans="2:12" x14ac:dyDescent="0.45">
      <c r="B20" s="4" t="s">
        <v>33</v>
      </c>
      <c r="L20" s="10"/>
    </row>
    <row r="21" spans="2:12" x14ac:dyDescent="0.45">
      <c r="B21" t="s">
        <v>61</v>
      </c>
      <c r="C21">
        <f>Mozambique!C6</f>
        <v>13</v>
      </c>
      <c r="D21">
        <f>Namibia!C6</f>
        <v>5</v>
      </c>
      <c r="E21">
        <f>Swaziland!C6</f>
        <v>1</v>
      </c>
      <c r="F21">
        <v>3</v>
      </c>
      <c r="G21">
        <f>Malawi!C6</f>
        <v>5</v>
      </c>
      <c r="I21" s="2">
        <f t="shared" ref="I21:I23" si="2">SUM(C21:H21)</f>
        <v>27</v>
      </c>
      <c r="L21" s="10"/>
    </row>
    <row r="22" spans="2:12" x14ac:dyDescent="0.45">
      <c r="B22" t="s">
        <v>62</v>
      </c>
      <c r="C22">
        <f>Mozambique!C7</f>
        <v>39</v>
      </c>
      <c r="D22">
        <f>Namibia!C7</f>
        <v>9</v>
      </c>
      <c r="E22">
        <f>Swaziland!C7</f>
        <v>3</v>
      </c>
      <c r="F22">
        <v>10</v>
      </c>
      <c r="G22">
        <f>Malawi!C7</f>
        <v>14</v>
      </c>
      <c r="I22" s="2">
        <f t="shared" si="2"/>
        <v>75</v>
      </c>
      <c r="L22" s="2"/>
    </row>
    <row r="23" spans="2:12" x14ac:dyDescent="0.45">
      <c r="B23" t="s">
        <v>63</v>
      </c>
      <c r="C23">
        <f>Mozambique!C9</f>
        <v>6</v>
      </c>
      <c r="D23">
        <f>Namibia!C8</f>
        <v>10</v>
      </c>
      <c r="I23" s="2">
        <f t="shared" si="2"/>
        <v>16</v>
      </c>
    </row>
    <row r="24" spans="2:12" x14ac:dyDescent="0.45">
      <c r="B24" t="s">
        <v>37</v>
      </c>
      <c r="C24">
        <f>Mozambique!C8</f>
        <v>6</v>
      </c>
      <c r="I24" s="2">
        <f>SUM(C24:H24)</f>
        <v>6</v>
      </c>
    </row>
    <row r="25" spans="2:12" x14ac:dyDescent="0.45">
      <c r="B25" t="s">
        <v>53</v>
      </c>
      <c r="C25">
        <f>Mozambique!C10</f>
        <v>3</v>
      </c>
      <c r="D25" s="15" t="str">
        <f>Namibia!C9</f>
        <v>25+</v>
      </c>
      <c r="E25">
        <v>4</v>
      </c>
      <c r="F25" s="15" t="s">
        <v>75</v>
      </c>
      <c r="G25">
        <f>Malawi!C9</f>
        <v>1</v>
      </c>
      <c r="I25" s="2">
        <f>SUM(C25:H25)</f>
        <v>8</v>
      </c>
    </row>
    <row r="26" spans="2:12" x14ac:dyDescent="0.45">
      <c r="B26" t="s">
        <v>64</v>
      </c>
      <c r="C26">
        <v>4971</v>
      </c>
      <c r="D26">
        <f>Namibia!C10</f>
        <v>1347</v>
      </c>
      <c r="E26">
        <v>483</v>
      </c>
      <c r="F26">
        <v>1453</v>
      </c>
      <c r="G26">
        <f>2187+368</f>
        <v>2555</v>
      </c>
      <c r="I26" s="2">
        <f>SUM(C26:H26)</f>
        <v>10809</v>
      </c>
    </row>
    <row r="27" spans="2:12" x14ac:dyDescent="0.45">
      <c r="B27" t="s">
        <v>67</v>
      </c>
      <c r="C27">
        <v>190</v>
      </c>
      <c r="D27">
        <f>Namibia!C11</f>
        <v>59</v>
      </c>
      <c r="E27">
        <f>3*5</f>
        <v>15</v>
      </c>
      <c r="F27">
        <v>50</v>
      </c>
      <c r="G27">
        <v>59</v>
      </c>
    </row>
    <row r="29" spans="2:12" x14ac:dyDescent="0.45">
      <c r="B29" t="s">
        <v>83</v>
      </c>
      <c r="C29" s="8">
        <v>18449315.06849315</v>
      </c>
      <c r="D29" s="8">
        <v>6679191.7808219176</v>
      </c>
      <c r="E29" s="8">
        <v>1670235</v>
      </c>
      <c r="F29" s="8">
        <v>10157210</v>
      </c>
      <c r="G29" s="8">
        <v>4404909.2307749996</v>
      </c>
      <c r="I29" s="20">
        <f>SUM(C29:G29)</f>
        <v>41360861.080090068</v>
      </c>
    </row>
    <row r="30" spans="2:12" x14ac:dyDescent="0.45">
      <c r="B30" t="s">
        <v>84</v>
      </c>
      <c r="C30" s="21">
        <v>0.24</v>
      </c>
      <c r="D30" s="22">
        <v>0.105</v>
      </c>
      <c r="E30" s="22">
        <v>0.105</v>
      </c>
      <c r="F30" s="22">
        <v>7.4999999999999997E-2</v>
      </c>
      <c r="G30" s="21">
        <v>0.32</v>
      </c>
      <c r="I30" s="9">
        <f>I31/I29</f>
        <v>0.1807478601036992</v>
      </c>
    </row>
    <row r="31" spans="2:12" x14ac:dyDescent="0.45">
      <c r="B31" t="s">
        <v>85</v>
      </c>
      <c r="C31" s="23">
        <f>C29*C30</f>
        <v>4427835.6164383562</v>
      </c>
      <c r="D31" s="23">
        <f t="shared" ref="D31:G31" si="3">D29*D30</f>
        <v>701315.13698630128</v>
      </c>
      <c r="E31" s="23">
        <f t="shared" si="3"/>
        <v>175374.67499999999</v>
      </c>
      <c r="F31" s="23">
        <f t="shared" si="3"/>
        <v>761790.75</v>
      </c>
      <c r="G31" s="23">
        <f t="shared" si="3"/>
        <v>1409570.9538479999</v>
      </c>
      <c r="I31" s="20">
        <f>SUM(C31:G31)</f>
        <v>7475887.132272657</v>
      </c>
    </row>
    <row r="33" spans="2:9" x14ac:dyDescent="0.45">
      <c r="C33" s="25" t="str">
        <f>C4</f>
        <v>Mozambique</v>
      </c>
      <c r="D33" s="25" t="str">
        <f t="shared" ref="D33:F33" si="4">D4</f>
        <v>Namibia</v>
      </c>
      <c r="E33" s="25" t="str">
        <f t="shared" si="4"/>
        <v>Swaziland</v>
      </c>
      <c r="F33" s="25" t="str">
        <f t="shared" si="4"/>
        <v>Botswana</v>
      </c>
      <c r="G33" s="25" t="str">
        <f>G3</f>
        <v>Malawi</v>
      </c>
      <c r="I33" s="25" t="s">
        <v>65</v>
      </c>
    </row>
    <row r="34" spans="2:9" x14ac:dyDescent="0.45">
      <c r="B34" t="s">
        <v>100</v>
      </c>
      <c r="C34" s="20">
        <f>C7</f>
        <v>704031871</v>
      </c>
      <c r="D34" s="20">
        <f t="shared" ref="D34:G34" si="5">D7</f>
        <v>347649552</v>
      </c>
      <c r="E34" s="20">
        <f t="shared" si="5"/>
        <v>83733431</v>
      </c>
      <c r="F34" s="20">
        <f t="shared" si="5"/>
        <v>317575625</v>
      </c>
      <c r="G34" s="20">
        <f t="shared" si="5"/>
        <v>79143428.571428567</v>
      </c>
      <c r="I34" s="20">
        <f>SUM(C34:G34)</f>
        <v>1532133907.5714285</v>
      </c>
    </row>
    <row r="35" spans="2:9" x14ac:dyDescent="0.45">
      <c r="B35" t="s">
        <v>86</v>
      </c>
      <c r="C35" s="20">
        <f>C7</f>
        <v>704031871</v>
      </c>
      <c r="D35" s="20">
        <f t="shared" ref="D35:G35" si="6">D7</f>
        <v>347649552</v>
      </c>
      <c r="E35" s="20">
        <f t="shared" si="6"/>
        <v>83733431</v>
      </c>
      <c r="F35" s="20">
        <f t="shared" si="6"/>
        <v>317575625</v>
      </c>
      <c r="G35" s="20">
        <f t="shared" si="6"/>
        <v>79143428.571428567</v>
      </c>
      <c r="I35" s="20">
        <f>SUM(C35:G35)</f>
        <v>1532133907.5714285</v>
      </c>
    </row>
    <row r="36" spans="2:9" x14ac:dyDescent="0.45">
      <c r="B36" t="s">
        <v>87</v>
      </c>
      <c r="C36" s="9">
        <f>C35/C34</f>
        <v>1</v>
      </c>
      <c r="D36" s="9">
        <f t="shared" ref="D36:I36" si="7">D35/D34</f>
        <v>1</v>
      </c>
      <c r="E36" s="9">
        <f t="shared" si="7"/>
        <v>1</v>
      </c>
      <c r="F36" s="9">
        <f t="shared" si="7"/>
        <v>1</v>
      </c>
      <c r="G36" s="9">
        <f t="shared" si="7"/>
        <v>1</v>
      </c>
      <c r="I36" s="9">
        <f t="shared" si="7"/>
        <v>1</v>
      </c>
    </row>
    <row r="37" spans="2:9" x14ac:dyDescent="0.45">
      <c r="B37" t="s">
        <v>95</v>
      </c>
      <c r="C37" s="2">
        <f>C6/1000000</f>
        <v>2190.1469999999999</v>
      </c>
      <c r="D37" s="2">
        <f t="shared" ref="D37:G37" si="8">D6/1000000</f>
        <v>256.69163400000002</v>
      </c>
      <c r="E37" s="2">
        <f t="shared" si="8"/>
        <v>56.822800000000001</v>
      </c>
      <c r="F37" s="2">
        <f t="shared" si="8"/>
        <v>207.62200000000001</v>
      </c>
      <c r="G37" s="2">
        <f t="shared" si="8"/>
        <v>164.4408</v>
      </c>
      <c r="I37" s="2">
        <f>SUM(C37:G37)</f>
        <v>2875.7242339999993</v>
      </c>
    </row>
    <row r="38" spans="2:9" x14ac:dyDescent="0.45">
      <c r="B38" t="s">
        <v>96</v>
      </c>
      <c r="C38" s="2">
        <f>C35/C37</f>
        <v>321454.16312238405</v>
      </c>
      <c r="D38" s="2">
        <f t="shared" ref="D38:I38" si="9">D35/D37</f>
        <v>1354347.0294789583</v>
      </c>
      <c r="E38" s="2">
        <f t="shared" si="9"/>
        <v>1473588.6123175907</v>
      </c>
      <c r="F38" s="2">
        <f t="shared" si="9"/>
        <v>1529585.6171311324</v>
      </c>
      <c r="G38" s="2">
        <f t="shared" si="9"/>
        <v>481288.27256634954</v>
      </c>
      <c r="I38" s="2">
        <f t="shared" si="9"/>
        <v>532781.93001152307</v>
      </c>
    </row>
    <row r="39" spans="2:9" x14ac:dyDescent="0.45">
      <c r="B39" t="s">
        <v>101</v>
      </c>
      <c r="C39" s="20">
        <v>4998000</v>
      </c>
      <c r="D39" s="20">
        <v>2834324.9999999995</v>
      </c>
      <c r="E39" s="20">
        <v>459314.62500000006</v>
      </c>
      <c r="F39" s="20">
        <v>1826888</v>
      </c>
      <c r="G39" s="20">
        <v>1887821.4285714286</v>
      </c>
      <c r="I39" s="20">
        <f>SUM(C39:G39)</f>
        <v>12006349.053571429</v>
      </c>
    </row>
    <row r="41" spans="2:9" x14ac:dyDescent="0.45">
      <c r="B41" s="4" t="s">
        <v>93</v>
      </c>
    </row>
    <row r="42" spans="2:9" x14ac:dyDescent="0.45">
      <c r="B42" s="1" t="s">
        <v>59</v>
      </c>
      <c r="C42" s="20">
        <f>C35</f>
        <v>704031871</v>
      </c>
      <c r="D42" s="20">
        <f t="shared" ref="D42:G42" si="10">D35</f>
        <v>347649552</v>
      </c>
      <c r="E42" s="20">
        <f t="shared" si="10"/>
        <v>83733431</v>
      </c>
      <c r="F42" s="20">
        <f t="shared" si="10"/>
        <v>317575625</v>
      </c>
      <c r="G42" s="20">
        <f t="shared" si="10"/>
        <v>79143428.571428567</v>
      </c>
      <c r="I42" s="20">
        <f t="shared" ref="I42:I43" si="11">SUM(C42:G42)</f>
        <v>1532133907.5714285</v>
      </c>
    </row>
    <row r="43" spans="2:9" x14ac:dyDescent="0.45">
      <c r="B43" t="s">
        <v>88</v>
      </c>
      <c r="C43" s="20">
        <f>C42-C44</f>
        <v>699783571</v>
      </c>
      <c r="D43" s="20">
        <f t="shared" ref="D43:G43" si="12">D42-D44</f>
        <v>345098659.5</v>
      </c>
      <c r="E43" s="20">
        <f t="shared" si="12"/>
        <v>83274116.375</v>
      </c>
      <c r="F43" s="20">
        <f t="shared" si="12"/>
        <v>316022770.19999999</v>
      </c>
      <c r="G43" s="20">
        <f t="shared" si="12"/>
        <v>77538780.357142851</v>
      </c>
      <c r="I43" s="20">
        <f t="shared" si="11"/>
        <v>1521717897.432143</v>
      </c>
    </row>
    <row r="44" spans="2:9" x14ac:dyDescent="0.45">
      <c r="B44" t="s">
        <v>89</v>
      </c>
      <c r="C44" s="20">
        <f>C11</f>
        <v>4248300</v>
      </c>
      <c r="D44" s="20">
        <f t="shared" ref="D44:G44" si="13">D11</f>
        <v>2550892.5</v>
      </c>
      <c r="E44" s="20">
        <f t="shared" si="13"/>
        <v>459314.625</v>
      </c>
      <c r="F44" s="20">
        <f t="shared" si="13"/>
        <v>1552854.8</v>
      </c>
      <c r="G44" s="20">
        <f t="shared" si="13"/>
        <v>1604648.2142857155</v>
      </c>
      <c r="I44" s="20">
        <f t="shared" ref="I44" si="14">I42-I43</f>
        <v>10416010.139285564</v>
      </c>
    </row>
    <row r="45" spans="2:9" x14ac:dyDescent="0.45">
      <c r="B45" t="s">
        <v>90</v>
      </c>
      <c r="C45" s="9">
        <f>C44/C43</f>
        <v>6.0708770197750181E-3</v>
      </c>
      <c r="D45" s="9">
        <f t="shared" ref="D45:I45" si="15">D44/D43</f>
        <v>7.3917774809554139E-3</v>
      </c>
      <c r="E45" s="9">
        <f t="shared" si="15"/>
        <v>5.5156949721521433E-3</v>
      </c>
      <c r="F45" s="9">
        <f t="shared" si="15"/>
        <v>4.9137433958231919E-3</v>
      </c>
      <c r="G45" s="9">
        <f t="shared" si="15"/>
        <v>2.0694782751221025E-2</v>
      </c>
      <c r="I45" s="9">
        <f t="shared" si="15"/>
        <v>6.8449021706732203E-3</v>
      </c>
    </row>
    <row r="46" spans="2:9" x14ac:dyDescent="0.45">
      <c r="B46" t="s">
        <v>102</v>
      </c>
      <c r="C46" s="9">
        <f>C44/C39</f>
        <v>0.85</v>
      </c>
      <c r="D46" s="9">
        <f t="shared" ref="D46:I46" si="16">D44/D39</f>
        <v>0.90000000000000013</v>
      </c>
      <c r="E46" s="9">
        <f t="shared" si="16"/>
        <v>0.99999999999999989</v>
      </c>
      <c r="F46" s="9">
        <f t="shared" si="16"/>
        <v>0.85</v>
      </c>
      <c r="G46" s="9">
        <f t="shared" si="16"/>
        <v>0.85000000000000064</v>
      </c>
      <c r="I46" s="9">
        <f t="shared" si="16"/>
        <v>0.86754183913945104</v>
      </c>
    </row>
    <row r="47" spans="2:9" x14ac:dyDescent="0.45">
      <c r="B47" t="s">
        <v>91</v>
      </c>
      <c r="C47" s="20">
        <f>C29</f>
        <v>18449315.06849315</v>
      </c>
      <c r="D47" s="20">
        <f t="shared" ref="D47:G47" si="17">D29</f>
        <v>6679191.7808219176</v>
      </c>
      <c r="E47" s="20">
        <f t="shared" si="17"/>
        <v>1670235</v>
      </c>
      <c r="F47" s="20">
        <f t="shared" si="17"/>
        <v>10157210</v>
      </c>
      <c r="G47" s="20">
        <f t="shared" si="17"/>
        <v>4404909.2307749996</v>
      </c>
      <c r="I47" s="20">
        <f>SUM(C47:G47)</f>
        <v>41360861.080090068</v>
      </c>
    </row>
    <row r="48" spans="2:9" x14ac:dyDescent="0.45">
      <c r="B48" t="s">
        <v>94</v>
      </c>
      <c r="C48" s="24">
        <v>0.32</v>
      </c>
      <c r="D48" s="24">
        <v>0.32</v>
      </c>
      <c r="E48" s="24">
        <v>0.3</v>
      </c>
      <c r="F48" s="24">
        <v>0.22</v>
      </c>
      <c r="G48" s="24">
        <v>0.3</v>
      </c>
      <c r="I48" s="14">
        <f>1-(I49*I47/I44)</f>
        <v>0.30112859586759699</v>
      </c>
    </row>
    <row r="49" spans="2:9" x14ac:dyDescent="0.45">
      <c r="B49" t="s">
        <v>92</v>
      </c>
      <c r="C49" s="9">
        <f>(C44*(1-C48))/C47</f>
        <v>0.15658272349272348</v>
      </c>
      <c r="D49" s="9">
        <f t="shared" ref="D49:G49" si="18">(D44*(1-D48))/D47</f>
        <v>0.25970311332886226</v>
      </c>
      <c r="E49" s="9">
        <f t="shared" si="18"/>
        <v>0.1925</v>
      </c>
      <c r="F49" s="9">
        <f t="shared" si="18"/>
        <v>0.11924797695430145</v>
      </c>
      <c r="G49" s="9">
        <f t="shared" si="18"/>
        <v>0.25500043046343895</v>
      </c>
      <c r="I49" s="9">
        <f>(I44-SUMPRODUCT(C44:G44,C48:G48))/I47</f>
        <v>0.17599855132135941</v>
      </c>
    </row>
    <row r="50" spans="2:9" x14ac:dyDescent="0.45">
      <c r="B50" t="s">
        <v>98</v>
      </c>
      <c r="C50" s="24">
        <v>0.1409</v>
      </c>
      <c r="D50" s="24">
        <v>0.1409</v>
      </c>
      <c r="E50" s="24">
        <v>0.1409</v>
      </c>
      <c r="F50" s="24">
        <v>0.1409</v>
      </c>
      <c r="G50" s="24">
        <v>0.17248533835350052</v>
      </c>
      <c r="I50" s="9">
        <f>SUMPRODUCT(C50:G50,C47:G47)/I47</f>
        <v>0.14426382137211982</v>
      </c>
    </row>
    <row r="51" spans="2:9" x14ac:dyDescent="0.45">
      <c r="B51" t="s">
        <v>99</v>
      </c>
      <c r="C51" s="20">
        <f>(C49-C50)*C47</f>
        <v>289335.5068493149</v>
      </c>
      <c r="D51" s="20">
        <f t="shared" ref="D51:G51" si="19">(D49-D50)*D47</f>
        <v>793508.77808219159</v>
      </c>
      <c r="E51" s="20">
        <f t="shared" si="19"/>
        <v>86184.126000000018</v>
      </c>
      <c r="F51" s="20">
        <f t="shared" si="19"/>
        <v>-219924.14499999976</v>
      </c>
      <c r="G51" s="20">
        <f t="shared" si="19"/>
        <v>363471.49091331713</v>
      </c>
      <c r="I51" s="20">
        <f>SUM(C51:G51)</f>
        <v>1312575.7568448237</v>
      </c>
    </row>
    <row r="53" spans="2:9" x14ac:dyDescent="0.45">
      <c r="B53" s="4" t="s">
        <v>97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</row>
    <row r="54" spans="2:9" x14ac:dyDescent="0.45">
      <c r="B54" s="1" t="s">
        <v>59</v>
      </c>
      <c r="C54" s="20">
        <f>C42</f>
        <v>704031871</v>
      </c>
      <c r="D54" s="20">
        <f t="shared" ref="D54:G54" si="20">D42</f>
        <v>347649552</v>
      </c>
      <c r="E54" s="20">
        <f t="shared" si="20"/>
        <v>83733431</v>
      </c>
      <c r="F54" s="20">
        <f t="shared" si="20"/>
        <v>317575625</v>
      </c>
      <c r="G54" s="20">
        <f t="shared" si="20"/>
        <v>79143428.571428567</v>
      </c>
      <c r="I54" s="20">
        <f t="shared" ref="I54" si="21">SUM(C54:G54)</f>
        <v>1532133907.5714285</v>
      </c>
    </row>
    <row r="55" spans="2:9" x14ac:dyDescent="0.45">
      <c r="B55" t="s">
        <v>88</v>
      </c>
      <c r="C55" s="20">
        <f>C54-C56</f>
        <v>699033871</v>
      </c>
      <c r="D55" s="20">
        <f t="shared" ref="D55:G55" si="22">D54-D56</f>
        <v>344815227</v>
      </c>
      <c r="E55" s="20">
        <f t="shared" si="22"/>
        <v>83274116.375</v>
      </c>
      <c r="F55" s="20">
        <f t="shared" si="22"/>
        <v>315748737</v>
      </c>
      <c r="G55" s="20">
        <f t="shared" si="22"/>
        <v>77255607.142857134</v>
      </c>
      <c r="I55" s="20">
        <f t="shared" ref="I55" si="23">SUM(C55:G55)</f>
        <v>1520127558.5178571</v>
      </c>
    </row>
    <row r="56" spans="2:9" x14ac:dyDescent="0.45">
      <c r="B56" t="s">
        <v>89</v>
      </c>
      <c r="C56" s="20">
        <f>C39*C53</f>
        <v>4998000</v>
      </c>
      <c r="D56" s="20">
        <f t="shared" ref="D56:G56" si="24">D39*D53</f>
        <v>2834324.9999999995</v>
      </c>
      <c r="E56" s="20">
        <f t="shared" si="24"/>
        <v>459314.62500000006</v>
      </c>
      <c r="F56" s="20">
        <f t="shared" si="24"/>
        <v>1826888</v>
      </c>
      <c r="G56" s="20">
        <f t="shared" si="24"/>
        <v>1887821.4285714286</v>
      </c>
      <c r="I56" s="20">
        <f t="shared" ref="I56" si="25">I54-I55</f>
        <v>12006349.053571463</v>
      </c>
    </row>
    <row r="57" spans="2:9" x14ac:dyDescent="0.45">
      <c r="B57" t="s">
        <v>90</v>
      </c>
      <c r="C57" s="9">
        <f>C56/C55</f>
        <v>7.1498681356457474E-3</v>
      </c>
      <c r="D57" s="9">
        <f t="shared" ref="D57" si="26">D56/D55</f>
        <v>8.2198371129358488E-3</v>
      </c>
      <c r="E57" s="9">
        <f t="shared" ref="E57" si="27">E56/E55</f>
        <v>5.5156949721521442E-3</v>
      </c>
      <c r="F57" s="9">
        <f t="shared" ref="F57" si="28">F56/F55</f>
        <v>5.7858917104710384E-3</v>
      </c>
      <c r="G57" s="9">
        <f t="shared" ref="G57" si="29">G56/G55</f>
        <v>2.4436044170626545E-2</v>
      </c>
      <c r="I57" s="9">
        <f t="shared" ref="I57" si="30">I56/I55</f>
        <v>7.8982510291950754E-3</v>
      </c>
    </row>
    <row r="58" spans="2:9" x14ac:dyDescent="0.45">
      <c r="B58" t="s">
        <v>91</v>
      </c>
      <c r="C58" s="20">
        <f>C47</f>
        <v>18449315.06849315</v>
      </c>
      <c r="D58" s="20">
        <f t="shared" ref="D58:G58" si="31">D47</f>
        <v>6679191.7808219176</v>
      </c>
      <c r="E58" s="20">
        <f t="shared" si="31"/>
        <v>1670235</v>
      </c>
      <c r="F58" s="20">
        <f t="shared" si="31"/>
        <v>10157210</v>
      </c>
      <c r="G58" s="20">
        <f t="shared" si="31"/>
        <v>4404909.2307749996</v>
      </c>
      <c r="I58" s="20">
        <f>SUM(C58:G58)</f>
        <v>41360861.080090068</v>
      </c>
    </row>
    <row r="59" spans="2:9" x14ac:dyDescent="0.45">
      <c r="B59" t="s">
        <v>94</v>
      </c>
      <c r="C59" s="27">
        <f>C48</f>
        <v>0.32</v>
      </c>
      <c r="D59" s="27">
        <f t="shared" ref="D59:G59" si="32">D48</f>
        <v>0.32</v>
      </c>
      <c r="E59" s="27">
        <f t="shared" si="32"/>
        <v>0.3</v>
      </c>
      <c r="F59" s="27">
        <f t="shared" si="32"/>
        <v>0.22</v>
      </c>
      <c r="G59" s="27">
        <f t="shared" si="32"/>
        <v>0.3</v>
      </c>
      <c r="I59" s="14">
        <f>1-(I60*I58/I56)</f>
        <v>0.30087415915972116</v>
      </c>
    </row>
    <row r="60" spans="2:9" x14ac:dyDescent="0.45">
      <c r="B60" t="s">
        <v>92</v>
      </c>
      <c r="C60" s="9">
        <f>(C56*(1-C59))/C58</f>
        <v>0.18421496881496879</v>
      </c>
      <c r="D60" s="9">
        <f t="shared" ref="D60" si="33">(D56*(1-D59))/D58</f>
        <v>0.28855901480984691</v>
      </c>
      <c r="E60" s="9">
        <f t="shared" ref="E60" si="34">(E56*(1-E59))/E58</f>
        <v>0.19250000000000003</v>
      </c>
      <c r="F60" s="9">
        <f t="shared" ref="F60" si="35">(F56*(1-F59))/F58</f>
        <v>0.1402917375932958</v>
      </c>
      <c r="G60" s="9">
        <f t="shared" ref="G60" si="36">(G56*(1-G59))/G58</f>
        <v>0.30000050642757509</v>
      </c>
      <c r="I60" s="9">
        <f>(I56-SUMPRODUCT(C56:G56,C59:G59))/I58</f>
        <v>0.20294424870038891</v>
      </c>
    </row>
    <row r="61" spans="2:9" x14ac:dyDescent="0.45">
      <c r="B61" t="s">
        <v>98</v>
      </c>
      <c r="C61" s="27">
        <f>C50</f>
        <v>0.1409</v>
      </c>
      <c r="D61" s="27">
        <f t="shared" ref="D61:G61" si="37">D50</f>
        <v>0.1409</v>
      </c>
      <c r="E61" s="27">
        <f t="shared" si="37"/>
        <v>0.1409</v>
      </c>
      <c r="F61" s="27">
        <f t="shared" si="37"/>
        <v>0.1409</v>
      </c>
      <c r="G61" s="27">
        <f t="shared" si="37"/>
        <v>0.17248533835350052</v>
      </c>
      <c r="I61" s="9">
        <f>SUMPRODUCT(C61:G61,C58:G58)/I58</f>
        <v>0.14426382137211982</v>
      </c>
    </row>
    <row r="62" spans="2:9" x14ac:dyDescent="0.45">
      <c r="B62" t="s">
        <v>99</v>
      </c>
      <c r="C62" s="20">
        <f>(C60-C61)*C58</f>
        <v>799131.50684931467</v>
      </c>
      <c r="D62" s="20">
        <f t="shared" ref="D62" si="38">(D60-D61)*D58</f>
        <v>986242.87808219134</v>
      </c>
      <c r="E62" s="20">
        <f t="shared" ref="E62" si="39">(E60-E61)*E58</f>
        <v>86184.126000000062</v>
      </c>
      <c r="F62" s="20">
        <f t="shared" ref="F62" si="40">(F60-F61)*F58</f>
        <v>-6178.2489999999307</v>
      </c>
      <c r="G62" s="20">
        <f t="shared" ref="G62" si="41">(G60-G61)*G58</f>
        <v>561692.74091331661</v>
      </c>
      <c r="I62" s="20">
        <f>SUM(C62:G62)</f>
        <v>2427073.0028448231</v>
      </c>
    </row>
  </sheetData>
  <mergeCells count="1">
    <mergeCell ref="B2:C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9"/>
  <sheetViews>
    <sheetView workbookViewId="0">
      <selection activeCell="D10" sqref="D10"/>
    </sheetView>
  </sheetViews>
  <sheetFormatPr defaultRowHeight="14.25" x14ac:dyDescent="0.45"/>
  <cols>
    <col min="1" max="1" width="1.53125" customWidth="1"/>
    <col min="2" max="2" width="23.46484375" customWidth="1"/>
    <col min="3" max="6" width="14.53125" customWidth="1"/>
    <col min="7" max="7" width="16.19921875" bestFit="1" customWidth="1"/>
    <col min="8" max="8" width="0.53125" customWidth="1"/>
    <col min="9" max="9" width="14.53125" customWidth="1"/>
    <col min="10" max="10" width="0.53125" customWidth="1"/>
    <col min="12" max="12" width="14.53125" bestFit="1" customWidth="1"/>
  </cols>
  <sheetData>
    <row r="2" spans="2:12" ht="18" x14ac:dyDescent="0.45">
      <c r="B2" s="7" t="s">
        <v>56</v>
      </c>
      <c r="G2" s="6" t="s">
        <v>27</v>
      </c>
    </row>
    <row r="3" spans="2:12" ht="2.5499999999999998" customHeight="1" x14ac:dyDescent="0.45"/>
    <row r="4" spans="2:12" ht="16.899999999999999" x14ac:dyDescent="0.45">
      <c r="B4" s="6" t="s">
        <v>57</v>
      </c>
      <c r="C4" s="6" t="s">
        <v>58</v>
      </c>
      <c r="D4" s="6" t="s">
        <v>43</v>
      </c>
      <c r="E4" s="6" t="s">
        <v>21</v>
      </c>
      <c r="F4" s="6" t="s">
        <v>73</v>
      </c>
      <c r="G4" s="6" t="s">
        <v>74</v>
      </c>
      <c r="I4" s="6" t="s">
        <v>65</v>
      </c>
    </row>
    <row r="5" spans="2:12" ht="3" customHeight="1" x14ac:dyDescent="0.45"/>
    <row r="6" spans="2:12" x14ac:dyDescent="0.45">
      <c r="B6" t="s">
        <v>69</v>
      </c>
      <c r="C6" s="2">
        <f>Mozambique!C5</f>
        <v>2190147000</v>
      </c>
      <c r="D6" s="2">
        <f>Namibia!C5</f>
        <v>256691634</v>
      </c>
      <c r="E6" s="2">
        <f>Swaziland!C5</f>
        <v>56822800</v>
      </c>
      <c r="F6" s="2">
        <v>250000000</v>
      </c>
      <c r="G6" s="2">
        <f>13000000*12</f>
        <v>156000000</v>
      </c>
      <c r="I6" s="2">
        <f>SUM(C6:H6)</f>
        <v>2909661434</v>
      </c>
    </row>
    <row r="7" spans="2:12" x14ac:dyDescent="0.45">
      <c r="B7" t="s">
        <v>59</v>
      </c>
      <c r="C7" s="8">
        <f>Mozambique!C4</f>
        <v>704031871</v>
      </c>
      <c r="D7" s="8">
        <f>Namibia!C4</f>
        <v>347649552</v>
      </c>
      <c r="E7" s="8">
        <f>Swaziland!C4</f>
        <v>83733431</v>
      </c>
      <c r="F7" s="8">
        <v>332500000</v>
      </c>
      <c r="G7" s="2">
        <f>348000000*12/56</f>
        <v>74571428.571428567</v>
      </c>
      <c r="I7" s="8">
        <f>SUM(C7:H7)</f>
        <v>1542486282.5714285</v>
      </c>
      <c r="L7" s="13"/>
    </row>
    <row r="8" spans="2:12" x14ac:dyDescent="0.45">
      <c r="B8" t="s">
        <v>60</v>
      </c>
      <c r="C8" s="5">
        <f>C7/C6</f>
        <v>0.32145416312238401</v>
      </c>
      <c r="D8" s="5">
        <f>D7/D6</f>
        <v>1.3543470294789584</v>
      </c>
      <c r="E8" s="5">
        <f>E7/E6</f>
        <v>1.4735886123175908</v>
      </c>
      <c r="F8" s="5">
        <f>F7/F6</f>
        <v>1.33</v>
      </c>
      <c r="G8" s="5">
        <f>G7/G6</f>
        <v>0.47802197802197799</v>
      </c>
      <c r="I8" s="5"/>
    </row>
    <row r="9" spans="2:12" x14ac:dyDescent="0.45">
      <c r="B9" t="s">
        <v>71</v>
      </c>
      <c r="C9" s="2">
        <f>SUM(C10:C11)</f>
        <v>41137992.585895114</v>
      </c>
      <c r="D9" s="2">
        <f t="shared" ref="D9:G9" si="0">SUM(D10:D11)</f>
        <v>21550892.5</v>
      </c>
      <c r="E9" s="2">
        <f t="shared" si="0"/>
        <v>3181314.625</v>
      </c>
      <c r="F9" s="2">
        <f t="shared" si="0"/>
        <v>18452854.800000001</v>
      </c>
      <c r="G9" s="2">
        <f t="shared" si="0"/>
        <v>9104648.2142857164</v>
      </c>
      <c r="I9" s="2">
        <f>SUM(C9:G9)</f>
        <v>93427702.725180835</v>
      </c>
    </row>
    <row r="10" spans="2:12" x14ac:dyDescent="0.45">
      <c r="B10" t="s">
        <v>70</v>
      </c>
      <c r="C10" s="11">
        <v>36889692.585895114</v>
      </c>
      <c r="D10" s="11">
        <v>19000000</v>
      </c>
      <c r="E10" s="11">
        <v>2722000</v>
      </c>
      <c r="F10" s="11">
        <f>13000000*1.3</f>
        <v>16900000</v>
      </c>
      <c r="G10" s="11">
        <v>7500000</v>
      </c>
      <c r="I10" s="2">
        <f>SUM(C10:G10)</f>
        <v>83011692.585895121</v>
      </c>
    </row>
    <row r="11" spans="2:12" x14ac:dyDescent="0.45">
      <c r="B11" t="s">
        <v>72</v>
      </c>
      <c r="C11" s="12">
        <f>4998000*0.85</f>
        <v>4248300</v>
      </c>
      <c r="D11" s="12">
        <f>2834325*0.9</f>
        <v>2550892.5</v>
      </c>
      <c r="E11" s="12">
        <f>459314.625</f>
        <v>459314.625</v>
      </c>
      <c r="F11" s="12">
        <f>1826888*0.85</f>
        <v>1552854.8</v>
      </c>
      <c r="G11" s="12">
        <f>1887821.42857143*0.85</f>
        <v>1604648.2142857155</v>
      </c>
      <c r="H11" s="2"/>
      <c r="I11" s="2">
        <f>SUM(C11:G11)</f>
        <v>10416010.139285717</v>
      </c>
    </row>
    <row r="12" spans="2:12" x14ac:dyDescent="0.45">
      <c r="B12" t="s">
        <v>78</v>
      </c>
      <c r="C12" s="9">
        <f>C9/C7</f>
        <v>5.8432003266362234E-2</v>
      </c>
      <c r="D12" s="9">
        <f>D9/D7</f>
        <v>6.1990278359397973E-2</v>
      </c>
      <c r="E12" s="9">
        <f>E9/E7</f>
        <v>3.7993362830193833E-2</v>
      </c>
      <c r="F12" s="9">
        <f>F9/F7</f>
        <v>5.5497307669172935E-2</v>
      </c>
      <c r="G12" s="9">
        <f>G9/G7</f>
        <v>0.12209298371647513</v>
      </c>
      <c r="I12" s="9">
        <f>I9/I7</f>
        <v>6.056955175603284E-2</v>
      </c>
    </row>
    <row r="13" spans="2:12" hidden="1" x14ac:dyDescent="0.45">
      <c r="B13" s="4" t="s">
        <v>33</v>
      </c>
      <c r="G13" s="2"/>
    </row>
    <row r="14" spans="2:12" hidden="1" x14ac:dyDescent="0.45">
      <c r="B14" t="s">
        <v>61</v>
      </c>
      <c r="C14">
        <f>Mozambique!C6</f>
        <v>13</v>
      </c>
      <c r="D14">
        <f>Namibia!C6</f>
        <v>5</v>
      </c>
      <c r="E14">
        <f>Swaziland!C6</f>
        <v>1</v>
      </c>
      <c r="F14">
        <v>3</v>
      </c>
      <c r="G14" s="2"/>
      <c r="I14" s="2">
        <f t="shared" ref="I14:I16" si="1">SUM(C14:H14)</f>
        <v>22</v>
      </c>
    </row>
    <row r="15" spans="2:12" hidden="1" x14ac:dyDescent="0.45">
      <c r="B15" t="s">
        <v>62</v>
      </c>
      <c r="C15">
        <f>Mozambique!C7</f>
        <v>39</v>
      </c>
      <c r="D15">
        <f>Namibia!C7</f>
        <v>9</v>
      </c>
      <c r="E15">
        <f>Swaziland!C7</f>
        <v>3</v>
      </c>
      <c r="F15">
        <v>10</v>
      </c>
      <c r="I15" s="2">
        <f t="shared" si="1"/>
        <v>61</v>
      </c>
    </row>
    <row r="16" spans="2:12" hidden="1" x14ac:dyDescent="0.45">
      <c r="B16" t="s">
        <v>63</v>
      </c>
      <c r="C16">
        <f>Mozambique!C9</f>
        <v>6</v>
      </c>
      <c r="D16">
        <f>Namibia!C8</f>
        <v>10</v>
      </c>
      <c r="I16" s="2">
        <f t="shared" si="1"/>
        <v>16</v>
      </c>
    </row>
    <row r="17" spans="2:9" hidden="1" x14ac:dyDescent="0.45">
      <c r="B17" t="s">
        <v>37</v>
      </c>
      <c r="C17">
        <f>Mozambique!C8</f>
        <v>6</v>
      </c>
      <c r="I17" s="2">
        <f>SUM(C17:H17)</f>
        <v>6</v>
      </c>
    </row>
    <row r="18" spans="2:9" hidden="1" x14ac:dyDescent="0.45">
      <c r="B18" t="s">
        <v>53</v>
      </c>
      <c r="C18">
        <f>Mozambique!C10</f>
        <v>3</v>
      </c>
      <c r="D18" t="str">
        <f>Namibia!C9</f>
        <v>25+</v>
      </c>
      <c r="E18">
        <v>4</v>
      </c>
      <c r="F18" t="s">
        <v>75</v>
      </c>
      <c r="I18" s="2">
        <f>SUM(C18:H18)</f>
        <v>7</v>
      </c>
    </row>
    <row r="19" spans="2:9" hidden="1" x14ac:dyDescent="0.45">
      <c r="B19" t="s">
        <v>64</v>
      </c>
      <c r="C19">
        <v>4701</v>
      </c>
      <c r="D19">
        <f>Namibia!C10</f>
        <v>1347</v>
      </c>
      <c r="E19" t="str">
        <f>Swaziland!C10</f>
        <v>??</v>
      </c>
      <c r="I19" s="2">
        <f>SUM(C19:H19)</f>
        <v>6048</v>
      </c>
    </row>
    <row r="20" spans="2:9" hidden="1" x14ac:dyDescent="0.45">
      <c r="B20" t="s">
        <v>67</v>
      </c>
      <c r="C20">
        <v>140</v>
      </c>
      <c r="D20">
        <f>Namibia!C11</f>
        <v>59</v>
      </c>
      <c r="E20">
        <f>Swaziland!C11</f>
        <v>0</v>
      </c>
    </row>
    <row r="22" spans="2:9" x14ac:dyDescent="0.45">
      <c r="B22" t="s">
        <v>76</v>
      </c>
      <c r="C22" s="10">
        <f>C6/50000</f>
        <v>43802.94</v>
      </c>
      <c r="D22" s="10">
        <f>D6/50000</f>
        <v>5133.8326800000004</v>
      </c>
      <c r="E22" s="10">
        <f>E6/50000</f>
        <v>1136.4559999999999</v>
      </c>
      <c r="F22" s="10">
        <f>F6/50000</f>
        <v>5000</v>
      </c>
      <c r="G22" s="10">
        <f>G6/50000</f>
        <v>3120</v>
      </c>
    </row>
    <row r="23" spans="2:9" x14ac:dyDescent="0.45">
      <c r="B23" t="s">
        <v>77</v>
      </c>
      <c r="C23" s="2">
        <f>C9/C22</f>
        <v>939.16053547764398</v>
      </c>
      <c r="D23" s="2">
        <f t="shared" ref="D23:G23" si="2">D9/D22</f>
        <v>4197.8174676312201</v>
      </c>
      <c r="E23" s="2">
        <f t="shared" si="2"/>
        <v>2799.3293405112036</v>
      </c>
      <c r="F23" s="2">
        <f t="shared" si="2"/>
        <v>3690.57096</v>
      </c>
      <c r="G23" s="2">
        <f t="shared" si="2"/>
        <v>2918.1564789377298</v>
      </c>
    </row>
    <row r="24" spans="2:9" x14ac:dyDescent="0.45">
      <c r="C24" s="14"/>
    </row>
    <row r="25" spans="2:9" x14ac:dyDescent="0.45">
      <c r="C25" s="9">
        <f>C11/C7</f>
        <v>6.0342438673490111E-3</v>
      </c>
      <c r="D25" s="9">
        <f t="shared" ref="D25:G25" si="3">D11/D7</f>
        <v>7.3375400178855976E-3</v>
      </c>
      <c r="E25" s="9">
        <f t="shared" si="3"/>
        <v>5.485438964038151E-3</v>
      </c>
      <c r="F25" s="9">
        <f t="shared" si="3"/>
        <v>4.67024E-3</v>
      </c>
      <c r="G25" s="9">
        <f t="shared" si="3"/>
        <v>2.1518271072796951E-2</v>
      </c>
    </row>
    <row r="26" spans="2:9" x14ac:dyDescent="0.45">
      <c r="C26" s="10"/>
      <c r="D26" s="10"/>
      <c r="E26" s="10"/>
      <c r="F26" s="10"/>
      <c r="G26" s="10"/>
    </row>
    <row r="27" spans="2:9" x14ac:dyDescent="0.45">
      <c r="C27" s="2"/>
      <c r="D27" s="2"/>
      <c r="E27" s="2"/>
      <c r="F27" s="2"/>
      <c r="G27" s="2"/>
    </row>
    <row r="28" spans="2:9" x14ac:dyDescent="0.45">
      <c r="C28" s="2"/>
      <c r="D28" s="2"/>
      <c r="E28" s="2"/>
      <c r="F28" s="2"/>
      <c r="G28" s="2"/>
    </row>
    <row r="29" spans="2:9" x14ac:dyDescent="0.45">
      <c r="C29" s="10"/>
      <c r="D29" s="10"/>
      <c r="E29" s="10"/>
      <c r="F29" s="10"/>
      <c r="G2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zoomScale="85" zoomScaleNormal="85" workbookViewId="0">
      <selection activeCell="D10" sqref="D10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20.53125" style="2" customWidth="1"/>
    <col min="4" max="4" width="16.19921875" style="2" bestFit="1" customWidth="1"/>
    <col min="5" max="16384" width="8.796875" style="1"/>
  </cols>
  <sheetData>
    <row r="1" spans="1:4" ht="15.75" x14ac:dyDescent="0.5">
      <c r="A1" s="3" t="s">
        <v>0</v>
      </c>
      <c r="B1" s="3" t="s">
        <v>21</v>
      </c>
    </row>
    <row r="2" spans="1:4" x14ac:dyDescent="0.45">
      <c r="C2" s="2" t="s">
        <v>40</v>
      </c>
      <c r="D2" s="2" t="s">
        <v>40</v>
      </c>
    </row>
    <row r="3" spans="1:4" x14ac:dyDescent="0.45">
      <c r="A3" s="1" t="s">
        <v>2</v>
      </c>
      <c r="C3" s="2" t="s">
        <v>41</v>
      </c>
      <c r="D3" s="2" t="s">
        <v>42</v>
      </c>
    </row>
    <row r="4" spans="1:4" x14ac:dyDescent="0.45">
      <c r="B4" s="1" t="s">
        <v>3</v>
      </c>
      <c r="C4" s="2">
        <v>83733431</v>
      </c>
      <c r="D4" s="2">
        <v>78789035</v>
      </c>
    </row>
    <row r="5" spans="1:4" x14ac:dyDescent="0.45">
      <c r="B5" s="1" t="s">
        <v>4</v>
      </c>
      <c r="C5" s="2">
        <f>284114*200</f>
        <v>56822800</v>
      </c>
      <c r="D5" s="2">
        <f>278218*200</f>
        <v>55643600</v>
      </c>
    </row>
    <row r="6" spans="1:4" x14ac:dyDescent="0.45">
      <c r="A6" s="1" t="s">
        <v>33</v>
      </c>
      <c r="B6" s="1" t="s">
        <v>34</v>
      </c>
      <c r="C6" s="2">
        <v>1</v>
      </c>
    </row>
    <row r="7" spans="1:4" x14ac:dyDescent="0.45">
      <c r="B7" s="1" t="s">
        <v>35</v>
      </c>
      <c r="C7" s="2">
        <v>3</v>
      </c>
    </row>
    <row r="8" spans="1:4" x14ac:dyDescent="0.45">
      <c r="B8" s="1" t="s">
        <v>54</v>
      </c>
    </row>
    <row r="9" spans="1:4" x14ac:dyDescent="0.45">
      <c r="B9" s="1" t="s">
        <v>53</v>
      </c>
      <c r="C9" s="2" t="s">
        <v>55</v>
      </c>
    </row>
    <row r="10" spans="1:4" x14ac:dyDescent="0.45">
      <c r="B10" s="1" t="s">
        <v>64</v>
      </c>
      <c r="C10" s="2" t="s">
        <v>55</v>
      </c>
    </row>
    <row r="13" spans="1:4" x14ac:dyDescent="0.45">
      <c r="A13" s="1" t="s">
        <v>5</v>
      </c>
    </row>
    <row r="14" spans="1:4" x14ac:dyDescent="0.45">
      <c r="B14" s="1" t="s">
        <v>23</v>
      </c>
    </row>
    <row r="17" spans="1:2" x14ac:dyDescent="0.45">
      <c r="A17" s="1" t="s">
        <v>6</v>
      </c>
    </row>
    <row r="18" spans="1:2" x14ac:dyDescent="0.45">
      <c r="B18" s="1" t="s">
        <v>24</v>
      </c>
    </row>
    <row r="22" spans="1:2" x14ac:dyDescent="0.45">
      <c r="A22" s="1" t="s">
        <v>7</v>
      </c>
    </row>
    <row r="23" spans="1:2" x14ac:dyDescent="0.45">
      <c r="B23" s="1" t="s">
        <v>22</v>
      </c>
    </row>
    <row r="26" spans="1:2" x14ac:dyDescent="0.45">
      <c r="A26" s="1" t="s">
        <v>16</v>
      </c>
    </row>
    <row r="27" spans="1:2" x14ac:dyDescent="0.45">
      <c r="B27" s="1" t="s">
        <v>26</v>
      </c>
    </row>
    <row r="28" spans="1:2" x14ac:dyDescent="0.45">
      <c r="B28" s="1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tabSelected="1" zoomScale="85" zoomScaleNormal="85" workbookViewId="0">
      <selection activeCell="C4" sqref="C4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17.53125" style="2" bestFit="1" customWidth="1"/>
    <col min="4" max="4" width="18.19921875" style="2" customWidth="1"/>
    <col min="5" max="16384" width="8.796875" style="1"/>
  </cols>
  <sheetData>
    <row r="1" spans="1:5" ht="15.75" x14ac:dyDescent="0.5">
      <c r="A1" s="3" t="s">
        <v>0</v>
      </c>
      <c r="B1" s="3" t="s">
        <v>1</v>
      </c>
    </row>
    <row r="2" spans="1:5" x14ac:dyDescent="0.45">
      <c r="C2" s="2" t="s">
        <v>40</v>
      </c>
      <c r="D2" s="2" t="s">
        <v>40</v>
      </c>
    </row>
    <row r="3" spans="1:5" x14ac:dyDescent="0.45">
      <c r="A3" s="1" t="s">
        <v>2</v>
      </c>
      <c r="C3" s="2" t="s">
        <v>41</v>
      </c>
      <c r="D3" s="2" t="s">
        <v>42</v>
      </c>
    </row>
    <row r="4" spans="1:5" x14ac:dyDescent="0.45">
      <c r="B4" s="1" t="s">
        <v>3</v>
      </c>
      <c r="C4" s="2">
        <f>3520159355/5</f>
        <v>704031871</v>
      </c>
      <c r="D4" s="2">
        <f>2862330461/5</f>
        <v>572466092.20000005</v>
      </c>
      <c r="E4" s="1" t="s">
        <v>10</v>
      </c>
    </row>
    <row r="5" spans="1:5" x14ac:dyDescent="0.45">
      <c r="B5" s="1" t="s">
        <v>4</v>
      </c>
      <c r="C5" s="2">
        <f>10950735*200</f>
        <v>2190147000</v>
      </c>
      <c r="D5" s="2">
        <f>10721352*200</f>
        <v>2144270400</v>
      </c>
    </row>
    <row r="6" spans="1:5" x14ac:dyDescent="0.45">
      <c r="A6" s="1" t="s">
        <v>33</v>
      </c>
      <c r="B6" s="1" t="s">
        <v>34</v>
      </c>
      <c r="C6" s="2">
        <v>13</v>
      </c>
    </row>
    <row r="7" spans="1:5" x14ac:dyDescent="0.45">
      <c r="B7" s="1" t="s">
        <v>35</v>
      </c>
      <c r="C7" s="2">
        <v>39</v>
      </c>
    </row>
    <row r="8" spans="1:5" x14ac:dyDescent="0.45">
      <c r="B8" s="1" t="s">
        <v>37</v>
      </c>
      <c r="C8" s="2">
        <v>6</v>
      </c>
    </row>
    <row r="9" spans="1:5" x14ac:dyDescent="0.45">
      <c r="B9" s="1" t="s">
        <v>38</v>
      </c>
      <c r="C9" s="2">
        <v>6</v>
      </c>
    </row>
    <row r="10" spans="1:5" x14ac:dyDescent="0.45">
      <c r="B10" s="1" t="s">
        <v>53</v>
      </c>
      <c r="C10" s="2">
        <v>3</v>
      </c>
    </row>
    <row r="11" spans="1:5" x14ac:dyDescent="0.45">
      <c r="B11" s="1" t="s">
        <v>64</v>
      </c>
      <c r="C11" s="2" t="s">
        <v>55</v>
      </c>
    </row>
    <row r="14" spans="1:5" x14ac:dyDescent="0.45">
      <c r="A14" s="1" t="s">
        <v>5</v>
      </c>
    </row>
    <row r="15" spans="1:5" x14ac:dyDescent="0.45">
      <c r="B15" s="1" t="s">
        <v>11</v>
      </c>
    </row>
    <row r="18" spans="1:2" x14ac:dyDescent="0.45">
      <c r="A18" s="1" t="s">
        <v>6</v>
      </c>
    </row>
    <row r="19" spans="1:2" x14ac:dyDescent="0.45">
      <c r="B19" s="1" t="s">
        <v>12</v>
      </c>
    </row>
    <row r="20" spans="1:2" x14ac:dyDescent="0.45">
      <c r="B20" s="1" t="s">
        <v>13</v>
      </c>
    </row>
    <row r="21" spans="1:2" x14ac:dyDescent="0.45">
      <c r="B21" s="1" t="s">
        <v>14</v>
      </c>
    </row>
    <row r="23" spans="1:2" x14ac:dyDescent="0.45">
      <c r="A23" s="1" t="s">
        <v>7</v>
      </c>
    </row>
    <row r="24" spans="1:2" x14ac:dyDescent="0.45">
      <c r="B24" s="1" t="s">
        <v>15</v>
      </c>
    </row>
    <row r="27" spans="1:2" x14ac:dyDescent="0.45">
      <c r="A27" s="1" t="s">
        <v>16</v>
      </c>
    </row>
    <row r="28" spans="1:2" x14ac:dyDescent="0.45">
      <c r="B28" s="1" t="s">
        <v>17</v>
      </c>
    </row>
    <row r="29" spans="1:2" x14ac:dyDescent="0.45">
      <c r="B29" s="1" t="s">
        <v>19</v>
      </c>
    </row>
    <row r="30" spans="1:2" x14ac:dyDescent="0.45">
      <c r="B30" s="1" t="s">
        <v>18</v>
      </c>
    </row>
    <row r="31" spans="1:2" x14ac:dyDescent="0.45">
      <c r="B31" s="1" t="s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zoomScale="85" zoomScaleNormal="85" workbookViewId="0">
      <selection activeCell="D10" sqref="D10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20.53125" style="2" customWidth="1"/>
    <col min="4" max="4" width="16.19921875" style="2" bestFit="1" customWidth="1"/>
    <col min="5" max="16384" width="8.796875" style="1"/>
  </cols>
  <sheetData>
    <row r="1" spans="1:5" ht="15.75" x14ac:dyDescent="0.5">
      <c r="A1" s="3" t="s">
        <v>0</v>
      </c>
      <c r="B1" s="3" t="s">
        <v>27</v>
      </c>
    </row>
    <row r="2" spans="1:5" x14ac:dyDescent="0.45">
      <c r="C2" s="2" t="s">
        <v>39</v>
      </c>
    </row>
    <row r="3" spans="1:5" x14ac:dyDescent="0.45">
      <c r="A3" s="1" t="s">
        <v>2</v>
      </c>
      <c r="C3" s="2" t="s">
        <v>8</v>
      </c>
      <c r="D3" s="2" t="s">
        <v>9</v>
      </c>
    </row>
    <row r="4" spans="1:5" x14ac:dyDescent="0.45">
      <c r="B4" s="1" t="s">
        <v>3</v>
      </c>
      <c r="C4" s="2">
        <f>(2102566000-310000000)/54</f>
        <v>33195666.666666668</v>
      </c>
      <c r="D4" s="2">
        <v>0</v>
      </c>
      <c r="E4" s="1" t="s">
        <v>36</v>
      </c>
    </row>
    <row r="5" spans="1:5" x14ac:dyDescent="0.45">
      <c r="B5" s="1" t="s">
        <v>4</v>
      </c>
      <c r="C5" s="2">
        <f>78613000-12478600</f>
        <v>66134400</v>
      </c>
      <c r="D5" s="2">
        <v>0</v>
      </c>
    </row>
    <row r="6" spans="1:5" x14ac:dyDescent="0.45">
      <c r="A6" s="1" t="s">
        <v>33</v>
      </c>
      <c r="B6" s="1" t="s">
        <v>34</v>
      </c>
      <c r="C6" s="2">
        <v>5</v>
      </c>
    </row>
    <row r="7" spans="1:5" x14ac:dyDescent="0.45">
      <c r="B7" s="1" t="s">
        <v>35</v>
      </c>
      <c r="C7" s="2">
        <v>14</v>
      </c>
    </row>
    <row r="8" spans="1:5" x14ac:dyDescent="0.45">
      <c r="B8" s="1" t="s">
        <v>51</v>
      </c>
    </row>
    <row r="9" spans="1:5" x14ac:dyDescent="0.45">
      <c r="B9" s="1" t="s">
        <v>53</v>
      </c>
      <c r="C9" s="2">
        <v>1</v>
      </c>
    </row>
    <row r="10" spans="1:5" x14ac:dyDescent="0.45">
      <c r="B10" s="1" t="s">
        <v>64</v>
      </c>
      <c r="C10" s="2" t="s">
        <v>55</v>
      </c>
    </row>
    <row r="13" spans="1:5" x14ac:dyDescent="0.45">
      <c r="A13" s="1" t="s">
        <v>5</v>
      </c>
    </row>
    <row r="14" spans="1:5" x14ac:dyDescent="0.45">
      <c r="B14" s="1" t="s">
        <v>28</v>
      </c>
    </row>
    <row r="17" spans="1:2" x14ac:dyDescent="0.45">
      <c r="A17" s="1" t="s">
        <v>6</v>
      </c>
    </row>
    <row r="18" spans="1:2" x14ac:dyDescent="0.45">
      <c r="B18" s="1" t="s">
        <v>29</v>
      </c>
    </row>
    <row r="19" spans="1:2" x14ac:dyDescent="0.45">
      <c r="B19" s="1" t="s">
        <v>30</v>
      </c>
    </row>
    <row r="20" spans="1:2" x14ac:dyDescent="0.45">
      <c r="B20" s="1" t="s">
        <v>24</v>
      </c>
    </row>
    <row r="22" spans="1:2" x14ac:dyDescent="0.45">
      <c r="A22" s="1" t="s">
        <v>7</v>
      </c>
    </row>
    <row r="23" spans="1:2" x14ac:dyDescent="0.45">
      <c r="B23" s="1" t="s">
        <v>32</v>
      </c>
    </row>
    <row r="26" spans="1:2" x14ac:dyDescent="0.45">
      <c r="A26" s="1" t="s">
        <v>16</v>
      </c>
    </row>
    <row r="27" spans="1:2" x14ac:dyDescent="0.45">
      <c r="B27" s="1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workbookViewId="0">
      <selection activeCell="D10" sqref="D10"/>
    </sheetView>
  </sheetViews>
  <sheetFormatPr defaultColWidth="8.796875" defaultRowHeight="14.25" x14ac:dyDescent="0.45"/>
  <cols>
    <col min="1" max="1" width="10.46484375" style="1" customWidth="1"/>
    <col min="2" max="2" width="15.53125" style="1" customWidth="1"/>
    <col min="3" max="3" width="20.53125" style="2" customWidth="1"/>
    <col min="4" max="4" width="16.19921875" style="2" bestFit="1" customWidth="1"/>
    <col min="5" max="16384" width="8.796875" style="1"/>
  </cols>
  <sheetData>
    <row r="1" spans="1:4" ht="15.75" x14ac:dyDescent="0.5">
      <c r="A1" s="3" t="s">
        <v>0</v>
      </c>
      <c r="B1" s="3" t="s">
        <v>43</v>
      </c>
    </row>
    <row r="2" spans="1:4" x14ac:dyDescent="0.45">
      <c r="C2" s="2" t="s">
        <v>39</v>
      </c>
    </row>
    <row r="3" spans="1:4" x14ac:dyDescent="0.45">
      <c r="A3" s="1" t="s">
        <v>2</v>
      </c>
      <c r="C3" s="2" t="s">
        <v>8</v>
      </c>
      <c r="D3" s="2" t="s">
        <v>9</v>
      </c>
    </row>
    <row r="4" spans="1:4" x14ac:dyDescent="0.45">
      <c r="B4" s="1" t="s">
        <v>3</v>
      </c>
      <c r="C4" s="2">
        <v>347649552</v>
      </c>
      <c r="D4" s="2">
        <v>334879267</v>
      </c>
    </row>
    <row r="5" spans="1:4" x14ac:dyDescent="0.45">
      <c r="B5" s="1" t="s">
        <v>4</v>
      </c>
      <c r="C5" s="2">
        <f>256691.634*1000</f>
        <v>256691634</v>
      </c>
      <c r="D5" s="2">
        <v>271472000</v>
      </c>
    </row>
    <row r="6" spans="1:4" x14ac:dyDescent="0.45">
      <c r="A6" s="1" t="s">
        <v>33</v>
      </c>
      <c r="B6" s="1" t="s">
        <v>34</v>
      </c>
      <c r="C6" s="2">
        <v>5</v>
      </c>
    </row>
    <row r="7" spans="1:4" x14ac:dyDescent="0.45">
      <c r="B7" s="1" t="s">
        <v>35</v>
      </c>
      <c r="C7" s="2">
        <v>9</v>
      </c>
    </row>
    <row r="8" spans="1:4" x14ac:dyDescent="0.45">
      <c r="B8" s="1" t="s">
        <v>51</v>
      </c>
      <c r="C8" s="2">
        <v>10</v>
      </c>
    </row>
    <row r="9" spans="1:4" x14ac:dyDescent="0.45">
      <c r="B9" s="1" t="s">
        <v>52</v>
      </c>
      <c r="C9" s="2" t="s">
        <v>66</v>
      </c>
    </row>
    <row r="10" spans="1:4" x14ac:dyDescent="0.45">
      <c r="B10" s="1" t="s">
        <v>64</v>
      </c>
      <c r="C10" s="2">
        <v>1347</v>
      </c>
    </row>
    <row r="11" spans="1:4" x14ac:dyDescent="0.45">
      <c r="B11" s="1" t="s">
        <v>68</v>
      </c>
      <c r="C11" s="2">
        <v>59</v>
      </c>
    </row>
    <row r="13" spans="1:4" x14ac:dyDescent="0.45">
      <c r="A13" s="1" t="s">
        <v>5</v>
      </c>
    </row>
    <row r="14" spans="1:4" x14ac:dyDescent="0.45">
      <c r="B14" s="1" t="s">
        <v>44</v>
      </c>
    </row>
    <row r="15" spans="1:4" x14ac:dyDescent="0.45">
      <c r="B15" s="1" t="s">
        <v>45</v>
      </c>
    </row>
    <row r="16" spans="1:4" x14ac:dyDescent="0.45">
      <c r="B16" s="1" t="s">
        <v>46</v>
      </c>
    </row>
    <row r="18" spans="1:2" x14ac:dyDescent="0.45">
      <c r="A18" s="1" t="s">
        <v>6</v>
      </c>
    </row>
    <row r="19" spans="1:2" x14ac:dyDescent="0.45">
      <c r="B19" s="1" t="s">
        <v>47</v>
      </c>
    </row>
    <row r="20" spans="1:2" x14ac:dyDescent="0.45">
      <c r="B20" s="1" t="s">
        <v>48</v>
      </c>
    </row>
    <row r="21" spans="1:2" x14ac:dyDescent="0.45">
      <c r="B21" s="1" t="s">
        <v>49</v>
      </c>
    </row>
    <row r="23" spans="1:2" x14ac:dyDescent="0.45">
      <c r="A23" s="1" t="s">
        <v>7</v>
      </c>
    </row>
    <row r="24" spans="1:2" x14ac:dyDescent="0.45">
      <c r="B24" s="1" t="s">
        <v>32</v>
      </c>
    </row>
    <row r="27" spans="1:2" x14ac:dyDescent="0.45">
      <c r="A27" s="1" t="s">
        <v>16</v>
      </c>
    </row>
    <row r="28" spans="1:2" x14ac:dyDescent="0.45">
      <c r="B28" s="1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Metrics - May actuals</vt:lpstr>
      <vt:lpstr>Metrics - Budget</vt:lpstr>
      <vt:lpstr>Swaziland</vt:lpstr>
      <vt:lpstr>Mozambique</vt:lpstr>
      <vt:lpstr>Malawi</vt:lpstr>
      <vt:lpstr>Namibia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C. Mulder</dc:creator>
  <cp:lastModifiedBy>Wally Fernandes</cp:lastModifiedBy>
  <dcterms:created xsi:type="dcterms:W3CDTF">2017-06-02T09:05:31Z</dcterms:created>
  <dcterms:modified xsi:type="dcterms:W3CDTF">2018-12-11T05:12:43Z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