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"/>
    </mc:Choice>
  </mc:AlternateContent>
  <xr:revisionPtr revIDLastSave="0" documentId="13_ncr:1_{A222A026-8A5C-4485-990C-66A76C507DA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Leistung bei Wechselstrom" sheetId="28" r:id="rId2"/>
    <sheet name="Sinus_Cosinus" sheetId="22" r:id="rId3"/>
    <sheet name="Schiefeebene" sheetId="19" r:id="rId4"/>
    <sheet name="Schiefe-Ebene (alt)" sheetId="20" r:id="rId5"/>
    <sheet name="Vektoren" sheetId="18" r:id="rId6"/>
    <sheet name="Vektor" sheetId="24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3-Phasenstrom" sheetId="25" r:id="rId16"/>
    <sheet name="Gemischte Schaltung" sheetId="23" r:id="rId17"/>
    <sheet name="Theoreme" sheetId="26" r:id="rId18"/>
    <sheet name="Fläche eines Polygones" sheetId="27" r:id="rId19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8" l="1"/>
  <c r="F10" i="28"/>
  <c r="F12" i="28"/>
  <c r="F11" i="28"/>
  <c r="O13" i="25" l="1"/>
  <c r="M13" i="25"/>
  <c r="M12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M23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U13" i="25"/>
  <c r="S13" i="25"/>
  <c r="F13" i="25"/>
  <c r="I13" i="25" s="1"/>
  <c r="G12" i="28"/>
  <c r="H12" i="28"/>
  <c r="I12" i="28"/>
  <c r="J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V4" i="28"/>
  <c r="U4" i="28"/>
  <c r="D12" i="28"/>
  <c r="L5" i="28"/>
  <c r="H11" i="28" s="1"/>
  <c r="L4" i="28"/>
  <c r="N10" i="28" s="1"/>
  <c r="C21" i="13"/>
  <c r="F9" i="28"/>
  <c r="G8" i="28"/>
  <c r="G9" i="28" s="1"/>
  <c r="L23" i="27"/>
  <c r="C20" i="13"/>
  <c r="F25" i="27"/>
  <c r="G25" i="27"/>
  <c r="F26" i="27"/>
  <c r="G26" i="27"/>
  <c r="F27" i="27"/>
  <c r="G27" i="27"/>
  <c r="H27" i="27" s="1"/>
  <c r="F28" i="27"/>
  <c r="H28" i="27" s="1"/>
  <c r="G28" i="27"/>
  <c r="F29" i="27"/>
  <c r="G29" i="27"/>
  <c r="F30" i="27"/>
  <c r="G30" i="27"/>
  <c r="F31" i="27"/>
  <c r="H31" i="27" s="1"/>
  <c r="G31" i="27"/>
  <c r="F32" i="27"/>
  <c r="G32" i="27"/>
  <c r="F33" i="27"/>
  <c r="G33" i="27"/>
  <c r="F34" i="27"/>
  <c r="G34" i="27"/>
  <c r="H34" i="27"/>
  <c r="F35" i="27"/>
  <c r="G35" i="27"/>
  <c r="H35" i="27"/>
  <c r="F36" i="27"/>
  <c r="G36" i="27"/>
  <c r="H36" i="27"/>
  <c r="G24" i="27"/>
  <c r="F24" i="27"/>
  <c r="G23" i="27"/>
  <c r="F23" i="27"/>
  <c r="C19" i="13"/>
  <c r="Y16" i="25"/>
  <c r="AC3" i="25"/>
  <c r="AC5" i="25"/>
  <c r="AC4" i="25"/>
  <c r="Z5" i="25"/>
  <c r="Z4" i="25"/>
  <c r="W5" i="25"/>
  <c r="W4" i="25"/>
  <c r="W3" i="25"/>
  <c r="C18" i="13"/>
  <c r="C10" i="13"/>
  <c r="AA5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M18" i="15"/>
  <c r="J15" i="15"/>
  <c r="E8" i="15"/>
  <c r="F17" i="15"/>
  <c r="F15" i="15"/>
  <c r="C17" i="15" s="1"/>
  <c r="T17" i="15" s="1"/>
  <c r="T23" i="15" s="1"/>
  <c r="E16" i="15"/>
  <c r="D15" i="15"/>
  <c r="D16" i="15" s="1"/>
  <c r="D17" i="15" s="1"/>
  <c r="P19" i="12"/>
  <c r="P18" i="12"/>
  <c r="Q17" i="12"/>
  <c r="P16" i="12"/>
  <c r="P15" i="12"/>
  <c r="M18" i="12"/>
  <c r="M17" i="12"/>
  <c r="M16" i="12"/>
  <c r="F12" i="25"/>
  <c r="H12" i="25" s="1"/>
  <c r="F11" i="25"/>
  <c r="H11" i="25" s="1"/>
  <c r="E12" i="25"/>
  <c r="E13" i="25" s="1"/>
  <c r="M21" i="25"/>
  <c r="N20" i="25"/>
  <c r="N21" i="25" s="1"/>
  <c r="G14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H13" i="25" l="1"/>
  <c r="AC11" i="28"/>
  <c r="AA11" i="28"/>
  <c r="W11" i="28"/>
  <c r="AQ11" i="28"/>
  <c r="Q11" i="28"/>
  <c r="AO11" i="28"/>
  <c r="O11" i="28"/>
  <c r="AM11" i="28"/>
  <c r="N11" i="28"/>
  <c r="N13" i="28" s="1"/>
  <c r="AK11" i="28"/>
  <c r="K11" i="28"/>
  <c r="AD11" i="28"/>
  <c r="AS10" i="28"/>
  <c r="AK10" i="28"/>
  <c r="AC10" i="28"/>
  <c r="U10" i="28"/>
  <c r="M10" i="28"/>
  <c r="AR10" i="28"/>
  <c r="AJ10" i="28"/>
  <c r="AB10" i="28"/>
  <c r="T10" i="28"/>
  <c r="L10" i="28"/>
  <c r="AQ10" i="28"/>
  <c r="K10" i="28"/>
  <c r="AI10" i="28"/>
  <c r="AA10" i="28"/>
  <c r="S10" i="28"/>
  <c r="AP10" i="28"/>
  <c r="AH10" i="28"/>
  <c r="Z10" i="28"/>
  <c r="R10" i="28"/>
  <c r="J10" i="28"/>
  <c r="AO10" i="28"/>
  <c r="AG10" i="28"/>
  <c r="Y10" i="28"/>
  <c r="Q10" i="28"/>
  <c r="I10" i="28"/>
  <c r="AN10" i="28"/>
  <c r="AF10" i="28"/>
  <c r="X10" i="28"/>
  <c r="P10" i="28"/>
  <c r="H10" i="28"/>
  <c r="H13" i="28" s="1"/>
  <c r="AM10" i="28"/>
  <c r="AE10" i="28"/>
  <c r="W10" i="28"/>
  <c r="O10" i="28"/>
  <c r="G10" i="28"/>
  <c r="AT10" i="28"/>
  <c r="AL10" i="28"/>
  <c r="AD10" i="28"/>
  <c r="V10" i="28"/>
  <c r="AL11" i="28"/>
  <c r="Y11" i="28"/>
  <c r="M11" i="28"/>
  <c r="AI11" i="28"/>
  <c r="V11" i="28"/>
  <c r="I11" i="28"/>
  <c r="AT11" i="28"/>
  <c r="AG11" i="28"/>
  <c r="U11" i="28"/>
  <c r="G11" i="28"/>
  <c r="AS11" i="28"/>
  <c r="AE11" i="28"/>
  <c r="S11" i="28"/>
  <c r="AR11" i="28"/>
  <c r="AJ11" i="28"/>
  <c r="AB11" i="28"/>
  <c r="T11" i="28"/>
  <c r="L11" i="28"/>
  <c r="AP11" i="28"/>
  <c r="AH11" i="28"/>
  <c r="Z11" i="28"/>
  <c r="R11" i="28"/>
  <c r="J11" i="28"/>
  <c r="AN11" i="28"/>
  <c r="AF11" i="28"/>
  <c r="X11" i="28"/>
  <c r="P11" i="28"/>
  <c r="K12" i="28"/>
  <c r="H8" i="28"/>
  <c r="H9" i="28" s="1"/>
  <c r="H26" i="27"/>
  <c r="H30" i="27"/>
  <c r="H33" i="27"/>
  <c r="H29" i="27"/>
  <c r="H32" i="27"/>
  <c r="H25" i="27"/>
  <c r="H37" i="27" s="1"/>
  <c r="H24" i="27"/>
  <c r="H23" i="27"/>
  <c r="I11" i="25"/>
  <c r="H14" i="25"/>
  <c r="X10" i="25"/>
  <c r="X14" i="25" s="1"/>
  <c r="AA11" i="25"/>
  <c r="X15" i="25" s="1"/>
  <c r="M17" i="15"/>
  <c r="M23" i="15" s="1"/>
  <c r="AQ17" i="15"/>
  <c r="AQ23" i="15" s="1"/>
  <c r="AI17" i="15"/>
  <c r="AI23" i="15" s="1"/>
  <c r="AA17" i="15"/>
  <c r="AA23" i="15" s="1"/>
  <c r="AY17" i="15"/>
  <c r="AY23" i="15" s="1"/>
  <c r="S17" i="15"/>
  <c r="S23" i="15" s="1"/>
  <c r="J17" i="15"/>
  <c r="AX17" i="15"/>
  <c r="AX23" i="15" s="1"/>
  <c r="AP17" i="15"/>
  <c r="AP23" i="15" s="1"/>
  <c r="AH17" i="15"/>
  <c r="AH23" i="15" s="1"/>
  <c r="Z17" i="15"/>
  <c r="Z23" i="15" s="1"/>
  <c r="R17" i="15"/>
  <c r="R23" i="15" s="1"/>
  <c r="AW17" i="15"/>
  <c r="AW23" i="15" s="1"/>
  <c r="AO17" i="15"/>
  <c r="AO23" i="15" s="1"/>
  <c r="AG17" i="15"/>
  <c r="AG23" i="15" s="1"/>
  <c r="Y17" i="15"/>
  <c r="Y23" i="15" s="1"/>
  <c r="Q17" i="15"/>
  <c r="Q23" i="15" s="1"/>
  <c r="AV17" i="15"/>
  <c r="AV23" i="15" s="1"/>
  <c r="AN17" i="15"/>
  <c r="AN23" i="15" s="1"/>
  <c r="AF17" i="15"/>
  <c r="AF23" i="15" s="1"/>
  <c r="X17" i="15"/>
  <c r="X23" i="15" s="1"/>
  <c r="P17" i="15"/>
  <c r="P23" i="15" s="1"/>
  <c r="AU17" i="15"/>
  <c r="AU23" i="15" s="1"/>
  <c r="AM17" i="15"/>
  <c r="AM23" i="15" s="1"/>
  <c r="AE17" i="15"/>
  <c r="AE23" i="15" s="1"/>
  <c r="W17" i="15"/>
  <c r="W23" i="15" s="1"/>
  <c r="O17" i="15"/>
  <c r="O23" i="15" s="1"/>
  <c r="AT17" i="15"/>
  <c r="AT23" i="15" s="1"/>
  <c r="AL17" i="15"/>
  <c r="AL23" i="15" s="1"/>
  <c r="AD17" i="15"/>
  <c r="AD23" i="15" s="1"/>
  <c r="V17" i="15"/>
  <c r="V23" i="15" s="1"/>
  <c r="N17" i="15"/>
  <c r="N23" i="15" s="1"/>
  <c r="AS17" i="15"/>
  <c r="AS23" i="15" s="1"/>
  <c r="AK17" i="15"/>
  <c r="AK23" i="15" s="1"/>
  <c r="AC17" i="15"/>
  <c r="AC23" i="15" s="1"/>
  <c r="U17" i="15"/>
  <c r="U23" i="15" s="1"/>
  <c r="AR17" i="15"/>
  <c r="AR23" i="15" s="1"/>
  <c r="AJ17" i="15"/>
  <c r="AJ23" i="15" s="1"/>
  <c r="AB17" i="15"/>
  <c r="AB23" i="15" s="1"/>
  <c r="C16" i="15"/>
  <c r="M14" i="25"/>
  <c r="I12" i="25"/>
  <c r="E14" i="25"/>
  <c r="N22" i="25"/>
  <c r="M22" i="25"/>
  <c r="M11" i="25"/>
  <c r="L14" i="25" s="1"/>
  <c r="O20" i="25"/>
  <c r="F17" i="12"/>
  <c r="G17" i="12"/>
  <c r="G19" i="12"/>
  <c r="F19" i="12"/>
  <c r="E18" i="12"/>
  <c r="E16" i="12"/>
  <c r="E15" i="12"/>
  <c r="F8" i="24"/>
  <c r="F6" i="24"/>
  <c r="Y13" i="28" l="1"/>
  <c r="AL13" i="28"/>
  <c r="M13" i="28"/>
  <c r="AG13" i="28"/>
  <c r="AR13" i="28"/>
  <c r="K13" i="28"/>
  <c r="X16" i="25"/>
  <c r="G13" i="28"/>
  <c r="U13" i="28"/>
  <c r="AD13" i="28"/>
  <c r="X13" i="28"/>
  <c r="J13" i="28"/>
  <c r="AT13" i="28"/>
  <c r="AQ13" i="28"/>
  <c r="AF13" i="28"/>
  <c r="R13" i="28"/>
  <c r="AO13" i="28"/>
  <c r="AN13" i="28"/>
  <c r="AB13" i="28"/>
  <c r="L13" i="28"/>
  <c r="Z13" i="28"/>
  <c r="T13" i="28"/>
  <c r="Q13" i="28"/>
  <c r="W13" i="28"/>
  <c r="AK13" i="28"/>
  <c r="F13" i="28"/>
  <c r="S13" i="28"/>
  <c r="V13" i="28"/>
  <c r="AA13" i="28"/>
  <c r="AJ13" i="28"/>
  <c r="I13" i="28"/>
  <c r="AH13" i="28"/>
  <c r="AE13" i="28"/>
  <c r="AI13" i="28"/>
  <c r="AM13" i="28"/>
  <c r="AC13" i="28"/>
  <c r="P13" i="28"/>
  <c r="AP13" i="28"/>
  <c r="AS13" i="28"/>
  <c r="O13" i="28"/>
  <c r="I8" i="28"/>
  <c r="I9" i="28" s="1"/>
  <c r="M25" i="25"/>
  <c r="N25" i="25"/>
  <c r="O12" i="25"/>
  <c r="O14" i="25" s="1"/>
  <c r="I14" i="25"/>
  <c r="AA10" i="25"/>
  <c r="Z10" i="25"/>
  <c r="J16" i="15"/>
  <c r="C18" i="15"/>
  <c r="F18" i="15"/>
  <c r="E18" i="15" s="1"/>
  <c r="O11" i="25"/>
  <c r="N14" i="25" s="1"/>
  <c r="O21" i="25"/>
  <c r="P20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F14" i="15"/>
  <c r="M13" i="15"/>
  <c r="K13" i="15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J8" i="28" l="1"/>
  <c r="J9" i="28" s="1"/>
  <c r="K17" i="15"/>
  <c r="K15" i="15"/>
  <c r="K14" i="15"/>
  <c r="K16" i="15" s="1"/>
  <c r="J14" i="15"/>
  <c r="F16" i="15"/>
  <c r="M16" i="15" s="1"/>
  <c r="M22" i="15" s="1"/>
  <c r="M14" i="15"/>
  <c r="M15" i="15"/>
  <c r="B18" i="15"/>
  <c r="P12" i="15"/>
  <c r="O13" i="15"/>
  <c r="N13" i="15"/>
  <c r="N15" i="12"/>
  <c r="N19" i="12" s="1"/>
  <c r="N18" i="12"/>
  <c r="N17" i="12"/>
  <c r="N16" i="12"/>
  <c r="Q11" i="25"/>
  <c r="Q12" i="25" s="1"/>
  <c r="O22" i="25"/>
  <c r="F14" i="25"/>
  <c r="D14" i="25" s="1"/>
  <c r="C14" i="25"/>
  <c r="P21" i="25"/>
  <c r="Q20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C12" i="13" s="1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R11" i="25" l="1"/>
  <c r="T11" i="25" s="1"/>
  <c r="U12" i="25" s="1"/>
  <c r="Q13" i="25"/>
  <c r="K8" i="28"/>
  <c r="K9" i="28" s="1"/>
  <c r="O25" i="25"/>
  <c r="S12" i="25"/>
  <c r="M21" i="15"/>
  <c r="K23" i="15"/>
  <c r="K21" i="15"/>
  <c r="K22" i="15"/>
  <c r="N14" i="15"/>
  <c r="N15" i="15"/>
  <c r="N16" i="15"/>
  <c r="N22" i="15" s="1"/>
  <c r="O14" i="15"/>
  <c r="O15" i="15"/>
  <c r="O16" i="15"/>
  <c r="O22" i="15" s="1"/>
  <c r="Q12" i="15"/>
  <c r="P13" i="15"/>
  <c r="P22" i="25"/>
  <c r="R20" i="25"/>
  <c r="Q21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L8" i="28" l="1"/>
  <c r="L9" i="28" s="1"/>
  <c r="P25" i="25"/>
  <c r="K18" i="15"/>
  <c r="P14" i="15"/>
  <c r="P15" i="15"/>
  <c r="P16" i="15"/>
  <c r="P22" i="15" s="1"/>
  <c r="O21" i="15"/>
  <c r="N21" i="15"/>
  <c r="R12" i="15"/>
  <c r="Q13" i="15"/>
  <c r="S20" i="25"/>
  <c r="R21" i="25"/>
  <c r="Q22" i="25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M8" i="28" l="1"/>
  <c r="M9" i="28" s="1"/>
  <c r="Q25" i="25"/>
  <c r="T5" i="15"/>
  <c r="X6" i="15" s="1"/>
  <c r="T6" i="15"/>
  <c r="W6" i="15" s="1"/>
  <c r="Q14" i="15"/>
  <c r="Q15" i="15"/>
  <c r="Q16" i="15"/>
  <c r="Q22" i="15" s="1"/>
  <c r="S12" i="15"/>
  <c r="R13" i="15"/>
  <c r="P21" i="15"/>
  <c r="R22" i="25"/>
  <c r="T20" i="25"/>
  <c r="S21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N8" i="28" l="1"/>
  <c r="N9" i="28" s="1"/>
  <c r="R25" i="25"/>
  <c r="T7" i="15"/>
  <c r="R14" i="15"/>
  <c r="R15" i="15"/>
  <c r="R16" i="15"/>
  <c r="R22" i="15" s="1"/>
  <c r="S13" i="15"/>
  <c r="T12" i="15"/>
  <c r="Q21" i="15"/>
  <c r="U20" i="25"/>
  <c r="T21" i="25"/>
  <c r="S22" i="25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O8" i="28" l="1"/>
  <c r="O9" i="28" s="1"/>
  <c r="S25" i="25"/>
  <c r="S14" i="15"/>
  <c r="S15" i="15"/>
  <c r="S16" i="15"/>
  <c r="S22" i="15" s="1"/>
  <c r="R21" i="15"/>
  <c r="U12" i="15"/>
  <c r="T13" i="15"/>
  <c r="T22" i="25"/>
  <c r="T25" i="25"/>
  <c r="U21" i="25"/>
  <c r="V20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P8" i="28" l="1"/>
  <c r="P9" i="28" s="1"/>
  <c r="T14" i="15"/>
  <c r="T15" i="15"/>
  <c r="T16" i="15"/>
  <c r="T22" i="15" s="1"/>
  <c r="S21" i="15"/>
  <c r="V12" i="15"/>
  <c r="U13" i="15"/>
  <c r="U22" i="25"/>
  <c r="V21" i="25"/>
  <c r="W20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Q8" i="28" l="1"/>
  <c r="Q9" i="28" s="1"/>
  <c r="U25" i="25"/>
  <c r="U14" i="15"/>
  <c r="U15" i="15"/>
  <c r="U16" i="15"/>
  <c r="U22" i="15" s="1"/>
  <c r="T21" i="15"/>
  <c r="W12" i="15"/>
  <c r="V13" i="15"/>
  <c r="V22" i="25"/>
  <c r="W21" i="25"/>
  <c r="X20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R8" i="28" l="1"/>
  <c r="R9" i="28" s="1"/>
  <c r="V25" i="25"/>
  <c r="V14" i="15"/>
  <c r="V15" i="15"/>
  <c r="V16" i="15"/>
  <c r="V22" i="15" s="1"/>
  <c r="U21" i="15"/>
  <c r="X12" i="15"/>
  <c r="W13" i="15"/>
  <c r="W22" i="25"/>
  <c r="X21" i="25"/>
  <c r="Y20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S8" i="28" l="1"/>
  <c r="S9" i="28" s="1"/>
  <c r="W25" i="25"/>
  <c r="W15" i="15"/>
  <c r="W14" i="15"/>
  <c r="W16" i="15"/>
  <c r="W22" i="15" s="1"/>
  <c r="V21" i="15"/>
  <c r="Y12" i="15"/>
  <c r="X13" i="15"/>
  <c r="X22" i="25"/>
  <c r="Z20" i="25"/>
  <c r="Y21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T8" i="28" l="1"/>
  <c r="T9" i="28" s="1"/>
  <c r="X25" i="25"/>
  <c r="X14" i="15"/>
  <c r="X15" i="15"/>
  <c r="X16" i="15"/>
  <c r="X22" i="15" s="1"/>
  <c r="W21" i="15"/>
  <c r="Z12" i="15"/>
  <c r="Y13" i="15"/>
  <c r="AA20" i="25"/>
  <c r="Z21" i="25"/>
  <c r="Y22" i="25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U8" i="28" l="1"/>
  <c r="U9" i="28" s="1"/>
  <c r="Y25" i="25"/>
  <c r="Y14" i="15"/>
  <c r="Y15" i="15"/>
  <c r="Y16" i="15"/>
  <c r="Y22" i="15" s="1"/>
  <c r="X21" i="15"/>
  <c r="AA12" i="15"/>
  <c r="Z13" i="15"/>
  <c r="Z22" i="25"/>
  <c r="AB20" i="25"/>
  <c r="AA21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V8" i="28" l="1"/>
  <c r="V9" i="28" s="1"/>
  <c r="Z25" i="25"/>
  <c r="Z14" i="15"/>
  <c r="Z15" i="15"/>
  <c r="Z16" i="15"/>
  <c r="Z22" i="15" s="1"/>
  <c r="Y21" i="15"/>
  <c r="AA13" i="15"/>
  <c r="AB12" i="15"/>
  <c r="AC20" i="25"/>
  <c r="AB21" i="25"/>
  <c r="AA22" i="25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W8" i="28" l="1"/>
  <c r="W9" i="28" s="1"/>
  <c r="AA25" i="25"/>
  <c r="AA14" i="15"/>
  <c r="AA15" i="15"/>
  <c r="AA16" i="15"/>
  <c r="AA22" i="15" s="1"/>
  <c r="Z21" i="15"/>
  <c r="AC12" i="15"/>
  <c r="AB13" i="15"/>
  <c r="AB22" i="25"/>
  <c r="AC21" i="25"/>
  <c r="AD20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X8" i="28" l="1"/>
  <c r="X9" i="28" s="1"/>
  <c r="AB25" i="25"/>
  <c r="AB14" i="15"/>
  <c r="AB15" i="15"/>
  <c r="AB16" i="15"/>
  <c r="AA21" i="15"/>
  <c r="AD12" i="15"/>
  <c r="AC13" i="15"/>
  <c r="AC22" i="25"/>
  <c r="AD21" i="25"/>
  <c r="AE20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Y8" i="28" l="1"/>
  <c r="Y9" i="28" s="1"/>
  <c r="AC25" i="25"/>
  <c r="AC14" i="15"/>
  <c r="AC15" i="15"/>
  <c r="AC16" i="15"/>
  <c r="AC22" i="15" s="1"/>
  <c r="AB22" i="15"/>
  <c r="AB21" i="15"/>
  <c r="AE12" i="15"/>
  <c r="AD13" i="15"/>
  <c r="AE21" i="25"/>
  <c r="AF20" i="25"/>
  <c r="AD22" i="25"/>
  <c r="AD25" i="25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Z8" i="28" l="1"/>
  <c r="Z9" i="28" s="1"/>
  <c r="AD14" i="15"/>
  <c r="AD15" i="15"/>
  <c r="AD16" i="15"/>
  <c r="AD22" i="15" s="1"/>
  <c r="AC21" i="15"/>
  <c r="AF12" i="15"/>
  <c r="AE13" i="15"/>
  <c r="AF21" i="25"/>
  <c r="AG20" i="25"/>
  <c r="AE22" i="25"/>
  <c r="AE25" i="25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A8" i="28" l="1"/>
  <c r="AA9" i="28" s="1"/>
  <c r="AE14" i="15"/>
  <c r="AE15" i="15"/>
  <c r="AE16" i="15"/>
  <c r="AE22" i="15" s="1"/>
  <c r="AD21" i="15"/>
  <c r="AG12" i="15"/>
  <c r="AF13" i="15"/>
  <c r="AH20" i="25"/>
  <c r="AG21" i="25"/>
  <c r="AF22" i="25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B8" i="28" l="1"/>
  <c r="AB9" i="28" s="1"/>
  <c r="AF25" i="25"/>
  <c r="AF14" i="15"/>
  <c r="AF15" i="15"/>
  <c r="AF16" i="15"/>
  <c r="AF22" i="15" s="1"/>
  <c r="AE21" i="15"/>
  <c r="AH12" i="15"/>
  <c r="AG13" i="15"/>
  <c r="AG22" i="25"/>
  <c r="AI20" i="25"/>
  <c r="AH21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C8" i="28" l="1"/>
  <c r="AC9" i="28" s="1"/>
  <c r="AG25" i="25"/>
  <c r="AG14" i="15"/>
  <c r="AG15" i="15"/>
  <c r="AG16" i="15"/>
  <c r="AG22" i="15" s="1"/>
  <c r="AF21" i="15"/>
  <c r="AI12" i="15"/>
  <c r="AH13" i="15"/>
  <c r="AH22" i="25"/>
  <c r="AJ20" i="25"/>
  <c r="AI21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D8" i="28" l="1"/>
  <c r="AD9" i="28" s="1"/>
  <c r="AH25" i="25"/>
  <c r="AH14" i="15"/>
  <c r="AH15" i="15"/>
  <c r="AH16" i="15"/>
  <c r="AH22" i="15" s="1"/>
  <c r="AI13" i="15"/>
  <c r="AJ12" i="15"/>
  <c r="AG21" i="15"/>
  <c r="AI22" i="25"/>
  <c r="AK20" i="25"/>
  <c r="AJ21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E8" i="28" l="1"/>
  <c r="AE9" i="28" s="1"/>
  <c r="AI25" i="25"/>
  <c r="AI14" i="15"/>
  <c r="AI15" i="15"/>
  <c r="AI16" i="15"/>
  <c r="AI22" i="15" s="1"/>
  <c r="AH21" i="15"/>
  <c r="AK12" i="15"/>
  <c r="AJ13" i="15"/>
  <c r="AJ22" i="25"/>
  <c r="AK21" i="25"/>
  <c r="AL20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F8" i="28" l="1"/>
  <c r="AF9" i="28" s="1"/>
  <c r="AJ25" i="25"/>
  <c r="AJ14" i="15"/>
  <c r="AJ15" i="15"/>
  <c r="AJ16" i="15"/>
  <c r="AI21" i="15"/>
  <c r="AL12" i="15"/>
  <c r="AK13" i="15"/>
  <c r="AL21" i="25"/>
  <c r="AM20" i="25"/>
  <c r="AK22" i="25"/>
  <c r="AK25" i="25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G8" i="28" l="1"/>
  <c r="AG9" i="28" s="1"/>
  <c r="AK14" i="15"/>
  <c r="AK15" i="15"/>
  <c r="AK16" i="15"/>
  <c r="AJ22" i="15"/>
  <c r="AJ21" i="15"/>
  <c r="AM12" i="15"/>
  <c r="AL13" i="15"/>
  <c r="AM21" i="25"/>
  <c r="AN20" i="25"/>
  <c r="AL22" i="25"/>
  <c r="AL25" i="25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H8" i="28" l="1"/>
  <c r="AH9" i="28" s="1"/>
  <c r="AK22" i="15"/>
  <c r="AL14" i="15"/>
  <c r="AL15" i="15"/>
  <c r="AL16" i="15"/>
  <c r="AL22" i="15" s="1"/>
  <c r="AK21" i="15"/>
  <c r="AN12" i="15"/>
  <c r="AM13" i="15"/>
  <c r="AM22" i="25"/>
  <c r="AN21" i="25"/>
  <c r="AO20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I8" i="28" l="1"/>
  <c r="AI9" i="28" s="1"/>
  <c r="AM25" i="25"/>
  <c r="AM15" i="15"/>
  <c r="AM14" i="15"/>
  <c r="AM16" i="15"/>
  <c r="AL21" i="15"/>
  <c r="AO12" i="15"/>
  <c r="AN13" i="15"/>
  <c r="AP20" i="25"/>
  <c r="AO21" i="25"/>
  <c r="AN22" i="25"/>
  <c r="AN25" i="25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J8" i="28" l="1"/>
  <c r="AJ9" i="28" s="1"/>
  <c r="AN14" i="15"/>
  <c r="AN15" i="15"/>
  <c r="AN16" i="15"/>
  <c r="AN22" i="15" s="1"/>
  <c r="AM22" i="15"/>
  <c r="AM21" i="15"/>
  <c r="AP12" i="15"/>
  <c r="AO13" i="15"/>
  <c r="AO22" i="25"/>
  <c r="AQ20" i="25"/>
  <c r="AP21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K8" i="28" l="1"/>
  <c r="AK9" i="28" s="1"/>
  <c r="AO25" i="25"/>
  <c r="AO14" i="15"/>
  <c r="AO15" i="15"/>
  <c r="AO16" i="15"/>
  <c r="AO22" i="15" s="1"/>
  <c r="AN21" i="15"/>
  <c r="AQ12" i="15"/>
  <c r="AP13" i="15"/>
  <c r="AR20" i="25"/>
  <c r="AQ21" i="25"/>
  <c r="AP22" i="25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L8" i="28" l="1"/>
  <c r="AL9" i="28" s="1"/>
  <c r="AP25" i="25"/>
  <c r="AP14" i="15"/>
  <c r="AP15" i="15"/>
  <c r="AP16" i="15"/>
  <c r="AP22" i="15" s="1"/>
  <c r="AQ13" i="15"/>
  <c r="AR12" i="15"/>
  <c r="AO21" i="15"/>
  <c r="AQ22" i="25"/>
  <c r="AS20" i="25"/>
  <c r="AR21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M8" i="28" l="1"/>
  <c r="AM9" i="28" s="1"/>
  <c r="AQ25" i="25"/>
  <c r="AQ14" i="15"/>
  <c r="AQ15" i="15"/>
  <c r="AQ16" i="15"/>
  <c r="AQ22" i="15" s="1"/>
  <c r="AP21" i="15"/>
  <c r="AS12" i="15"/>
  <c r="AR13" i="15"/>
  <c r="AS21" i="25"/>
  <c r="AT20" i="25"/>
  <c r="AR22" i="25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N8" i="28" l="1"/>
  <c r="AN9" i="28" s="1"/>
  <c r="AR25" i="25"/>
  <c r="AR14" i="15"/>
  <c r="AR15" i="15"/>
  <c r="AR16" i="15"/>
  <c r="AR22" i="15" s="1"/>
  <c r="AQ21" i="15"/>
  <c r="AT12" i="15"/>
  <c r="AS13" i="15"/>
  <c r="AT21" i="25"/>
  <c r="AU20" i="25"/>
  <c r="AS22" i="25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O8" i="28" l="1"/>
  <c r="AO9" i="28" s="1"/>
  <c r="AS25" i="25"/>
  <c r="AS14" i="15"/>
  <c r="AS15" i="15"/>
  <c r="AS16" i="15"/>
  <c r="AS22" i="15" s="1"/>
  <c r="AR21" i="15"/>
  <c r="AU12" i="15"/>
  <c r="AT13" i="15"/>
  <c r="AU21" i="25"/>
  <c r="AV20" i="25"/>
  <c r="AT22" i="25"/>
  <c r="AT25" i="25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P8" i="28" l="1"/>
  <c r="AP9" i="28" s="1"/>
  <c r="AT14" i="15"/>
  <c r="AT15" i="15"/>
  <c r="AT16" i="15"/>
  <c r="AT22" i="15" s="1"/>
  <c r="AS21" i="15"/>
  <c r="AV12" i="15"/>
  <c r="AU13" i="15"/>
  <c r="AV21" i="25"/>
  <c r="AW20" i="25"/>
  <c r="AU22" i="25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W21" i="25" l="1"/>
  <c r="AU25" i="25"/>
  <c r="AQ8" i="28"/>
  <c r="AQ9" i="28" s="1"/>
  <c r="AU15" i="15"/>
  <c r="AU14" i="15"/>
  <c r="AU16" i="15"/>
  <c r="AU22" i="15" s="1"/>
  <c r="AT21" i="15"/>
  <c r="AW12" i="15"/>
  <c r="AV13" i="15"/>
  <c r="AW22" i="25"/>
  <c r="AV22" i="25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R8" i="28" l="1"/>
  <c r="AR9" i="28" s="1"/>
  <c r="AV25" i="25"/>
  <c r="AW25" i="25"/>
  <c r="AV14" i="15"/>
  <c r="AV15" i="15"/>
  <c r="AV16" i="15"/>
  <c r="AV22" i="15" s="1"/>
  <c r="AU21" i="15"/>
  <c r="AX12" i="15"/>
  <c r="AW13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S8" i="28" l="1"/>
  <c r="AS9" i="28" s="1"/>
  <c r="AW14" i="15"/>
  <c r="AW15" i="15"/>
  <c r="AW16" i="15"/>
  <c r="AW22" i="15" s="1"/>
  <c r="AV21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T8" i="28" l="1"/>
  <c r="AX14" i="15"/>
  <c r="AX15" i="15"/>
  <c r="AX16" i="15"/>
  <c r="AY14" i="15"/>
  <c r="AY15" i="15"/>
  <c r="AY16" i="15"/>
  <c r="AY22" i="15" s="1"/>
  <c r="AW21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T9" i="28" l="1"/>
  <c r="AX22" i="15"/>
  <c r="AX21" i="15"/>
  <c r="AY21" i="15"/>
  <c r="AD6" i="15" s="1"/>
  <c r="BB15" i="12"/>
  <c r="BB18" i="12"/>
  <c r="BB17" i="12"/>
  <c r="BB16" i="12"/>
  <c r="BA19" i="12"/>
  <c r="AR7" i="22"/>
  <c r="AR8" i="22" s="1"/>
  <c r="AP10" i="22"/>
  <c r="AP11" i="22"/>
  <c r="AP9" i="22"/>
  <c r="AC6" i="15" l="1"/>
  <c r="BB19" i="12"/>
  <c r="AS7" i="22"/>
  <c r="AS8" i="22" s="1"/>
  <c r="AQ9" i="22"/>
  <c r="AQ11" i="22"/>
  <c r="AQ10" i="22"/>
  <c r="Z5" i="28" l="1"/>
  <c r="AA5" i="28"/>
  <c r="AS11" i="22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" authorId="0" shapeId="0" xr:uid="{3D6889FB-1A92-488F-B8F3-7F0A10EB7A0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<sst xmlns="http://schemas.openxmlformats.org/spreadsheetml/2006/main" count="928" uniqueCount="580">
  <si>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</si>
  <si>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</si>
  <si>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</si>
  <si>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</si>
  <si>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</si>
  <si>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</si>
  <si>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</si>
  <si>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</si>
  <si>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</si>
  <si>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</si>
  <si>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</si>
  <si>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</si>
  <si>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</si>
  <si>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</si>
  <si>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</si>
  <si>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</si>
  <si>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</si>
  <si>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</si>
  <si>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</si>
  <si>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</si>
  <si>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</si>
  <si>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</si>
  <si>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</si>
  <si>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</si>
  <si>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</si>
  <si>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</si>
  <si>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</si>
  <si>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</si>
  <si>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</si>
  <si>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</si>
  <si>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</si>
  <si>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</si>
  <si>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</si>
  <si>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</si>
  <si>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</si>
  <si>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</si>
  <si>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</si>
  <si>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</si>
  <si>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</si>
  <si>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</si>
  <si>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</si>
  <si>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</si>
  <si>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</si>
  <si>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</si>
  <si>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</si>
  <si>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</si>
  <si>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</si>
  <si>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</si>
  <si>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</si>
  <si>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</si>
  <si>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</si>
  <si>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</si>
  <si>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</si>
  <si>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</si>
  <si>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</si>
  <si>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</si>
  <si>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</si>
  <si>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</si>
  <si>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</si>
  <si>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</si>
  <si>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</si>
  <si>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</si>
  <si>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</si>
  <si>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</si>
  <si>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</si>
  <si>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</si>
  <si>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</si>
  <si>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</si>
  <si>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</si>
  <si>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</si>
  <si>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</si>
  <si>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</si>
  <si>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</si>
  <si>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</si>
  <si>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</si>
  <si>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</si>
  <si>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</si>
  <si>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</si>
  <si>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</si>
  <si>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</si>
  <si>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</si>
  <si>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</si>
  <si>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</si>
  <si>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</si>
  <si>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</si>
  <si>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</si>
  <si>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</si>
  <si>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</si>
  <si>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</si>
  <si>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</si>
  <si>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</si>
  <si>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</si>
  <si>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</si>
  <si>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</si>
  <si>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</si>
  <si>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</si>
  <si>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</si>
  <si>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</si>
  <si>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</si>
  <si>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</si>
  <si>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</si>
  <si>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</si>
  <si>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</si>
  <si>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</si>
  <si>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</si>
  <si>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</si>
  <si>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</si>
  <si>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</si>
  <si>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</si>
  <si>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</si>
  <si>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</si>
  <si>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</si>
  <si>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</si>
  <si>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</si>
  <si>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</si>
  <si>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</si>
  <si>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</si>
  <si>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</si>
  <si>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</si>
  <si>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</si>
  <si>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</si>
  <si>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</si>
  <si>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</si>
  <si>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</si>
  <si>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</si>
  <si>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</si>
  <si>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</si>
  <si>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</si>
  <si>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</si>
  <si>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</si>
  <si>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</si>
  <si>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</si>
  <si>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</si>
  <si>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</si>
  <si>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</si>
  <si>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</si>
  <si>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</si>
  <si>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</si>
  <si>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</si>
  <si>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</si>
  <si>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</si>
  <si>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</si>
  <si>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</si>
  <si>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</si>
  <si>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</si>
  <si>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</si>
  <si>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</si>
  <si>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</si>
  <si>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</si>
  <si>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</si>
  <si>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</si>
  <si>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</si>
  <si>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</si>
  <si>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</si>
  <si>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</si>
  <si>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</si>
  <si>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</si>
  <si>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</si>
  <si>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</si>
  <si>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</si>
  <si>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</si>
  <si>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</si>
  <si>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</si>
  <si>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</si>
  <si>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</si>
  <si>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</si>
  <si>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</si>
  <si>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</si>
  <si>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</si>
  <si>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</si>
  <si>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</si>
  <si>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</si>
  <si>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</si>
  <si>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</si>
  <si>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</si>
  <si>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</si>
  <si>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</si>
  <si>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</si>
  <si>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</si>
  <si>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</si>
  <si>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</si>
  <si>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</si>
  <si>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</si>
  <si>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</si>
  <si>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</si>
  <si>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</si>
  <si>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</si>
  <si>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</si>
  <si>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</si>
  <si>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</si>
  <si>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</si>
  <si>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</si>
  <si>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</si>
  <si>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</si>
  <si>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</si>
  <si>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</si>
  <si>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</si>
  <si>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</si>
  <si>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</si>
  <si>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</si>
  <si>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</si>
  <si>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</si>
  <si>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</si>
  <si>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</si>
  <si>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</si>
  <si>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</si>
  <si>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</si>
  <si>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</si>
  <si>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</si>
  <si>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</si>
  <si>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</si>
  <si>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</si>
  <si>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</si>
  <si>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</si>
  <si>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</si>
  <si>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</si>
  <si>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</si>
  <si>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</si>
  <si>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</si>
  <si>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</si>
  <si>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</si>
  <si>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</si>
  <si>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</si>
  <si>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</si>
  <si>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</si>
  <si>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</si>
  <si>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</si>
  <si>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</si>
  <si>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</si>
  <si>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</si>
  <si>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</si>
  <si>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</si>
  <si>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</si>
  <si>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</si>
  <si>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</si>
  <si>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</si>
  <si>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</si>
  <si>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</si>
  <si>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</si>
  <si>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</si>
  <si>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</si>
  <si>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</si>
  <si>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</si>
  <si>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</si>
  <si>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</si>
  <si>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</si>
  <si>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</si>
  <si>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</si>
  <si>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</si>
  <si>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</si>
  <si>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</si>
  <si>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</si>
  <si>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</si>
  <si>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</si>
  <si>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</si>
  <si>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</si>
  <si>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</si>
  <si>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</si>
  <si>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</si>
  <si>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</si>
  <si>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</si>
  <si>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</si>
  <si>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</si>
  <si>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</si>
  <si>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</si>
  <si>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</si>
  <si>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</si>
  <si>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</si>
  <si>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</si>
  <si>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</si>
  <si>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</si>
  <si>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</si>
  <si>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</si>
  <si>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</si>
  <si>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</si>
  <si>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</si>
  <si>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</si>
  <si>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</si>
  <si>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</si>
  <si>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</si>
  <si>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</si>
  <si>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</si>
  <si>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</si>
  <si>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</si>
  <si>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</si>
  <si>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</si>
  <si>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</si>
  <si>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</si>
  <si>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</si>
  <si>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</si>
  <si>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</si>
  <si>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</si>
  <si>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</si>
  <si>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</si>
  <si>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</si>
  <si>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</si>
  <si>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</si>
  <si>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</si>
  <si>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</si>
  <si>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</si>
  <si>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</si>
  <si>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</si>
  <si>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</si>
  <si>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</si>
  <si>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</si>
  <si>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</si>
  <si>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</si>
  <si>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</si>
  <si>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</si>
  <si>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</si>
  <si>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</si>
  <si>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</si>
  <si>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</si>
  <si>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</si>
  <si>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</si>
  <si>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</si>
  <si>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</si>
  <si>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</si>
  <si>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</si>
  <si>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</si>
  <si>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</si>
  <si>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</si>
  <si>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</si>
  <si>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</si>
  <si>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</si>
  <si>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</si>
  <si>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</si>
  <si>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</si>
  <si>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</si>
  <si>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</si>
  <si>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</si>
  <si>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</si>
  <si>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</si>
  <si>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</si>
  <si>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</si>
  <si>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</si>
  <si>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</si>
  <si>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</si>
  <si>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</si>
  <si>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</si>
  <si>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</si>
  <si>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</si>
  <si>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</si>
  <si>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</si>
  <si>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</si>
  <si>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</si>
  <si>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</si>
  <si>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</si>
  <si>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</si>
  <si>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</si>
  <si>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</si>
  <si>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</si>
  <si>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</si>
  <si>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</si>
  <si>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</si>
  <si>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</si>
  <si>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</si>
  <si>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</si>
  <si>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</si>
  <si>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</si>
  <si>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</si>
  <si>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</si>
  <si>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</si>
  <si>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</si>
  <si>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</si>
  <si>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</si>
  <si>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</si>
  <si>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</si>
  <si>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</si>
  <si>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</si>
  <si>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</si>
  <si>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</si>
  <si>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</si>
  <si>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</si>
  <si>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</si>
  <si>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</si>
  <si>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</si>
  <si>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</si>
  <si>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</si>
  <si>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</si>
  <si>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</si>
  <si>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</si>
  <si>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</si>
  <si>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</si>
  <si>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</si>
  <si>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</si>
  <si>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</si>
  <si>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</si>
  <si>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</si>
  <si>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</si>
  <si>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</si>
  <si>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</si>
  <si>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</si>
  <si>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</si>
  <si>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</si>
  <si>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</si>
  <si>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</si>
  <si>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</si>
  <si>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</si>
  <si>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</si>
  <si>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</si>
  <si>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</si>
  <si>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</si>
  <si>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</si>
  <si>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</si>
  <si>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</si>
  <si>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</si>
  <si>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</si>
  <si>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</si>
  <si>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</si>
  <si>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</si>
  <si>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</si>
  <si>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</si>
  <si>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</si>
  <si>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</si>
  <si>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</si>
  <si>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</si>
  <si>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</si>
  <si>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</si>
  <si>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</si>
  <si>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</si>
  <si>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</si>
  <si>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</si>
  <si>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</si>
  <si>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</si>
  <si>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</si>
  <si>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</si>
  <si>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</si>
  <si>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</si>
  <si>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</si>
  <si>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</si>
  <si>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</si>
  <si>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</si>
  <si>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</si>
  <si>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</si>
  <si>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</si>
  <si>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</si>
  <si>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</si>
  <si>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</si>
  <si>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</si>
  <si>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</si>
  <si>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</si>
  <si>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</si>
  <si>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</si>
  <si>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</si>
  <si>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</si>
  <si>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</si>
  <si>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</si>
  <si>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</si>
  <si>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</si>
  <si>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</si>
  <si>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</si>
  <si>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</si>
  <si>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</si>
  <si>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</si>
  <si>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</si>
  <si>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</si>
  <si>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</si>
  <si>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</si>
  <si>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</si>
  <si>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</si>
  <si>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</si>
  <si>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</si>
  <si>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</si>
  <si>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</si>
  <si>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</si>
  <si>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</si>
  <si>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</si>
  <si>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</si>
  <si>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</si>
  <si>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</si>
  <si>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</si>
  <si>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</si>
  <si>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</si>
  <si>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</si>
  <si>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</si>
  <si>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</si>
  <si>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</si>
  <si>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</si>
  <si>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</si>
  <si>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</si>
  <si>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</si>
  <si>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</si>
  <si>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</si>
  <si>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</si>
  <si>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</si>
  <si>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</si>
  <si>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</si>
  <si>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</si>
  <si>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</si>
  <si>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</si>
  <si>
    <t xml:space="preserve">cos(30°) = </t>
  </si>
  <si>
    <t xml:space="preserve">WURZEL(3)/2 = </t>
  </si>
  <si>
    <t xml:space="preserve">sin(60°) = </t>
  </si>
  <si>
    <t xml:space="preserve">cos(60°) = </t>
  </si>
  <si>
    <t xml:space="preserve">cos(45°) = </t>
  </si>
  <si>
    <t xml:space="preserve">1/WURZEL(2) = </t>
  </si>
  <si>
    <r>
      <t>Vertikale L</t>
    </r>
    <r>
      <rPr>
        <vertAlign val="subscript"/>
        <sz val="11"/>
        <color theme="1"/>
        <rFont val="Calibri"/>
        <family val="2"/>
        <scheme val="minor"/>
      </rPr>
      <t>2V</t>
    </r>
  </si>
  <si>
    <r>
      <t>Horizontale L2</t>
    </r>
    <r>
      <rPr>
        <vertAlign val="subscript"/>
        <sz val="11"/>
        <color theme="1"/>
        <rFont val="Calibri"/>
        <family val="2"/>
        <scheme val="minor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</si>
  <si>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2H</t>
    </r>
    <r>
      <rPr>
        <sz val="11"/>
        <color theme="1"/>
        <rFont val="Calibri"/>
        <family val="2"/>
        <scheme val="minor"/>
      </rPr>
      <t xml:space="preserve"> = </t>
    </r>
  </si>
  <si>
    <r>
      <t>L</t>
    </r>
    <r>
      <rPr>
        <vertAlign val="subscript"/>
        <sz val="11"/>
        <color theme="1"/>
        <rFont val="Calibri"/>
        <family val="2"/>
        <scheme val="minor"/>
      </rPr>
      <t>2V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</si>
  <si>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  <r>
      <rPr>
        <sz val="11"/>
        <color theme="0" tint="-0.14999847407452621"/>
        <rFont val="Calibri"/>
        <family val="2"/>
        <scheme val="minor"/>
      </rPr>
      <t xml:space="preserve"> = </t>
    </r>
  </si>
  <si>
    <t>230 *(sin(x) - sin(x + 120°)</t>
  </si>
  <si>
    <t>Trigonometrischen Theoreme und Identitäten</t>
  </si>
  <si>
    <t>Polygone-Fläche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</si>
  <si>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</si>
  <si>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</si>
  <si>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-s</t>
    </r>
    <r>
      <rPr>
        <vertAlign val="subscript"/>
        <sz val="11"/>
        <color theme="1"/>
        <rFont val="Calibri"/>
        <family val="2"/>
        <scheme val="minor"/>
      </rPr>
      <t>2</t>
    </r>
  </si>
  <si>
    <t>Fläche</t>
  </si>
  <si>
    <t>P1</t>
  </si>
  <si>
    <t>P2</t>
  </si>
  <si>
    <t>P3</t>
  </si>
  <si>
    <t>P4</t>
  </si>
  <si>
    <t>Punkte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</si>
  <si>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</si>
  <si>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</si>
  <si>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</si>
  <si>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</si>
  <si>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</si>
  <si>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</si>
  <si>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</si>
  <si>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</si>
  <si>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</si>
  <si>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</si>
  <si>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r>
      <t>s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</si>
  <si>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s2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</si>
  <si>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t>def polygon_area_and_centroid(points):</t>
  </si>
  <si>
    <t xml:space="preserve">    """</t>
  </si>
  <si>
    <t xml:space="preserve">    Berechnet die Fläche und den Schwerpunkt eines Polygons.</t>
  </si>
  <si>
    <t xml:space="preserve">    </t>
  </si>
  <si>
    <t xml:space="preserve">    Parameter:</t>
  </si>
  <si>
    <t xml:space="preserve">        points (list of tuple): Liste von (x, y)-Koordinaten in Reihenfolge.</t>
  </si>
  <si>
    <t xml:space="preserve">        </t>
  </si>
  <si>
    <t xml:space="preserve">    Rückgabe:</t>
  </si>
  <si>
    <t xml:space="preserve">        area (float): Fläche des Polygons.</t>
  </si>
  <si>
    <t xml:space="preserve">        centroid (tuple): (x_s, y_s) - Koordinaten des Schwerpunkts.</t>
  </si>
  <si>
    <t xml:space="preserve">    n = len(points)</t>
  </si>
  <si>
    <t xml:space="preserve">    if n &lt; 3:</t>
  </si>
  <si>
    <t xml:space="preserve">        raise ValueError("Ein Polygon muss mindestens 3 Punkte haben.")</t>
  </si>
  <si>
    <t xml:space="preserve">    # Punkte schließen, d.h. ersten Punkt ans Ende hängen</t>
  </si>
  <si>
    <t xml:space="preserve">    points = points + [points[0]]</t>
  </si>
  <si>
    <t xml:space="preserve">    area = 0</t>
  </si>
  <si>
    <t xml:space="preserve">    cx = 0</t>
  </si>
  <si>
    <t xml:space="preserve">    cy = 0</t>
  </si>
  <si>
    <t xml:space="preserve">    for i in range(n):</t>
  </si>
  <si>
    <t xml:space="preserve">        x0, y0 = points[i]</t>
  </si>
  <si>
    <t xml:space="preserve">        x1, y1 = points[i + 1]</t>
  </si>
  <si>
    <t xml:space="preserve">        cross = x0 * y1 - x1 * y0</t>
  </si>
  <si>
    <t xml:space="preserve">        area += cross</t>
  </si>
  <si>
    <t xml:space="preserve">        cx += (x0 + x1) * cross</t>
  </si>
  <si>
    <t xml:space="preserve">        cy += (y0 + y1) * cross</t>
  </si>
  <si>
    <t xml:space="preserve">    area *= 0.5</t>
  </si>
  <si>
    <t xml:space="preserve">    if area == 0:</t>
  </si>
  <si>
    <t xml:space="preserve">        raise ValueError("Fläche ist 0 – evtl. liegen alle Punkte auf einer Linie?")</t>
  </si>
  <si>
    <t xml:space="preserve">    cx /= (6 * area)</t>
  </si>
  <si>
    <t xml:space="preserve">    cy /= (6 * area)</t>
  </si>
  <si>
    <t xml:space="preserve">    return abs(area), (cx, cy)</t>
  </si>
  <si>
    <t>punkte = [(0, 0), (4, 0), (2, 3)]</t>
  </si>
  <si>
    <t>fläche, schwerpunkt = polygon_area_and_centroid(punkte)</t>
  </si>
  <si>
    <t>print("Fläche:", fläche)</t>
  </si>
  <si>
    <t>print("Schwerpunkt:", schwerpunkt)</t>
  </si>
  <si>
    <t>Fläche: 6.0</t>
  </si>
  <si>
    <t>Schwerpunkt: (2.0, 1.0)</t>
  </si>
  <si>
    <t xml:space="preserve">Û = </t>
  </si>
  <si>
    <t xml:space="preserve">Î = 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</si>
  <si>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= </t>
    </r>
  </si>
  <si>
    <t xml:space="preserve">°  = </t>
  </si>
  <si>
    <t>[V]</t>
  </si>
  <si>
    <t>[A]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</si>
  <si>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</t>
    </r>
  </si>
  <si>
    <t>[W]</t>
  </si>
  <si>
    <r>
      <t>U(t) = U</t>
    </r>
    <r>
      <rPr>
        <vertAlign val="subscript"/>
        <sz val="14"/>
        <color rgb="FF00B0F0"/>
        <rFont val="Calibri"/>
        <family val="2"/>
        <scheme val="minor"/>
      </rPr>
      <t>Momentan</t>
    </r>
    <r>
      <rPr>
        <sz val="14"/>
        <color rgb="FF00B0F0"/>
        <rFont val="Calibri"/>
        <family val="2"/>
        <scheme val="minor"/>
      </rPr>
      <t xml:space="preserve"> = </t>
    </r>
  </si>
  <si>
    <r>
      <t>I(t) = I</t>
    </r>
    <r>
      <rPr>
        <vertAlign val="subscript"/>
        <sz val="14"/>
        <color rgb="FFFF0000"/>
        <rFont val="Calibri"/>
        <family val="2"/>
        <scheme val="minor"/>
      </rPr>
      <t>Momentan</t>
    </r>
    <r>
      <rPr>
        <sz val="14"/>
        <color rgb="FFFF0000"/>
        <rFont val="Calibri"/>
        <family val="2"/>
        <scheme val="minor"/>
      </rPr>
      <t xml:space="preserve"> = </t>
    </r>
  </si>
  <si>
    <r>
      <t>Û * sin(x + φ</t>
    </r>
    <r>
      <rPr>
        <vertAlign val="subscript"/>
        <sz val="16"/>
        <color rgb="FF00B0F0"/>
        <rFont val="Calibri"/>
        <family val="2"/>
        <scheme val="minor"/>
      </rPr>
      <t>U</t>
    </r>
    <r>
      <rPr>
        <sz val="16"/>
        <color rgb="FF00B0F0"/>
        <rFont val="Calibri"/>
        <family val="2"/>
        <scheme val="minor"/>
      </rPr>
      <t>)</t>
    </r>
  </si>
  <si>
    <r>
      <t>Î * sin(x + φ</t>
    </r>
    <r>
      <rPr>
        <vertAlign val="subscript"/>
        <sz val="16"/>
        <color rgb="FFFF0000"/>
        <rFont val="Calibri"/>
        <family val="2"/>
        <scheme val="minor"/>
      </rPr>
      <t>I</t>
    </r>
    <r>
      <rPr>
        <sz val="16"/>
        <color rgb="FFFF0000"/>
        <rFont val="Calibri"/>
        <family val="2"/>
        <scheme val="minor"/>
      </rPr>
      <t>)</t>
    </r>
  </si>
  <si>
    <r>
      <t>P(t) = P</t>
    </r>
    <r>
      <rPr>
        <vertAlign val="subscript"/>
        <sz val="14"/>
        <color rgb="FFFFC000"/>
        <rFont val="Calibri"/>
        <family val="2"/>
        <scheme val="minor"/>
      </rPr>
      <t>Momentan</t>
    </r>
    <r>
      <rPr>
        <sz val="14"/>
        <color rgb="FFFFC000"/>
        <rFont val="Calibri"/>
        <family val="2"/>
        <scheme val="minor"/>
      </rPr>
      <t xml:space="preserve"> =</t>
    </r>
  </si>
  <si>
    <r>
      <rPr>
        <sz val="16"/>
        <color rgb="FF00B0F0"/>
        <rFont val="Calibri"/>
        <family val="2"/>
        <scheme val="minor"/>
      </rPr>
      <t>U(t)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sz val="16"/>
        <color rgb="FFFF0000"/>
        <rFont val="Calibri"/>
        <family val="2"/>
        <scheme val="minor"/>
      </rPr>
      <t xml:space="preserve"> I(t)</t>
    </r>
  </si>
  <si>
    <t>L3</t>
  </si>
  <si>
    <r>
      <t>L</t>
    </r>
    <r>
      <rPr>
        <vertAlign val="subscript"/>
        <sz val="9"/>
        <color theme="0"/>
        <rFont val="Calibri"/>
        <family val="2"/>
        <scheme val="minor"/>
      </rPr>
      <t>2</t>
    </r>
  </si>
  <si>
    <t>Begriffe und Leistung bei  ein-phasigem Wechselstrom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</si>
</sst>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8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alibri"/>
      <family val="2"/>
    </font>
    <font>
      <sz val="14"/>
      <color rgb="FF00B0F0"/>
      <name val="Calibri"/>
      <family val="2"/>
      <scheme val="minor"/>
    </font>
    <font>
      <vertAlign val="subscript"/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rgb="FFFF0000"/>
      <name val="Calibri"/>
      <family val="2"/>
      <scheme val="minor"/>
    </font>
    <font>
      <sz val="14"/>
      <color rgb="FFFFC000"/>
      <name val="Calibri"/>
      <family val="2"/>
      <scheme val="minor"/>
    </font>
    <font>
      <vertAlign val="subscript"/>
      <sz val="14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vertAlign val="subscript"/>
      <sz val="9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0" fillId="18" borderId="21" xfId="0" applyFont="1" applyFill="1" applyBorder="1" applyAlignment="1">
      <alignment horizontal="right"/>
    </xf>
    <xf numFmtId="0" fontId="0" fillId="0" borderId="11" xfId="0" applyBorder="1"/>
    <xf numFmtId="0" fontId="0" fillId="0" borderId="1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35" fillId="0" borderId="20" xfId="0" applyFont="1" applyBorder="1"/>
    <xf numFmtId="0" fontId="35" fillId="0" borderId="14" xfId="0" applyFont="1" applyBorder="1"/>
    <xf numFmtId="0" fontId="0" fillId="3" borderId="28" xfId="0" applyFill="1" applyBorder="1"/>
    <xf numFmtId="0" fontId="0" fillId="4" borderId="0" xfId="0" applyFill="1"/>
    <xf numFmtId="0" fontId="73" fillId="4" borderId="0" xfId="0" applyFont="1" applyFill="1"/>
    <xf numFmtId="0" fontId="32" fillId="0" borderId="0" xfId="0" applyFont="1"/>
    <xf numFmtId="0" fontId="32" fillId="0" borderId="2" xfId="0" applyFont="1" applyBorder="1" applyAlignment="1">
      <alignment horizontal="right"/>
    </xf>
    <xf numFmtId="0" fontId="75" fillId="0" borderId="2" xfId="0" applyFont="1" applyBorder="1" applyAlignment="1">
      <alignment horizontal="right"/>
    </xf>
    <xf numFmtId="0" fontId="75" fillId="0" borderId="2" xfId="0" applyFont="1" applyBorder="1" applyAlignment="1">
      <alignment horizontal="center"/>
    </xf>
    <xf numFmtId="0" fontId="77" fillId="0" borderId="2" xfId="0" applyFont="1" applyBorder="1" applyAlignment="1">
      <alignment horizontal="right"/>
    </xf>
    <xf numFmtId="0" fontId="77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1" fillId="0" borderId="2" xfId="0" applyFont="1" applyBorder="1" applyAlignment="1">
      <alignment horizontal="right"/>
    </xf>
    <xf numFmtId="0" fontId="83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4" fillId="20" borderId="1" xfId="0" applyFont="1" applyFill="1" applyBorder="1"/>
    <xf numFmtId="0" fontId="0" fillId="20" borderId="41" xfId="0" applyFill="1" applyBorder="1"/>
    <xf numFmtId="0" fontId="0" fillId="20" borderId="43" xfId="0" applyFill="1" applyBorder="1"/>
    <xf numFmtId="0" fontId="66" fillId="7" borderId="2" xfId="0" applyFont="1" applyFill="1" applyBorder="1" applyAlignment="1">
      <alignment horizontal="right"/>
    </xf>
    <xf numFmtId="0" fontId="85" fillId="21" borderId="2" xfId="0" applyFont="1" applyFill="1" applyBorder="1" applyAlignment="1">
      <alignment horizontal="right"/>
    </xf>
    <xf numFmtId="0" fontId="66" fillId="10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41579532087145E-2"/>
          <c:y val="2.1212121672244021E-2"/>
          <c:w val="0.89009129359281547"/>
          <c:h val="0.92825474346011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'Leistung bei Wechselstrom'!$D$10</c:f>
              <c:strCache>
                <c:ptCount val="1"/>
                <c:pt idx="0">
                  <c:v>Û * sin(x + φU)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Wechselstrom'!$F$10:$AT$10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0-41F0-8B94-FEB68C71545A}"/>
            </c:ext>
          </c:extLst>
        </c:ser>
        <c:ser>
          <c:idx val="1"/>
          <c:order val="1"/>
          <c:tx>
            <c:strRef>
              <c:f>'Leistung bei Wechselstrom'!$D$11</c:f>
              <c:strCache>
                <c:ptCount val="1"/>
                <c:pt idx="0">
                  <c:v>Î * sin(x + φI)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Wechselstrom'!$F$11:$AT$11</c:f>
              <c:numCache>
                <c:formatCode>#,##0.00</c:formatCode>
                <c:ptCount val="41"/>
                <c:pt idx="0">
                  <c:v>2</c:v>
                </c:pt>
                <c:pt idx="1">
                  <c:v>1.969615506024416</c:v>
                </c:pt>
                <c:pt idx="2">
                  <c:v>1.8793852415718169</c:v>
                </c:pt>
                <c:pt idx="3">
                  <c:v>1.7320508075688774</c:v>
                </c:pt>
                <c:pt idx="4">
                  <c:v>1.532088886237956</c:v>
                </c:pt>
                <c:pt idx="5">
                  <c:v>1.2855752193730789</c:v>
                </c:pt>
                <c:pt idx="6">
                  <c:v>1.0000000000000007</c:v>
                </c:pt>
                <c:pt idx="7">
                  <c:v>0.68404028665133776</c:v>
                </c:pt>
                <c:pt idx="8">
                  <c:v>0.34729635533386055</c:v>
                </c:pt>
                <c:pt idx="9">
                  <c:v>2.45029690981724E-16</c:v>
                </c:pt>
                <c:pt idx="10">
                  <c:v>-0.34729635533386005</c:v>
                </c:pt>
                <c:pt idx="11">
                  <c:v>-0.68404028665133731</c:v>
                </c:pt>
                <c:pt idx="12">
                  <c:v>-0.99999999999999944</c:v>
                </c:pt>
                <c:pt idx="13">
                  <c:v>-1.2855752193730785</c:v>
                </c:pt>
                <c:pt idx="14">
                  <c:v>-1.5320888862379558</c:v>
                </c:pt>
                <c:pt idx="15">
                  <c:v>-1.7320508075688776</c:v>
                </c:pt>
                <c:pt idx="16">
                  <c:v>-1.8793852415718169</c:v>
                </c:pt>
                <c:pt idx="17">
                  <c:v>-1.969615506024416</c:v>
                </c:pt>
                <c:pt idx="18">
                  <c:v>-2</c:v>
                </c:pt>
                <c:pt idx="19">
                  <c:v>-1.9696155060244163</c:v>
                </c:pt>
                <c:pt idx="20">
                  <c:v>-1.8793852415718171</c:v>
                </c:pt>
                <c:pt idx="21">
                  <c:v>-1.7320508075688772</c:v>
                </c:pt>
                <c:pt idx="22">
                  <c:v>-1.5320888862379562</c:v>
                </c:pt>
                <c:pt idx="23">
                  <c:v>-1.2855752193730792</c:v>
                </c:pt>
                <c:pt idx="24">
                  <c:v>-1.0000000000000009</c:v>
                </c:pt>
                <c:pt idx="25">
                  <c:v>-0.68404028665133887</c:v>
                </c:pt>
                <c:pt idx="26">
                  <c:v>-0.34729635533386077</c:v>
                </c:pt>
                <c:pt idx="27">
                  <c:v>-4.90059381963448E-16</c:v>
                </c:pt>
                <c:pt idx="28">
                  <c:v>0.34729635533385983</c:v>
                </c:pt>
                <c:pt idx="29">
                  <c:v>0.6840402866513362</c:v>
                </c:pt>
                <c:pt idx="30">
                  <c:v>1</c:v>
                </c:pt>
                <c:pt idx="31">
                  <c:v>1.2855752193730783</c:v>
                </c:pt>
                <c:pt idx="32">
                  <c:v>1.5320888862379556</c:v>
                </c:pt>
                <c:pt idx="33">
                  <c:v>1.7320508075688767</c:v>
                </c:pt>
                <c:pt idx="34">
                  <c:v>1.8793852415718169</c:v>
                </c:pt>
                <c:pt idx="35">
                  <c:v>1.9696155060244158</c:v>
                </c:pt>
                <c:pt idx="36">
                  <c:v>2</c:v>
                </c:pt>
                <c:pt idx="37">
                  <c:v>1.9696155060244163</c:v>
                </c:pt>
                <c:pt idx="38">
                  <c:v>1.879385241571816</c:v>
                </c:pt>
                <c:pt idx="39">
                  <c:v>1.7320508075688783</c:v>
                </c:pt>
                <c:pt idx="40">
                  <c:v>1.5320888862379551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0-41F0-8B94-FEB68C71545A}"/>
            </c:ext>
          </c:extLst>
        </c:ser>
        <c:ser>
          <c:idx val="2"/>
          <c:order val="2"/>
          <c:tx>
            <c:strRef>
              <c:f>'Leistung bei Wechselstrom'!$D$12</c:f>
              <c:strCache>
                <c:ptCount val="1"/>
                <c:pt idx="0">
                  <c:v>Nicht gleichphasig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Wechselstrom'!$F$12:$AT$12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0-41F0-8B94-FEB68C71545A}"/>
            </c:ext>
          </c:extLst>
        </c:ser>
        <c:ser>
          <c:idx val="3"/>
          <c:order val="3"/>
          <c:tx>
            <c:strRef>
              <c:f>'Leistung bei Wechselstrom'!$D$13</c:f>
              <c:strCache>
                <c:ptCount val="1"/>
                <c:pt idx="0">
                  <c:v>U(t) *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Wechselstrom'!$F$13:$AT$13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D0-41F0-8B94-FEB68C71545A}"/>
            </c:ext>
          </c:extLst>
        </c:ser>
        <c:ser>
          <c:idx val="4"/>
          <c:order val="4"/>
          <c:tx>
            <c:strRef>
              <c:f>'Leistung bei Wechselstrom'!$T$4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Wechselstrom'!$U$4:$V$4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'Leistung bei Wechselstrom'!$U$5:$V$5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D0-41F0-8B94-FEB68C71545A}"/>
            </c:ext>
          </c:extLst>
        </c:ser>
        <c:ser>
          <c:idx val="5"/>
          <c:order val="5"/>
          <c:tx>
            <c:strRef>
              <c:f>'Leistung bei Wechselstrom'!$Y$4</c:f>
              <c:strCache>
                <c:ptCount val="1"/>
                <c:pt idx="0">
                  <c:v>y-Achse: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'Leistung bei Wechselstrom'!$Z$5:$AA$5</c:f>
              <c:numCache>
                <c:formatCode>#,##0.00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D0-41F0-8B94-FEB68C71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2687"/>
        <c:axId val="2111662607"/>
      </c:scatterChart>
      <c:valAx>
        <c:axId val="21116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62607"/>
        <c:crosses val="autoZero"/>
        <c:crossBetween val="midCat"/>
      </c:valAx>
      <c:valAx>
        <c:axId val="21116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7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57301282007805E-2"/>
          <c:y val="3.3732357816931936E-2"/>
          <c:w val="0.89301102557668788"/>
          <c:h val="0.9325352336794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253.00000000000003</c:v>
                </c:pt>
                <c:pt idx="1">
                  <c:v>0</c:v>
                </c:pt>
                <c:pt idx="2">
                  <c:v>-253.00000000000003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253.00000000000003</c:v>
                </c:pt>
                <c:pt idx="2">
                  <c:v>0</c:v>
                </c:pt>
                <c:pt idx="3">
                  <c:v>-253.00000000000003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6"/>
          <c:order val="3"/>
          <c:tx>
            <c:strRef>
              <c:f>'3-Phasenstrom'!$B$13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0</c:v>
                </c:pt>
                <c:pt idx="1">
                  <c:v>-115.0000000000001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-199.18584287042083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5B9-8F1E-B96AB731D0ED}"/>
            </c:ext>
          </c:extLst>
        </c:ser>
        <c:ser>
          <c:idx val="3"/>
          <c:order val="4"/>
          <c:tx>
            <c:strRef>
              <c:f>'3-Phasenstrom'!$B$14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'3-Phasenstrom'!$L$14:$M$14</c:f>
              <c:numCache>
                <c:formatCode>#,##0.00</c:formatCode>
                <c:ptCount val="2"/>
                <c:pt idx="0">
                  <c:v>230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'3-Phasenstrom'!$N$14:$O$14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ser>
          <c:idx val="4"/>
          <c:order val="5"/>
          <c:tx>
            <c:strRef>
              <c:f>'3-Phasenstrom'!$W$9</c:f>
              <c:strCache>
                <c:ptCount val="1"/>
                <c:pt idx="0">
                  <c:v>Horizontale L2H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'3-Phasenstrom'!$W$10:$X$10</c:f>
              <c:numCache>
                <c:formatCode>General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'3-Phasenstrom'!$W$11:$X$11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A4-9968-E92710E7BD37}"/>
            </c:ext>
          </c:extLst>
        </c:ser>
        <c:ser>
          <c:idx val="5"/>
          <c:order val="6"/>
          <c:tx>
            <c:strRef>
              <c:f>'3-Phasenstrom'!$Z$9</c:f>
              <c:strCache>
                <c:ptCount val="1"/>
                <c:pt idx="0">
                  <c:v>Vertikale L2V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'3-Phasenstrom'!$Z$10:$AA$10</c:f>
              <c:numCache>
                <c:formatCode>General</c:formatCode>
                <c:ptCount val="2"/>
                <c:pt idx="0">
                  <c:v>-114.99999999999994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'3-Phasenstrom'!$Z$11:$AA$11</c:f>
              <c:numCache>
                <c:formatCode>General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9F0-ABDA-D2D27E0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'3-Phasenstrom'!$L$22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'3-Phasenstrom'!$M$22:$AW$22</c:f>
              <c:numCache>
                <c:formatCode>General</c:formatCode>
                <c:ptCount val="37"/>
                <c:pt idx="0">
                  <c:v>0</c:v>
                </c:pt>
                <c:pt idx="1">
                  <c:v>39.939080863393976</c:v>
                </c:pt>
                <c:pt idx="2">
                  <c:v>78.664632964903802</c:v>
                </c:pt>
                <c:pt idx="3">
                  <c:v>114.99999999999999</c:v>
                </c:pt>
                <c:pt idx="4">
                  <c:v>147.84115022790402</c:v>
                </c:pt>
                <c:pt idx="5">
                  <c:v>176.19022191736494</c:v>
                </c:pt>
                <c:pt idx="6">
                  <c:v>199.18584287042088</c:v>
                </c:pt>
                <c:pt idx="7">
                  <c:v>216.12930278075891</c:v>
                </c:pt>
                <c:pt idx="8">
                  <c:v>226.50578319280785</c:v>
                </c:pt>
                <c:pt idx="9">
                  <c:v>230</c:v>
                </c:pt>
                <c:pt idx="10">
                  <c:v>226.50578319280785</c:v>
                </c:pt>
                <c:pt idx="11">
                  <c:v>216.12930278075893</c:v>
                </c:pt>
                <c:pt idx="12">
                  <c:v>199.18584287042091</c:v>
                </c:pt>
                <c:pt idx="13">
                  <c:v>176.19022191736494</c:v>
                </c:pt>
                <c:pt idx="14">
                  <c:v>147.84115022790408</c:v>
                </c:pt>
                <c:pt idx="15">
                  <c:v>114.99999999999999</c:v>
                </c:pt>
                <c:pt idx="16">
                  <c:v>78.664632964903845</c:v>
                </c:pt>
                <c:pt idx="17">
                  <c:v>39.939080863393961</c:v>
                </c:pt>
                <c:pt idx="18">
                  <c:v>2.817841446289826E-14</c:v>
                </c:pt>
                <c:pt idx="19">
                  <c:v>-39.939080863394011</c:v>
                </c:pt>
                <c:pt idx="20">
                  <c:v>-78.664632964903788</c:v>
                </c:pt>
                <c:pt idx="21">
                  <c:v>-115.00000000000003</c:v>
                </c:pt>
                <c:pt idx="22">
                  <c:v>-147.84115022790402</c:v>
                </c:pt>
                <c:pt idx="23">
                  <c:v>-176.19022191736491</c:v>
                </c:pt>
                <c:pt idx="24">
                  <c:v>-199.18584287042083</c:v>
                </c:pt>
                <c:pt idx="25">
                  <c:v>-216.12930278075888</c:v>
                </c:pt>
                <c:pt idx="26">
                  <c:v>-226.50578319280785</c:v>
                </c:pt>
                <c:pt idx="27">
                  <c:v>-230</c:v>
                </c:pt>
                <c:pt idx="28">
                  <c:v>-226.50578319280788</c:v>
                </c:pt>
                <c:pt idx="29">
                  <c:v>-216.12930278075896</c:v>
                </c:pt>
                <c:pt idx="30">
                  <c:v>-199.18584287042088</c:v>
                </c:pt>
                <c:pt idx="31">
                  <c:v>-176.19022191736497</c:v>
                </c:pt>
                <c:pt idx="32">
                  <c:v>-147.84115022790411</c:v>
                </c:pt>
                <c:pt idx="33">
                  <c:v>-115.0000000000001</c:v>
                </c:pt>
                <c:pt idx="34">
                  <c:v>-78.664632964903774</c:v>
                </c:pt>
                <c:pt idx="35">
                  <c:v>-39.939080863394196</c:v>
                </c:pt>
                <c:pt idx="36">
                  <c:v>-5.635682892579652E-14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'3-Phasenstrom'!$L$23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'3-Phasenstrom'!$M$23:$AW$23</c:f>
              <c:numCache>
                <c:formatCode>General</c:formatCode>
                <c:ptCount val="37"/>
                <c:pt idx="0">
                  <c:v>199.18584287042091</c:v>
                </c:pt>
                <c:pt idx="1">
                  <c:v>176.19022191736502</c:v>
                </c:pt>
                <c:pt idx="2">
                  <c:v>147.84115022790408</c:v>
                </c:pt>
                <c:pt idx="3">
                  <c:v>115.00000000000007</c:v>
                </c:pt>
                <c:pt idx="4">
                  <c:v>78.664632964903845</c:v>
                </c:pt>
                <c:pt idx="5">
                  <c:v>39.939080863394061</c:v>
                </c:pt>
                <c:pt idx="6">
                  <c:v>2.817841446289826E-14</c:v>
                </c:pt>
                <c:pt idx="7">
                  <c:v>-39.939080863393905</c:v>
                </c:pt>
                <c:pt idx="8">
                  <c:v>-78.664632964903689</c:v>
                </c:pt>
                <c:pt idx="9">
                  <c:v>-114.99999999999994</c:v>
                </c:pt>
                <c:pt idx="10">
                  <c:v>-147.84115022790402</c:v>
                </c:pt>
                <c:pt idx="11">
                  <c:v>-176.19022191736491</c:v>
                </c:pt>
                <c:pt idx="12">
                  <c:v>-199.18584287042083</c:v>
                </c:pt>
                <c:pt idx="13">
                  <c:v>-216.12930278075893</c:v>
                </c:pt>
                <c:pt idx="14">
                  <c:v>-226.50578319280785</c:v>
                </c:pt>
                <c:pt idx="15">
                  <c:v>-230</c:v>
                </c:pt>
                <c:pt idx="16">
                  <c:v>-226.50578319280788</c:v>
                </c:pt>
                <c:pt idx="17">
                  <c:v>-216.12930278075896</c:v>
                </c:pt>
                <c:pt idx="18">
                  <c:v>-199.18584287042097</c:v>
                </c:pt>
                <c:pt idx="19">
                  <c:v>-176.19022191736497</c:v>
                </c:pt>
                <c:pt idx="20">
                  <c:v>-147.84115022790411</c:v>
                </c:pt>
                <c:pt idx="21">
                  <c:v>-114.99999999999993</c:v>
                </c:pt>
                <c:pt idx="22">
                  <c:v>-78.664632964903774</c:v>
                </c:pt>
                <c:pt idx="23">
                  <c:v>-39.93908086339399</c:v>
                </c:pt>
                <c:pt idx="24">
                  <c:v>-5.635682892579652E-14</c:v>
                </c:pt>
                <c:pt idx="25">
                  <c:v>39.939080863393883</c:v>
                </c:pt>
                <c:pt idx="26">
                  <c:v>78.66463296490366</c:v>
                </c:pt>
                <c:pt idx="27">
                  <c:v>114.99999999999983</c:v>
                </c:pt>
                <c:pt idx="28">
                  <c:v>147.84115022790385</c:v>
                </c:pt>
                <c:pt idx="29">
                  <c:v>176.19022191736477</c:v>
                </c:pt>
                <c:pt idx="30">
                  <c:v>199.18584287042094</c:v>
                </c:pt>
                <c:pt idx="31">
                  <c:v>216.12930278075893</c:v>
                </c:pt>
                <c:pt idx="32">
                  <c:v>226.50578319280785</c:v>
                </c:pt>
                <c:pt idx="33">
                  <c:v>230</c:v>
                </c:pt>
                <c:pt idx="34">
                  <c:v>226.50578319280788</c:v>
                </c:pt>
                <c:pt idx="35">
                  <c:v>216.12930278075899</c:v>
                </c:pt>
                <c:pt idx="36">
                  <c:v>199.185842870421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'3-Phasenstrom'!$L$25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'3-Phasenstrom'!$M$25:$AW$25</c:f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ser>
          <c:idx val="3"/>
          <c:order val="3"/>
          <c:tx>
            <c:strRef>
              <c:f>'3-Phasenstrom'!$L$24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'3-Phasenstrom'!$M$24:$AW$24</c:f>
              <c:numCache>
                <c:formatCode>General</c:formatCode>
                <c:ptCount val="37"/>
                <c:pt idx="0">
                  <c:v>-199.18584287042083</c:v>
                </c:pt>
                <c:pt idx="1">
                  <c:v>-216.12930278075888</c:v>
                </c:pt>
                <c:pt idx="2">
                  <c:v>-226.50578319280783</c:v>
                </c:pt>
                <c:pt idx="3">
                  <c:v>-230</c:v>
                </c:pt>
                <c:pt idx="4">
                  <c:v>-226.50578319280788</c:v>
                </c:pt>
                <c:pt idx="5">
                  <c:v>-216.12930278075896</c:v>
                </c:pt>
                <c:pt idx="6">
                  <c:v>-199.18584287042097</c:v>
                </c:pt>
                <c:pt idx="7">
                  <c:v>-176.19022191736511</c:v>
                </c:pt>
                <c:pt idx="8">
                  <c:v>-147.84115022790411</c:v>
                </c:pt>
                <c:pt idx="9">
                  <c:v>-115.0000000000001</c:v>
                </c:pt>
                <c:pt idx="10">
                  <c:v>-78.664632964903973</c:v>
                </c:pt>
                <c:pt idx="11">
                  <c:v>-39.93908086339399</c:v>
                </c:pt>
                <c:pt idx="12">
                  <c:v>-5.635682892579652E-14</c:v>
                </c:pt>
                <c:pt idx="13">
                  <c:v>39.939080863393883</c:v>
                </c:pt>
                <c:pt idx="14">
                  <c:v>78.66463296490366</c:v>
                </c:pt>
                <c:pt idx="15">
                  <c:v>114.99999999999983</c:v>
                </c:pt>
                <c:pt idx="16">
                  <c:v>147.84115022790385</c:v>
                </c:pt>
                <c:pt idx="17">
                  <c:v>176.19022191736488</c:v>
                </c:pt>
                <c:pt idx="18">
                  <c:v>199.18584287042083</c:v>
                </c:pt>
                <c:pt idx="19">
                  <c:v>216.12930278075893</c:v>
                </c:pt>
                <c:pt idx="20">
                  <c:v>226.50578319280785</c:v>
                </c:pt>
                <c:pt idx="21">
                  <c:v>230</c:v>
                </c:pt>
                <c:pt idx="22">
                  <c:v>226.50578319280788</c:v>
                </c:pt>
                <c:pt idx="23">
                  <c:v>216.12930278075899</c:v>
                </c:pt>
                <c:pt idx="24">
                  <c:v>199.185842870421</c:v>
                </c:pt>
                <c:pt idx="25">
                  <c:v>176.19022191736514</c:v>
                </c:pt>
                <c:pt idx="26">
                  <c:v>147.84115022790397</c:v>
                </c:pt>
                <c:pt idx="27">
                  <c:v>114.99999999999994</c:v>
                </c:pt>
                <c:pt idx="28">
                  <c:v>78.664632964903802</c:v>
                </c:pt>
                <c:pt idx="29">
                  <c:v>39.939080863394011</c:v>
                </c:pt>
                <c:pt idx="30">
                  <c:v>8.4535243388694781E-14</c:v>
                </c:pt>
                <c:pt idx="31">
                  <c:v>-39.939080863393848</c:v>
                </c:pt>
                <c:pt idx="32">
                  <c:v>-78.664632964903632</c:v>
                </c:pt>
                <c:pt idx="33">
                  <c:v>-114.99999999999982</c:v>
                </c:pt>
                <c:pt idx="34">
                  <c:v>-147.84115022790382</c:v>
                </c:pt>
                <c:pt idx="35">
                  <c:v>-176.19022191736474</c:v>
                </c:pt>
                <c:pt idx="36">
                  <c:v>-199.18584287042069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1-4066-8236-E0D183F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Polygone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'Fläche eines Polygones'!$D$23:$D$36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'Fläche eines Polygones'!$E$23:$E$36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64B-B01F-A5D60F4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1375"/>
        <c:axId val="570809855"/>
      </c:scatterChart>
      <c:valAx>
        <c:axId val="5708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09855"/>
        <c:crosses val="autoZero"/>
        <c:crossBetween val="midCat"/>
      </c:valAx>
      <c:valAx>
        <c:axId val="57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hyperlink" Target="#TOC!A1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#TOC!A1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hyperlink" Target="#TOC!A1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</xdr:row>
      <xdr:rowOff>177800</xdr:rowOff>
    </xdr:from>
    <xdr:to>
      <xdr:col>1</xdr:col>
      <xdr:colOff>152400</xdr:colOff>
      <xdr:row>4</xdr:row>
      <xdr:rowOff>25400</xdr:rowOff>
    </xdr:to>
    <xdr:sp macro="" textlink="">
      <xdr:nvSpPr>
        <xdr:cNvPr id="20" name="Pfeil: nach rechts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236F7-CC34-DA43-74A7-C94D598CA5F2}"/>
            </a:ext>
          </a:extLst>
        </xdr:cNvPr>
        <xdr:cNvSpPr/>
      </xdr:nvSpPr>
      <xdr:spPr>
        <a:xfrm rot="10800000">
          <a:off x="311150" y="361950"/>
          <a:ext cx="603250" cy="4000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</xdr:colOff>
      <xdr:row>20</xdr:row>
      <xdr:rowOff>95250</xdr:rowOff>
    </xdr:from>
    <xdr:to>
      <xdr:col>24</xdr:col>
      <xdr:colOff>666750</xdr:colOff>
      <xdr:row>56</xdr:row>
      <xdr:rowOff>149678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7EF283-81AA-0DF2-6AC7-CCE8490B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18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15874</xdr:colOff>
      <xdr:row>18</xdr:row>
      <xdr:rowOff>34924</xdr:rowOff>
    </xdr:from>
    <xdr:to>
      <xdr:col>24</xdr:col>
      <xdr:colOff>304800</xdr:colOff>
      <xdr:row>41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7</xdr:col>
      <xdr:colOff>495997</xdr:colOff>
      <xdr:row>80</xdr:row>
      <xdr:rowOff>67417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B5EAD2E-7202-0193-5701-740E465B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8934450"/>
          <a:ext cx="4991797" cy="53156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0</xdr:rowOff>
    </xdr:from>
    <xdr:to>
      <xdr:col>1</xdr:col>
      <xdr:colOff>427718</xdr:colOff>
      <xdr:row>2</xdr:row>
      <xdr:rowOff>28121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8383C-683F-4257-A285-727C47CFC1A7}"/>
            </a:ext>
          </a:extLst>
        </xdr:cNvPr>
        <xdr:cNvSpPr/>
      </xdr:nvSpPr>
      <xdr:spPr>
        <a:xfrm rot="10800000">
          <a:off x="695325" y="180975"/>
          <a:ext cx="494393" cy="32339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6</xdr:col>
      <xdr:colOff>673724</xdr:colOff>
      <xdr:row>16</xdr:row>
      <xdr:rowOff>19349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6F08A4-2431-D356-B9AC-1D148959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85825"/>
          <a:ext cx="4464674" cy="2143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73026</xdr:colOff>
      <xdr:row>3</xdr:row>
      <xdr:rowOff>171450</xdr:rowOff>
    </xdr:from>
    <xdr:to>
      <xdr:col>11</xdr:col>
      <xdr:colOff>396876</xdr:colOff>
      <xdr:row>8</xdr:row>
      <xdr:rowOff>178987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38F032-46A6-601B-947A-5BEEDDD3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1026" y="828675"/>
          <a:ext cx="1847850" cy="9124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733425</xdr:colOff>
      <xdr:row>3</xdr:row>
      <xdr:rowOff>161925</xdr:rowOff>
    </xdr:from>
    <xdr:to>
      <xdr:col>19</xdr:col>
      <xdr:colOff>530835</xdr:colOff>
      <xdr:row>16</xdr:row>
      <xdr:rowOff>140026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55D28-7221-786A-3D88-0C8DF799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9425" y="819150"/>
          <a:ext cx="4369410" cy="23307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28575</xdr:colOff>
      <xdr:row>21</xdr:row>
      <xdr:rowOff>0</xdr:rowOff>
    </xdr:from>
    <xdr:to>
      <xdr:col>7</xdr:col>
      <xdr:colOff>130828</xdr:colOff>
      <xdr:row>36</xdr:row>
      <xdr:rowOff>121046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EED871-1370-6BFA-ED4C-4B7D4879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3914775"/>
          <a:ext cx="4674253" cy="28356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257743</xdr:colOff>
      <xdr:row>30</xdr:row>
      <xdr:rowOff>143122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BBAD87-5EC9-35F1-D732-2D1E21BC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914775"/>
          <a:ext cx="4067743" cy="17718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19</xdr:col>
      <xdr:colOff>419690</xdr:colOff>
      <xdr:row>34</xdr:row>
      <xdr:rowOff>19381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D9BAF9-EBF4-68DE-BFF9-8E2410E9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3914775"/>
          <a:ext cx="4229690" cy="23720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39</xdr:row>
      <xdr:rowOff>66675</xdr:rowOff>
    </xdr:from>
    <xdr:to>
      <xdr:col>8</xdr:col>
      <xdr:colOff>191271</xdr:colOff>
      <xdr:row>52</xdr:row>
      <xdr:rowOff>73355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C7D199-0D9B-BAC0-6FE5-2359306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239000"/>
          <a:ext cx="5525271" cy="2359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1</xdr:col>
      <xdr:colOff>408668</xdr:colOff>
      <xdr:row>2</xdr:row>
      <xdr:rowOff>31296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DC7C4-FB0B-4B50-9D5E-05677DA8BD77}"/>
            </a:ext>
          </a:extLst>
        </xdr:cNvPr>
        <xdr:cNvSpPr/>
      </xdr:nvSpPr>
      <xdr:spPr>
        <a:xfrm rot="10800000">
          <a:off x="676275" y="180975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</xdr:col>
      <xdr:colOff>9525</xdr:colOff>
      <xdr:row>3</xdr:row>
      <xdr:rowOff>161925</xdr:rowOff>
    </xdr:from>
    <xdr:to>
      <xdr:col>9</xdr:col>
      <xdr:colOff>416727</xdr:colOff>
      <xdr:row>18</xdr:row>
      <xdr:rowOff>76567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F77A1F2-DBBE-4173-DA96-C6E5AA87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819150"/>
          <a:ext cx="5741202" cy="2629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18</xdr:col>
      <xdr:colOff>153166</xdr:colOff>
      <xdr:row>13</xdr:row>
      <xdr:rowOff>38358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C4659E2-25C9-A809-DB69-BA2DB6F3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657225"/>
          <a:ext cx="5487166" cy="1848108"/>
        </a:xfrm>
        <a:prstGeom prst="rect">
          <a:avLst/>
        </a:prstGeom>
      </xdr:spPr>
    </xdr:pic>
    <xdr:clientData/>
  </xdr:twoCellAnchor>
  <xdr:twoCellAnchor>
    <xdr:from>
      <xdr:col>16</xdr:col>
      <xdr:colOff>15875</xdr:colOff>
      <xdr:row>19</xdr:row>
      <xdr:rowOff>173037</xdr:rowOff>
    </xdr:from>
    <xdr:to>
      <xdr:col>22</xdr:col>
      <xdr:colOff>15875</xdr:colOff>
      <xdr:row>34</xdr:row>
      <xdr:rowOff>173037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A400EA-A412-F7DD-0749-B7F7BE59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21"/>
  <sheetViews>
    <sheetView topLeftCell="A12" workbookViewId="0">
      <selection activeCell="C21" sqref="C21"/>
    </sheetView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45901</v>
      </c>
      <c r="C18" s="86" t="str">
        <f>'3-Phasenstrom'!C2</f>
        <v>3-Phasenstrom (Verkettete Spannung)</v>
      </c>
    </row>
    <row r="19" spans="2:3" x14ac:dyDescent="0.35">
      <c r="B19" s="85">
        <v>45873</v>
      </c>
      <c r="C19" s="86" t="str">
        <f>Theoreme!$C$2</f>
        <v>Trigonometrischen Theoreme und Identitäten</v>
      </c>
    </row>
    <row r="20" spans="2:3" x14ac:dyDescent="0.35">
      <c r="B20" s="85">
        <v>45873</v>
      </c>
      <c r="C20" s="86" t="str">
        <f>'Fläche eines Polygones'!C2</f>
        <v>Polygone-Fläche</v>
      </c>
    </row>
    <row r="21" spans="2:3" x14ac:dyDescent="0.35">
      <c r="B21" s="85">
        <v>45901</v>
      </c>
      <c r="C21" s="86" t="str">
        <f>'Leistung bei Wechselstrom'!C2</f>
        <v>Begriffe und Leistung bei  ein-phasigem Wechselstrom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  <hyperlink ref="C19" location="Theoreme!A1" display="Theoreme!A1" xr:uid="{0BE171A1-EFB5-45EC-AE54-5B69665FAB10}"/>
    <hyperlink ref="C20" location="'Fläche eines Polygones'!A1" display="'Fläche eines Polygones'!A1" xr:uid="{FA6D782C-8632-4E5B-97A4-90B6A18392EC}"/>
    <hyperlink ref="C21" location="'Leistung bei Wechselstrom'!A1" display="'Leistung bei Wechselstrom'!A1" xr:uid="{77978076-EEC0-461A-8111-26B1D9FA8228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175" zoomScaleNormal="175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312" t="s">
        <v>26</v>
      </c>
      <c r="D4" s="31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314" t="s">
        <v>27</v>
      </c>
      <c r="D5" s="31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310" t="s">
        <v>1</v>
      </c>
      <c r="D8" s="31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308" t="s">
        <v>24</v>
      </c>
      <c r="D9" s="30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309" t="s">
        <v>29</v>
      </c>
      <c r="D10" s="309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309" t="s">
        <v>56</v>
      </c>
      <c r="D11" s="309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324" t="str">
        <f>$O$8</f>
        <v>Anfangs-Geschwindigkeit</v>
      </c>
      <c r="D6" s="325"/>
      <c r="E6" s="328" t="str">
        <f>$O$9</f>
        <v>Geschwindigkeit</v>
      </c>
      <c r="F6" s="325"/>
      <c r="G6" s="328" t="str">
        <f>$O$10</f>
        <v>Strecke</v>
      </c>
      <c r="H6" s="325"/>
      <c r="I6" s="328" t="str">
        <f>$O$11</f>
        <v>Zeit</v>
      </c>
      <c r="J6" s="325"/>
      <c r="K6" s="328" t="str">
        <f>$O$12</f>
        <v>Beschleunigung</v>
      </c>
      <c r="L6" s="329"/>
    </row>
    <row r="7" spans="1:19" ht="15" thickBot="1" x14ac:dyDescent="0.4">
      <c r="B7" s="28" t="s">
        <v>43</v>
      </c>
      <c r="C7" s="326" t="str">
        <f>$P$8</f>
        <v>v0 [m/s]</v>
      </c>
      <c r="D7" s="327"/>
      <c r="E7" s="330" t="str">
        <f>$P$9</f>
        <v>v [m/s]</v>
      </c>
      <c r="F7" s="327"/>
      <c r="G7" s="330" t="str">
        <f>$P$10</f>
        <v>s [m]</v>
      </c>
      <c r="H7" s="327"/>
      <c r="I7" s="330" t="str">
        <f>$P$11</f>
        <v>t [s]</v>
      </c>
      <c r="J7" s="327"/>
      <c r="K7" s="330" t="str">
        <f>$P$12</f>
        <v>a [m/s2]</v>
      </c>
      <c r="L7" s="331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332">
        <v>119</v>
      </c>
      <c r="H8" s="337"/>
      <c r="I8" s="332">
        <v>7</v>
      </c>
      <c r="J8" s="337"/>
      <c r="K8" s="332">
        <v>2</v>
      </c>
      <c r="L8" s="333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334">
        <v>24</v>
      </c>
      <c r="F9" s="338"/>
      <c r="G9" s="31" t="s">
        <v>82</v>
      </c>
      <c r="H9" s="31">
        <f>E9*I9 - K9*I9^2/2</f>
        <v>119</v>
      </c>
      <c r="I9" s="334">
        <v>7</v>
      </c>
      <c r="J9" s="338"/>
      <c r="K9" s="334">
        <v>2</v>
      </c>
      <c r="L9" s="335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334">
        <v>24</v>
      </c>
      <c r="F10" s="338"/>
      <c r="G10" s="334">
        <v>119</v>
      </c>
      <c r="H10" s="338"/>
      <c r="I10" s="31" t="s">
        <v>83</v>
      </c>
      <c r="J10" s="31">
        <f>(E10 - SQRT(E10^2 - 2*K10*G10))/K10</f>
        <v>7</v>
      </c>
      <c r="K10" s="334">
        <v>2</v>
      </c>
      <c r="L10" s="335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334">
        <v>24</v>
      </c>
      <c r="F11" s="338"/>
      <c r="G11" s="334">
        <v>119</v>
      </c>
      <c r="H11" s="338"/>
      <c r="I11" s="334">
        <v>7</v>
      </c>
      <c r="J11" s="338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340">
        <v>10</v>
      </c>
      <c r="D12" s="338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334">
        <v>7</v>
      </c>
      <c r="J12" s="338"/>
      <c r="K12" s="334">
        <v>2</v>
      </c>
      <c r="L12" s="335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340">
        <v>10</v>
      </c>
      <c r="D13" s="338"/>
      <c r="E13" s="31" t="s">
        <v>87</v>
      </c>
      <c r="F13" s="31">
        <f>SQRT(C13^2 + 2*K13*G13)</f>
        <v>24</v>
      </c>
      <c r="G13" s="334">
        <v>119</v>
      </c>
      <c r="H13" s="338"/>
      <c r="I13" s="37" t="s">
        <v>62</v>
      </c>
      <c r="J13" s="31">
        <f xml:space="preserve"> (-C13 + SQRT(C13^2 + 2*K13*G13))/K13</f>
        <v>7</v>
      </c>
      <c r="K13" s="336">
        <v>2</v>
      </c>
      <c r="L13" s="335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340">
        <v>10</v>
      </c>
      <c r="D14" s="338"/>
      <c r="E14" s="31" t="s">
        <v>88</v>
      </c>
      <c r="F14" s="31">
        <f>2*G14/I14 - C14</f>
        <v>24</v>
      </c>
      <c r="G14" s="334">
        <v>119</v>
      </c>
      <c r="H14" s="338"/>
      <c r="I14" s="334">
        <v>7</v>
      </c>
      <c r="J14" s="339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340">
        <v>10</v>
      </c>
      <c r="D15" s="338"/>
      <c r="E15" s="334">
        <v>24</v>
      </c>
      <c r="F15" s="338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334">
        <v>2</v>
      </c>
      <c r="L15" s="335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340">
        <v>10</v>
      </c>
      <c r="D16" s="338"/>
      <c r="E16" s="334">
        <v>24</v>
      </c>
      <c r="F16" s="338"/>
      <c r="G16" s="31" t="s">
        <v>90</v>
      </c>
      <c r="H16" s="31">
        <f>(C16+E16)*I16/2</f>
        <v>119</v>
      </c>
      <c r="I16" s="334">
        <v>7</v>
      </c>
      <c r="J16" s="338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342">
        <v>10</v>
      </c>
      <c r="D17" s="341"/>
      <c r="E17" s="336">
        <v>24</v>
      </c>
      <c r="F17" s="341"/>
      <c r="G17" s="336">
        <v>119</v>
      </c>
      <c r="H17" s="341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320" t="str">
        <f>P13</f>
        <v>ω0 [rad/s]</v>
      </c>
      <c r="D18" s="321"/>
      <c r="E18" s="322" t="str">
        <f>P14</f>
        <v>ω [rad/s]</v>
      </c>
      <c r="F18" s="321"/>
      <c r="G18" s="322" t="str">
        <f>P15</f>
        <v>φ [rad]</v>
      </c>
      <c r="H18" s="321"/>
      <c r="I18" s="322" t="str">
        <f>P16</f>
        <v>t [s]</v>
      </c>
      <c r="J18" s="321"/>
      <c r="K18" s="322" t="str">
        <f>P17</f>
        <v>α [rad/s2]</v>
      </c>
      <c r="L18" s="323"/>
    </row>
    <row r="19" spans="1:16" ht="29" customHeight="1" thickBot="1" x14ac:dyDescent="0.4">
      <c r="C19" s="316" t="str">
        <f>O13</f>
        <v>Anfangs-Winkelgeschwindigkeit</v>
      </c>
      <c r="D19" s="317"/>
      <c r="E19" s="318" t="str">
        <f>O14</f>
        <v>Winkelgeschwindigkeit</v>
      </c>
      <c r="F19" s="317"/>
      <c r="G19" s="318" t="str">
        <f>O15</f>
        <v>Winkel</v>
      </c>
      <c r="H19" s="317"/>
      <c r="I19" s="318" t="str">
        <f>O16</f>
        <v>Zeit</v>
      </c>
      <c r="J19" s="317"/>
      <c r="K19" s="318" t="str">
        <f>O17</f>
        <v>Winkelbeschleunigung</v>
      </c>
      <c r="L19" s="319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/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309" t="s">
        <v>80</v>
      </c>
      <c r="V7" s="309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43"/>
      <c r="D11" s="343"/>
      <c r="E11" s="343"/>
      <c r="F11" s="343"/>
      <c r="G11" s="343"/>
      <c r="H11" s="343"/>
      <c r="I11" s="343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44" t="s">
        <v>455</v>
      </c>
      <c r="D12" s="344"/>
      <c r="E12" s="344"/>
      <c r="F12" s="344"/>
      <c r="G12" s="344"/>
      <c r="H12" s="344"/>
      <c r="I12" s="344"/>
      <c r="J12" s="47"/>
      <c r="K12" s="47"/>
      <c r="M12" s="57" t="s">
        <v>449</v>
      </c>
      <c r="N12" s="38">
        <v>50</v>
      </c>
      <c r="O12" s="345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46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47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 t="shared" ref="E16:E18" si="4">D16/$D$19</f>
        <v>3</v>
      </c>
      <c r="F16" s="248">
        <f t="shared" ref="F16:F18" si="5">1/D16</f>
        <v>6.6666666666666671E-3</v>
      </c>
      <c r="G16" s="248">
        <f t="shared" ref="G16:G17" si="6"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 t="shared" si="4"/>
        <v>5</v>
      </c>
      <c r="F17" s="248">
        <f t="shared" si="5"/>
        <v>4.0000000000000001E-3</v>
      </c>
      <c r="G17" s="248">
        <f t="shared" si="6"/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 t="shared" si="4"/>
        <v>7</v>
      </c>
      <c r="F18" s="249">
        <f t="shared" si="5"/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10">IF($O$19=$AL$7,SUM(P15:P18),"")</f>
        <v>0</v>
      </c>
      <c r="Q19" s="55">
        <f t="shared" si="10"/>
        <v>0.62776553592680795</v>
      </c>
      <c r="R19" s="55">
        <f t="shared" si="10"/>
        <v>0.91948362990671439</v>
      </c>
      <c r="S19" s="55">
        <f t="shared" si="10"/>
        <v>0.86190476190476195</v>
      </c>
      <c r="T19" s="55">
        <f t="shared" si="10"/>
        <v>0.72237189375733157</v>
      </c>
      <c r="U19" s="55">
        <f t="shared" si="10"/>
        <v>0.71996570310461572</v>
      </c>
      <c r="V19" s="55">
        <f t="shared" si="10"/>
        <v>0.81653823785389934</v>
      </c>
      <c r="W19" s="55">
        <f t="shared" si="10"/>
        <v>0.847731239031424</v>
      </c>
      <c r="X19" s="55">
        <f t="shared" si="10"/>
        <v>0.77583011987960759</v>
      </c>
      <c r="Y19" s="55">
        <f t="shared" si="10"/>
        <v>0.7238095238095239</v>
      </c>
      <c r="Z19" s="55">
        <f t="shared" si="10"/>
        <v>0.77583011987960748</v>
      </c>
      <c r="AA19" s="55">
        <f t="shared" si="10"/>
        <v>0.847731239031424</v>
      </c>
      <c r="AB19" s="55">
        <f t="shared" si="10"/>
        <v>0.81653823785389945</v>
      </c>
      <c r="AC19" s="55">
        <f t="shared" si="10"/>
        <v>0.71996570310461583</v>
      </c>
      <c r="AD19" s="55">
        <f t="shared" si="10"/>
        <v>0.72237189375733157</v>
      </c>
      <c r="AE19" s="55">
        <f t="shared" si="10"/>
        <v>0.86190476190476129</v>
      </c>
      <c r="AF19" s="55">
        <f t="shared" si="10"/>
        <v>0.91948362990671473</v>
      </c>
      <c r="AG19" s="55">
        <f t="shared" si="10"/>
        <v>0.62776553592680817</v>
      </c>
      <c r="AH19" s="55">
        <f t="shared" si="10"/>
        <v>4.90059381963448E-16</v>
      </c>
      <c r="AI19" s="55">
        <f t="shared" si="10"/>
        <v>-0.62776553592680762</v>
      </c>
      <c r="AJ19" s="55">
        <f t="shared" si="10"/>
        <v>-0.91948362990671539</v>
      </c>
      <c r="AK19" s="55">
        <f t="shared" si="10"/>
        <v>-0.8619047619047624</v>
      </c>
      <c r="AL19" s="55">
        <f t="shared" si="10"/>
        <v>-0.72237189375733191</v>
      </c>
      <c r="AM19" s="55">
        <f t="shared" si="10"/>
        <v>-0.71996570310461616</v>
      </c>
      <c r="AN19" s="55">
        <f t="shared" si="10"/>
        <v>-0.81653823785389912</v>
      </c>
      <c r="AO19" s="55">
        <f t="shared" si="10"/>
        <v>-0.84773123903142378</v>
      </c>
      <c r="AP19" s="55">
        <f t="shared" si="10"/>
        <v>-0.77583011987960748</v>
      </c>
      <c r="AQ19" s="55">
        <f t="shared" si="10"/>
        <v>-0.7238095238095239</v>
      </c>
      <c r="AR19" s="55">
        <f t="shared" si="10"/>
        <v>-0.77583011987960693</v>
      </c>
      <c r="AS19" s="55">
        <f t="shared" si="10"/>
        <v>-0.847731239031424</v>
      </c>
      <c r="AT19" s="55">
        <f t="shared" si="10"/>
        <v>-0.81653823785389967</v>
      </c>
      <c r="AU19" s="55">
        <f t="shared" si="10"/>
        <v>-0.71996570310461605</v>
      </c>
      <c r="AV19" s="55">
        <f t="shared" si="10"/>
        <v>-0.7223718937573308</v>
      </c>
      <c r="AW19" s="55">
        <f t="shared" si="10"/>
        <v>-0.86190476190476029</v>
      </c>
      <c r="AX19" s="55">
        <f t="shared" si="10"/>
        <v>-0.91948362990671351</v>
      </c>
      <c r="AY19" s="55">
        <f t="shared" si="10"/>
        <v>-0.62776553592680884</v>
      </c>
      <c r="AZ19" s="55">
        <f t="shared" si="10"/>
        <v>-9.8011876392689601E-16</v>
      </c>
      <c r="BA19" s="55">
        <f t="shared" si="10"/>
        <v>0.62776553592680706</v>
      </c>
      <c r="BB19" s="55">
        <f t="shared" si="10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topLeftCell="A5" zoomScale="85" zoomScaleNormal="85" workbookViewId="0">
      <selection activeCell="C63" sqref="C63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481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488</v>
      </c>
      <c r="AA4" s="5"/>
      <c r="AC4" s="5" t="s">
        <v>489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</row>
    <row r="6" spans="2:51" x14ac:dyDescent="0.35">
      <c r="E6" t="s">
        <v>478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</row>
    <row r="7" spans="2:51" ht="15" thickBot="1" x14ac:dyDescent="0.4">
      <c r="E7" t="s">
        <v>479</v>
      </c>
      <c r="R7" s="309" t="s">
        <v>80</v>
      </c>
      <c r="S7" s="309"/>
      <c r="T7" s="5">
        <f>IF(ABS(T5)&gt;ABS(T6),T5,T6)</f>
        <v>0.8660254037844386</v>
      </c>
      <c r="U7" s="5"/>
      <c r="V7" s="5"/>
      <c r="W7" s="5"/>
      <c r="X7" s="5"/>
      <c r="AI7" s="5" t="s">
        <v>71</v>
      </c>
    </row>
    <row r="8" spans="2:51" ht="16" customHeight="1" thickBot="1" x14ac:dyDescent="0.5">
      <c r="E8" s="262" t="str">
        <f>IF(E15&gt;0,"Kapazitiv (Strom voreilend)",IF(E15&lt;0,"Induktiv (Strom nacheilend)","Ohmsch (Gleichphasig)"))</f>
        <v>Induktiv (Strom nacheilend)</v>
      </c>
      <c r="F8" s="263"/>
      <c r="G8" s="263"/>
      <c r="H8" s="264"/>
      <c r="R8" s="1"/>
      <c r="S8" s="39"/>
      <c r="AI8" s="5" t="s">
        <v>72</v>
      </c>
    </row>
    <row r="11" spans="2:51" ht="21" x14ac:dyDescent="0.35">
      <c r="C11" s="343"/>
      <c r="D11" s="343"/>
      <c r="E11" s="343"/>
      <c r="F11" s="343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44" t="s">
        <v>490</v>
      </c>
      <c r="D12" s="344"/>
      <c r="E12" s="344"/>
      <c r="F12" s="344"/>
      <c r="G12" s="47"/>
      <c r="H12" s="47"/>
      <c r="J12" s="57" t="s">
        <v>69</v>
      </c>
      <c r="K12" s="38">
        <v>60</v>
      </c>
      <c r="L12" s="345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47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480</v>
      </c>
      <c r="C14" s="42">
        <v>1</v>
      </c>
      <c r="D14" s="42">
        <v>50</v>
      </c>
      <c r="E14" s="69">
        <v>0</v>
      </c>
      <c r="F14" s="261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261">
        <f>D14</f>
        <v>50</v>
      </c>
      <c r="E15" s="42">
        <v>-60</v>
      </c>
      <c r="F15" s="261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482</v>
      </c>
      <c r="C16" s="261">
        <f>C15*COS(F15)</f>
        <v>0.50000000000000011</v>
      </c>
      <c r="D16" s="261">
        <f t="shared" ref="D16:D17" si="4">D15</f>
        <v>50</v>
      </c>
      <c r="E16" s="261">
        <f>E14</f>
        <v>0</v>
      </c>
      <c r="F16" s="261">
        <f>F14</f>
        <v>0</v>
      </c>
      <c r="J16" s="265" t="str">
        <f>_xlfn.CONCAT("IP = ",IF(C16&lt;&gt;1,_xlfn.CONCAT(ROUND(C16,2)," *"),"")," sin(x ",IF(E16&lt;&gt;0,_xlfn.CONCAT(" + ",ROUND(E16,2),"°"),""),") = ")</f>
        <v xml:space="preserve">IP = 0.5 * sin(x ) = </v>
      </c>
      <c r="K16" s="266">
        <f>IF($L$16=$AI$7,$C$16*SIN(K14 + $F$16),"")</f>
        <v>0.38087999070814471</v>
      </c>
      <c r="L16" s="267" t="s">
        <v>71</v>
      </c>
      <c r="M16" s="55">
        <f>IF($L$16=$AI$7,$C$16*SIN(M13 + $F$16),0)</f>
        <v>0</v>
      </c>
      <c r="N16" s="55">
        <f t="shared" ref="N16:AY16" si="5">IF($L$16=$AI$7,$C$16*SIN(N13 + $F$16),0)</f>
        <v>0.1294095225512604</v>
      </c>
      <c r="O16" s="55">
        <f t="shared" si="5"/>
        <v>0.25</v>
      </c>
      <c r="P16" s="55">
        <f t="shared" si="5"/>
        <v>0.35355339059327379</v>
      </c>
      <c r="Q16" s="55">
        <f t="shared" si="5"/>
        <v>0.43301270189221941</v>
      </c>
      <c r="R16" s="55">
        <f t="shared" si="5"/>
        <v>0.48296291314453427</v>
      </c>
      <c r="S16" s="55">
        <f t="shared" si="5"/>
        <v>0.50000000000000011</v>
      </c>
      <c r="T16" s="55">
        <f t="shared" si="5"/>
        <v>0.48296291314453427</v>
      </c>
      <c r="U16" s="55">
        <f t="shared" si="5"/>
        <v>0.43301270189221946</v>
      </c>
      <c r="V16" s="55">
        <f t="shared" si="5"/>
        <v>0.35355339059327384</v>
      </c>
      <c r="W16" s="55">
        <f t="shared" si="5"/>
        <v>0.25</v>
      </c>
      <c r="X16" s="55">
        <f t="shared" si="5"/>
        <v>0.12940952255126054</v>
      </c>
      <c r="Y16" s="55">
        <f t="shared" si="5"/>
        <v>6.1257422745431013E-17</v>
      </c>
      <c r="Z16" s="55">
        <f t="shared" si="5"/>
        <v>-0.1294095225512602</v>
      </c>
      <c r="AA16" s="55">
        <f t="shared" si="5"/>
        <v>-0.25000000000000011</v>
      </c>
      <c r="AB16" s="55">
        <f t="shared" si="5"/>
        <v>-0.35355339059327379</v>
      </c>
      <c r="AC16" s="55">
        <f t="shared" si="5"/>
        <v>-0.4330127018922193</v>
      </c>
      <c r="AD16" s="55">
        <f t="shared" si="5"/>
        <v>-0.48296291314453427</v>
      </c>
      <c r="AE16" s="55">
        <f t="shared" si="5"/>
        <v>-0.50000000000000011</v>
      </c>
      <c r="AF16" s="55">
        <f t="shared" si="5"/>
        <v>-0.48296291314453421</v>
      </c>
      <c r="AG16" s="55">
        <f t="shared" si="5"/>
        <v>-0.43301270189221941</v>
      </c>
      <c r="AH16" s="55">
        <f t="shared" si="5"/>
        <v>-0.3535533905932739</v>
      </c>
      <c r="AI16" s="55">
        <f t="shared" si="5"/>
        <v>-0.25000000000000028</v>
      </c>
      <c r="AJ16" s="55">
        <f t="shared" si="5"/>
        <v>-0.12940952255126037</v>
      </c>
      <c r="AK16" s="55">
        <f t="shared" si="5"/>
        <v>-1.2251484549086203E-16</v>
      </c>
      <c r="AL16" s="55">
        <f t="shared" si="5"/>
        <v>0.12940952255126015</v>
      </c>
      <c r="AM16" s="55">
        <f t="shared" si="5"/>
        <v>0.24999999999999969</v>
      </c>
      <c r="AN16" s="55">
        <f t="shared" si="5"/>
        <v>0.3535533905932734</v>
      </c>
      <c r="AO16" s="55">
        <f t="shared" si="5"/>
        <v>0.43301270189221952</v>
      </c>
      <c r="AP16" s="55">
        <f t="shared" si="5"/>
        <v>0.48296291314453427</v>
      </c>
      <c r="AQ16" s="55">
        <f t="shared" si="5"/>
        <v>0.50000000000000011</v>
      </c>
      <c r="AR16" s="55">
        <f t="shared" si="5"/>
        <v>0.48296291314453432</v>
      </c>
      <c r="AS16" s="55">
        <f t="shared" si="5"/>
        <v>0.43301270189221969</v>
      </c>
      <c r="AT16" s="55">
        <f t="shared" si="5"/>
        <v>0.35355339059327362</v>
      </c>
      <c r="AU16" s="55">
        <f t="shared" si="5"/>
        <v>0.24999999999999994</v>
      </c>
      <c r="AV16" s="55">
        <f t="shared" si="5"/>
        <v>0.12940952255126043</v>
      </c>
      <c r="AW16" s="55">
        <f t="shared" si="5"/>
        <v>1.8377226823629305E-16</v>
      </c>
      <c r="AX16" s="55">
        <f t="shared" si="5"/>
        <v>-0.12940952255126095</v>
      </c>
      <c r="AY16" s="55">
        <f t="shared" si="5"/>
        <v>-0.25000000000000039</v>
      </c>
    </row>
    <row r="17" spans="2:51" ht="17.5" customHeight="1" x14ac:dyDescent="0.35">
      <c r="B17" s="59" t="s">
        <v>483</v>
      </c>
      <c r="C17" s="261">
        <f>C15*SIN(F15)</f>
        <v>-0.8660254037844386</v>
      </c>
      <c r="D17" s="261">
        <f t="shared" si="4"/>
        <v>50</v>
      </c>
      <c r="E17" s="261">
        <v>90</v>
      </c>
      <c r="F17" s="261">
        <f>PI()*E17/180</f>
        <v>1.5707963267948966</v>
      </c>
      <c r="J17" s="265" t="str">
        <f>_xlfn.CONCAT("IQ = ",IF(C17&lt;&gt;1,_xlfn.CONCAT(ROUND(C17,2)," *"),"")," sin(x ",IF(E17&lt;&gt;0,_xlfn.CONCAT(" + ",ROUND(E17,2),"°"),""),") = ")</f>
        <v xml:space="preserve">IQ = -0.87 * sin(x  + 90°) = </v>
      </c>
      <c r="K17" s="266">
        <f>IF($L$17=$AI$7,$C$17*SIN(K13 + $F$17),"")</f>
        <v>-0.43301270189221958</v>
      </c>
      <c r="L17" s="267" t="s">
        <v>71</v>
      </c>
      <c r="M17" s="55">
        <f>IF($L$17=$AI$7,$C$17*SIN(M13 + $F$17),0)</f>
        <v>-0.8660254037844386</v>
      </c>
      <c r="N17" s="55">
        <f t="shared" ref="N17:AY17" si="6">IF($L$17=$AI$7,$C$17*SIN(N13 + $F$17),0)</f>
        <v>-0.83651630373780783</v>
      </c>
      <c r="O17" s="55">
        <f t="shared" si="6"/>
        <v>-0.75</v>
      </c>
      <c r="P17" s="55">
        <f t="shared" si="6"/>
        <v>-0.61237243569579458</v>
      </c>
      <c r="Q17" s="55">
        <f t="shared" si="6"/>
        <v>-0.43301270189221958</v>
      </c>
      <c r="R17" s="55">
        <f t="shared" si="6"/>
        <v>-0.22414386804201319</v>
      </c>
      <c r="S17" s="55">
        <f t="shared" si="6"/>
        <v>-1.0610096853581188E-16</v>
      </c>
      <c r="T17" s="55">
        <f t="shared" si="6"/>
        <v>0.22414386804201339</v>
      </c>
      <c r="U17" s="55">
        <f t="shared" si="6"/>
        <v>0.43301270189221908</v>
      </c>
      <c r="V17" s="55">
        <f t="shared" si="6"/>
        <v>0.61237243569579447</v>
      </c>
      <c r="W17" s="55">
        <f t="shared" si="6"/>
        <v>0.75000000000000011</v>
      </c>
      <c r="X17" s="55">
        <f t="shared" si="6"/>
        <v>0.83651630373780783</v>
      </c>
      <c r="Y17" s="55">
        <f t="shared" si="6"/>
        <v>0.8660254037844386</v>
      </c>
      <c r="Z17" s="55">
        <f t="shared" si="6"/>
        <v>0.83651630373780794</v>
      </c>
      <c r="AA17" s="55">
        <f t="shared" si="6"/>
        <v>0.74999999999999989</v>
      </c>
      <c r="AB17" s="55">
        <f t="shared" si="6"/>
        <v>0.61237243569579458</v>
      </c>
      <c r="AC17" s="55">
        <f t="shared" si="6"/>
        <v>0.43301270189221969</v>
      </c>
      <c r="AD17" s="55">
        <f t="shared" si="6"/>
        <v>0.22414386804201331</v>
      </c>
      <c r="AE17" s="55">
        <f t="shared" si="6"/>
        <v>2.1220193707162375E-16</v>
      </c>
      <c r="AF17" s="55">
        <f t="shared" si="6"/>
        <v>-0.22414386804201364</v>
      </c>
      <c r="AG17" s="55">
        <f t="shared" si="6"/>
        <v>-0.4330127018922193</v>
      </c>
      <c r="AH17" s="55">
        <f t="shared" si="6"/>
        <v>-0.61237243569579436</v>
      </c>
      <c r="AI17" s="55">
        <f t="shared" si="6"/>
        <v>-0.74999999999999967</v>
      </c>
      <c r="AJ17" s="55">
        <f t="shared" si="6"/>
        <v>-0.83651630373780783</v>
      </c>
      <c r="AK17" s="55">
        <f t="shared" si="6"/>
        <v>-0.8660254037844386</v>
      </c>
      <c r="AL17" s="55">
        <f t="shared" si="6"/>
        <v>-0.83651630373780794</v>
      </c>
      <c r="AM17" s="55">
        <f t="shared" si="6"/>
        <v>-0.75000000000000044</v>
      </c>
      <c r="AN17" s="55">
        <f t="shared" si="6"/>
        <v>-0.61237243569579525</v>
      </c>
      <c r="AO17" s="55">
        <f t="shared" si="6"/>
        <v>-0.43301270189221913</v>
      </c>
      <c r="AP17" s="55">
        <f t="shared" si="6"/>
        <v>-0.22414386804201339</v>
      </c>
      <c r="AQ17" s="55">
        <f t="shared" si="6"/>
        <v>-3.183029056074356E-16</v>
      </c>
      <c r="AR17" s="55">
        <f t="shared" si="6"/>
        <v>0.22414386804201281</v>
      </c>
      <c r="AS17" s="55">
        <f t="shared" si="6"/>
        <v>0.43301270189221858</v>
      </c>
      <c r="AT17" s="55">
        <f t="shared" si="6"/>
        <v>0.6123724356957948</v>
      </c>
      <c r="AU17" s="55">
        <f t="shared" si="6"/>
        <v>0.75</v>
      </c>
      <c r="AV17" s="55">
        <f t="shared" si="6"/>
        <v>0.83651630373780783</v>
      </c>
      <c r="AW17" s="55">
        <f t="shared" si="6"/>
        <v>0.8660254037844386</v>
      </c>
      <c r="AX17" s="55">
        <f t="shared" si="6"/>
        <v>0.83651630373780761</v>
      </c>
      <c r="AY17" s="55">
        <f t="shared" si="6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261">
        <f>SQRT(C16^2+C17^2)</f>
        <v>1</v>
      </c>
      <c r="D18" s="5"/>
      <c r="E18" s="261">
        <f>DEGREES(F18)</f>
        <v>-59.999999999999993</v>
      </c>
      <c r="F18" s="261">
        <f>ATAN2(C16,C17)</f>
        <v>-1.0471975511965976</v>
      </c>
      <c r="J18" s="268" t="s">
        <v>484</v>
      </c>
      <c r="K18" s="269" t="str">
        <f>IF($L$18=$AI$7,K16+K17,"")</f>
        <v/>
      </c>
      <c r="L18" s="270" t="s">
        <v>72</v>
      </c>
      <c r="M18" s="55">
        <f>IF($L$18=$AI$7,M16+M17,0)</f>
        <v>0</v>
      </c>
      <c r="N18" s="55">
        <f t="shared" ref="N18:AY18" si="7">IF($L$18=$AI$7,N16+N17,0)</f>
        <v>0</v>
      </c>
      <c r="O18" s="55">
        <f t="shared" si="7"/>
        <v>0</v>
      </c>
      <c r="P18" s="55">
        <f t="shared" si="7"/>
        <v>0</v>
      </c>
      <c r="Q18" s="55">
        <f t="shared" si="7"/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55">
        <f t="shared" si="7"/>
        <v>0</v>
      </c>
      <c r="Z18" s="55">
        <f t="shared" si="7"/>
        <v>0</v>
      </c>
      <c r="AA18" s="55">
        <f t="shared" si="7"/>
        <v>0</v>
      </c>
      <c r="AB18" s="55">
        <f t="shared" si="7"/>
        <v>0</v>
      </c>
      <c r="AC18" s="55">
        <f t="shared" si="7"/>
        <v>0</v>
      </c>
      <c r="AD18" s="55">
        <f t="shared" si="7"/>
        <v>0</v>
      </c>
      <c r="AE18" s="55">
        <f t="shared" si="7"/>
        <v>0</v>
      </c>
      <c r="AF18" s="55">
        <f t="shared" si="7"/>
        <v>0</v>
      </c>
      <c r="AG18" s="55">
        <f t="shared" si="7"/>
        <v>0</v>
      </c>
      <c r="AH18" s="55">
        <f t="shared" si="7"/>
        <v>0</v>
      </c>
      <c r="AI18" s="55">
        <f t="shared" si="7"/>
        <v>0</v>
      </c>
      <c r="AJ18" s="55">
        <f t="shared" si="7"/>
        <v>0</v>
      </c>
      <c r="AK18" s="55">
        <f t="shared" si="7"/>
        <v>0</v>
      </c>
      <c r="AL18" s="55">
        <f t="shared" si="7"/>
        <v>0</v>
      </c>
      <c r="AM18" s="55">
        <f t="shared" si="7"/>
        <v>0</v>
      </c>
      <c r="AN18" s="55">
        <f t="shared" si="7"/>
        <v>0</v>
      </c>
      <c r="AO18" s="55">
        <f t="shared" si="7"/>
        <v>0</v>
      </c>
      <c r="AP18" s="55">
        <f t="shared" si="7"/>
        <v>0</v>
      </c>
      <c r="AQ18" s="55">
        <f t="shared" si="7"/>
        <v>0</v>
      </c>
      <c r="AR18" s="55">
        <f t="shared" si="7"/>
        <v>0</v>
      </c>
      <c r="AS18" s="55">
        <f t="shared" si="7"/>
        <v>0</v>
      </c>
      <c r="AT18" s="55">
        <f t="shared" si="7"/>
        <v>0</v>
      </c>
      <c r="AU18" s="55">
        <f t="shared" si="7"/>
        <v>0</v>
      </c>
      <c r="AV18" s="55">
        <f t="shared" si="7"/>
        <v>0</v>
      </c>
      <c r="AW18" s="55">
        <f t="shared" si="7"/>
        <v>0</v>
      </c>
      <c r="AX18" s="55">
        <f t="shared" si="7"/>
        <v>0</v>
      </c>
      <c r="AY18" s="55">
        <f t="shared" si="7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485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8">IF($L$21=$AI$7,N14*N15,0)</f>
        <v>-0.1830127018922193</v>
      </c>
      <c r="O21" s="55">
        <f t="shared" si="8"/>
        <v>-0.24999999999999994</v>
      </c>
      <c r="P21" s="55">
        <f t="shared" si="8"/>
        <v>-0.18301270189221924</v>
      </c>
      <c r="Q21" s="55">
        <f t="shared" si="8"/>
        <v>0</v>
      </c>
      <c r="R21" s="55">
        <f t="shared" si="8"/>
        <v>0.25000000000000017</v>
      </c>
      <c r="S21" s="55">
        <f t="shared" si="8"/>
        <v>0.5</v>
      </c>
      <c r="T21" s="55">
        <f t="shared" si="8"/>
        <v>0.68301270189221952</v>
      </c>
      <c r="U21" s="55">
        <f t="shared" si="8"/>
        <v>0.75</v>
      </c>
      <c r="V21" s="55">
        <f t="shared" si="8"/>
        <v>0.68301270189221941</v>
      </c>
      <c r="W21" s="55">
        <f t="shared" si="8"/>
        <v>0.49999999999999994</v>
      </c>
      <c r="X21" s="55">
        <f t="shared" si="8"/>
        <v>0.25000000000000028</v>
      </c>
      <c r="Y21" s="55">
        <f t="shared" si="8"/>
        <v>1.0610096853581185E-16</v>
      </c>
      <c r="Z21" s="55">
        <f t="shared" si="8"/>
        <v>-0.18301270189221905</v>
      </c>
      <c r="AA21" s="55">
        <f t="shared" si="8"/>
        <v>-0.24999999999999983</v>
      </c>
      <c r="AB21" s="55">
        <f t="shared" si="8"/>
        <v>-0.18301270189221916</v>
      </c>
      <c r="AC21" s="55">
        <f t="shared" si="8"/>
        <v>-1.0610096853581184E-16</v>
      </c>
      <c r="AD21" s="55">
        <f t="shared" si="8"/>
        <v>0.25000000000000039</v>
      </c>
      <c r="AE21" s="55">
        <f t="shared" si="8"/>
        <v>0.50000000000000011</v>
      </c>
      <c r="AF21" s="55">
        <f t="shared" si="8"/>
        <v>0.68301270189221974</v>
      </c>
      <c r="AG21" s="55">
        <f t="shared" si="8"/>
        <v>0.75000000000000011</v>
      </c>
      <c r="AH21" s="55">
        <f t="shared" si="8"/>
        <v>0.68301270189221952</v>
      </c>
      <c r="AI21" s="55">
        <f t="shared" si="8"/>
        <v>0.50000000000000044</v>
      </c>
      <c r="AJ21" s="55">
        <f t="shared" si="8"/>
        <v>0.24999999999999989</v>
      </c>
      <c r="AK21" s="55">
        <f t="shared" si="8"/>
        <v>2.1220193707162375E-16</v>
      </c>
      <c r="AL21" s="55">
        <f t="shared" si="8"/>
        <v>-0.18301270189221899</v>
      </c>
      <c r="AM21" s="55">
        <f t="shared" si="8"/>
        <v>-0.24999999999999986</v>
      </c>
      <c r="AN21" s="55">
        <f t="shared" si="8"/>
        <v>-0.18301270189221969</v>
      </c>
      <c r="AO21" s="55">
        <f t="shared" si="8"/>
        <v>5.5698313748180192E-16</v>
      </c>
      <c r="AP21" s="55">
        <f t="shared" si="8"/>
        <v>0.25000000000000033</v>
      </c>
      <c r="AQ21" s="55">
        <f t="shared" si="8"/>
        <v>0.5</v>
      </c>
      <c r="AR21" s="55">
        <f t="shared" si="8"/>
        <v>0.6830127018922193</v>
      </c>
      <c r="AS21" s="55">
        <f t="shared" si="8"/>
        <v>0.75000000000000022</v>
      </c>
      <c r="AT21" s="55">
        <f t="shared" si="8"/>
        <v>0.68301270189221908</v>
      </c>
      <c r="AU21" s="55">
        <f t="shared" si="8"/>
        <v>0.49999999999999978</v>
      </c>
      <c r="AV21" s="55">
        <f t="shared" si="8"/>
        <v>0.25000000000000006</v>
      </c>
      <c r="AW21" s="55">
        <f t="shared" si="8"/>
        <v>3.183029056074358E-16</v>
      </c>
      <c r="AX21" s="55">
        <f t="shared" si="8"/>
        <v>-0.18301270189221999</v>
      </c>
      <c r="AY21" s="55">
        <f t="shared" si="8"/>
        <v>-0.25000000000000022</v>
      </c>
    </row>
    <row r="22" spans="2:51" ht="16.5" x14ac:dyDescent="0.35">
      <c r="J22" s="96" t="s">
        <v>487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2" si="9">IF($L$22=$AI$7,N14*N16,0)</f>
        <v>3.3493649053890337E-2</v>
      </c>
      <c r="O22" s="55">
        <f t="shared" si="9"/>
        <v>0.12499999999999999</v>
      </c>
      <c r="P22" s="55">
        <f t="shared" si="9"/>
        <v>0.25</v>
      </c>
      <c r="Q22" s="55">
        <f t="shared" si="9"/>
        <v>0.37500000000000006</v>
      </c>
      <c r="R22" s="55">
        <f t="shared" si="9"/>
        <v>0.46650635094610982</v>
      </c>
      <c r="S22" s="55">
        <f t="shared" si="9"/>
        <v>0.50000000000000011</v>
      </c>
      <c r="T22" s="55">
        <f t="shared" si="9"/>
        <v>0.46650635094610982</v>
      </c>
      <c r="U22" s="55">
        <f t="shared" si="9"/>
        <v>0.37500000000000017</v>
      </c>
      <c r="V22" s="55">
        <f t="shared" si="9"/>
        <v>0.25000000000000006</v>
      </c>
      <c r="W22" s="55">
        <f t="shared" si="9"/>
        <v>0.12499999999999999</v>
      </c>
      <c r="X22" s="55">
        <f t="shared" si="9"/>
        <v>3.3493649053890413E-2</v>
      </c>
      <c r="Y22" s="55">
        <f t="shared" si="9"/>
        <v>7.504943682824896E-33</v>
      </c>
      <c r="Z22" s="55">
        <f t="shared" si="9"/>
        <v>3.349364905389024E-2</v>
      </c>
      <c r="AA22" s="55">
        <f t="shared" si="9"/>
        <v>0.12500000000000008</v>
      </c>
      <c r="AB22" s="55">
        <f t="shared" si="9"/>
        <v>0.25</v>
      </c>
      <c r="AC22" s="55">
        <f t="shared" si="9"/>
        <v>0.37499999999999983</v>
      </c>
      <c r="AD22" s="55">
        <f t="shared" si="9"/>
        <v>0.46650635094610982</v>
      </c>
      <c r="AE22" s="55">
        <f t="shared" si="9"/>
        <v>0.50000000000000011</v>
      </c>
      <c r="AF22" s="55">
        <f t="shared" si="9"/>
        <v>0.4665063509461097</v>
      </c>
      <c r="AG22" s="55">
        <f t="shared" si="9"/>
        <v>0.37500000000000006</v>
      </c>
      <c r="AH22" s="55">
        <f t="shared" si="9"/>
        <v>0.25000000000000017</v>
      </c>
      <c r="AI22" s="55">
        <f t="shared" si="9"/>
        <v>0.12500000000000025</v>
      </c>
      <c r="AJ22" s="55">
        <f t="shared" si="9"/>
        <v>3.3493649053890323E-2</v>
      </c>
      <c r="AK22" s="55">
        <f t="shared" si="9"/>
        <v>3.0019774731299584E-32</v>
      </c>
      <c r="AL22" s="55">
        <f t="shared" si="9"/>
        <v>3.3493649053890212E-2</v>
      </c>
      <c r="AM22" s="55">
        <f t="shared" si="9"/>
        <v>0.12499999999999967</v>
      </c>
      <c r="AN22" s="55">
        <f t="shared" si="9"/>
        <v>0.24999999999999944</v>
      </c>
      <c r="AO22" s="55">
        <f t="shared" si="9"/>
        <v>0.37500000000000022</v>
      </c>
      <c r="AP22" s="55">
        <f t="shared" si="9"/>
        <v>0.46650635094610982</v>
      </c>
      <c r="AQ22" s="55">
        <f t="shared" si="9"/>
        <v>0.50000000000000011</v>
      </c>
      <c r="AR22" s="55">
        <f t="shared" si="9"/>
        <v>0.46650635094610993</v>
      </c>
      <c r="AS22" s="55">
        <f t="shared" si="9"/>
        <v>0.37500000000000056</v>
      </c>
      <c r="AT22" s="55">
        <f t="shared" si="9"/>
        <v>0.24999999999999975</v>
      </c>
      <c r="AU22" s="55">
        <f t="shared" si="9"/>
        <v>0.12499999999999992</v>
      </c>
      <c r="AV22" s="55">
        <f t="shared" si="9"/>
        <v>3.3493649053890351E-2</v>
      </c>
      <c r="AW22" s="55">
        <f t="shared" si="9"/>
        <v>6.7544493145424073E-32</v>
      </c>
      <c r="AX22" s="55">
        <f t="shared" si="9"/>
        <v>3.3493649053890628E-2</v>
      </c>
      <c r="AY22" s="55">
        <f t="shared" si="9"/>
        <v>0.12500000000000036</v>
      </c>
    </row>
    <row r="23" spans="2:51" ht="16.5" x14ac:dyDescent="0.35">
      <c r="J23" s="96" t="s">
        <v>486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10">IF($L$23=$AI$7,N14*N17,0)</f>
        <v>-0.21650635094610962</v>
      </c>
      <c r="O23" s="55">
        <f t="shared" si="10"/>
        <v>-0.37499999999999994</v>
      </c>
      <c r="P23" s="55">
        <f t="shared" si="10"/>
        <v>-0.4330127018922193</v>
      </c>
      <c r="Q23" s="55">
        <f t="shared" si="10"/>
        <v>-0.37500000000000022</v>
      </c>
      <c r="R23" s="55">
        <f t="shared" si="10"/>
        <v>-0.21650635094610948</v>
      </c>
      <c r="S23" s="55">
        <f t="shared" si="10"/>
        <v>-1.0610096853581188E-16</v>
      </c>
      <c r="T23" s="55">
        <f t="shared" si="10"/>
        <v>0.21650635094610968</v>
      </c>
      <c r="U23" s="55">
        <f t="shared" si="10"/>
        <v>0.37499999999999983</v>
      </c>
      <c r="V23" s="55">
        <f t="shared" si="10"/>
        <v>0.4330127018922193</v>
      </c>
      <c r="W23" s="55">
        <f t="shared" si="10"/>
        <v>0.375</v>
      </c>
      <c r="X23" s="55">
        <f t="shared" si="10"/>
        <v>0.21650635094610984</v>
      </c>
      <c r="Y23" s="55">
        <f t="shared" si="10"/>
        <v>1.0610096853581188E-16</v>
      </c>
      <c r="Z23" s="55">
        <f t="shared" si="10"/>
        <v>-0.21650635094610932</v>
      </c>
      <c r="AA23" s="55">
        <f t="shared" si="10"/>
        <v>-0.375</v>
      </c>
      <c r="AB23" s="55">
        <f t="shared" si="10"/>
        <v>-0.4330127018922193</v>
      </c>
      <c r="AC23" s="55">
        <f t="shared" si="10"/>
        <v>-0.37500000000000022</v>
      </c>
      <c r="AD23" s="55">
        <f t="shared" si="10"/>
        <v>-0.21650635094610959</v>
      </c>
      <c r="AE23" s="55">
        <f t="shared" si="10"/>
        <v>-2.1220193707162375E-16</v>
      </c>
      <c r="AF23" s="55">
        <f t="shared" si="10"/>
        <v>0.2165063509461099</v>
      </c>
      <c r="AG23" s="55">
        <f t="shared" si="10"/>
        <v>0.37499999999999994</v>
      </c>
      <c r="AH23" s="55">
        <f t="shared" si="10"/>
        <v>0.4330127018922193</v>
      </c>
      <c r="AI23" s="55">
        <f t="shared" si="10"/>
        <v>0.37500000000000017</v>
      </c>
      <c r="AJ23" s="55">
        <f t="shared" si="10"/>
        <v>0.21650635094610957</v>
      </c>
      <c r="AK23" s="55">
        <f t="shared" si="10"/>
        <v>2.1220193707162375E-16</v>
      </c>
      <c r="AL23" s="55">
        <f t="shared" si="10"/>
        <v>-0.21650635094610923</v>
      </c>
      <c r="AM23" s="55">
        <f t="shared" si="10"/>
        <v>-0.37499999999999967</v>
      </c>
      <c r="AN23" s="55">
        <f t="shared" si="10"/>
        <v>-0.4330127018922193</v>
      </c>
      <c r="AO23" s="55">
        <f t="shared" si="10"/>
        <v>-0.37499999999999989</v>
      </c>
      <c r="AP23" s="55">
        <f t="shared" si="10"/>
        <v>-0.21650635094610968</v>
      </c>
      <c r="AQ23" s="55">
        <f t="shared" si="10"/>
        <v>-3.183029056074356E-16</v>
      </c>
      <c r="AR23" s="55">
        <f t="shared" si="10"/>
        <v>0.21650635094610915</v>
      </c>
      <c r="AS23" s="55">
        <f t="shared" si="10"/>
        <v>0.37499999999999956</v>
      </c>
      <c r="AT23" s="55">
        <f t="shared" si="10"/>
        <v>0.4330127018922193</v>
      </c>
      <c r="AU23" s="55">
        <f t="shared" si="10"/>
        <v>0.37499999999999983</v>
      </c>
      <c r="AV23" s="55">
        <f t="shared" si="10"/>
        <v>0.21650635094610968</v>
      </c>
      <c r="AW23" s="55">
        <f t="shared" si="10"/>
        <v>3.183029056074356E-16</v>
      </c>
      <c r="AX23" s="55">
        <f t="shared" si="10"/>
        <v>-0.21650635094611048</v>
      </c>
      <c r="AY23" s="55">
        <f t="shared" si="10"/>
        <v>-0.37500000000000033</v>
      </c>
    </row>
    <row r="59" spans="3:10" ht="16.5" x14ac:dyDescent="0.45">
      <c r="C59" t="s">
        <v>462</v>
      </c>
      <c r="E59" t="s">
        <v>465</v>
      </c>
      <c r="G59" t="s">
        <v>472</v>
      </c>
    </row>
    <row r="60" spans="3:10" ht="16.5" x14ac:dyDescent="0.45">
      <c r="C60" t="s">
        <v>463</v>
      </c>
      <c r="E60" t="s">
        <v>466</v>
      </c>
      <c r="G60" t="s">
        <v>473</v>
      </c>
    </row>
    <row r="61" spans="3:10" x14ac:dyDescent="0.35">
      <c r="C61" s="259" t="s">
        <v>464</v>
      </c>
      <c r="E61" t="s">
        <v>467</v>
      </c>
    </row>
    <row r="63" spans="3:10" x14ac:dyDescent="0.35">
      <c r="C63" t="s">
        <v>469</v>
      </c>
      <c r="E63" t="s">
        <v>468</v>
      </c>
      <c r="J63" t="s">
        <v>471</v>
      </c>
    </row>
    <row r="64" spans="3:10" ht="18.5" x14ac:dyDescent="0.45">
      <c r="C64" t="s">
        <v>470</v>
      </c>
      <c r="E64" t="s">
        <v>477</v>
      </c>
    </row>
    <row r="66" spans="3:5" ht="24" x14ac:dyDescent="0.65">
      <c r="E66" s="260" t="s">
        <v>475</v>
      </c>
    </row>
    <row r="68" spans="3:5" x14ac:dyDescent="0.35">
      <c r="C68" t="s">
        <v>474</v>
      </c>
    </row>
    <row r="74" spans="3:5" x14ac:dyDescent="0.35">
      <c r="C74" t="s">
        <v>476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50"/>
  <sheetViews>
    <sheetView showGridLines="0" zoomScaleNormal="100" workbookViewId="0">
      <selection activeCell="I18" sqref="I18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9" ht="15" customHeight="1" x14ac:dyDescent="0.35"/>
    <row r="2" spans="2:29" ht="23.5" x14ac:dyDescent="0.55000000000000004">
      <c r="C2" s="22" t="s">
        <v>459</v>
      </c>
      <c r="M2" s="232"/>
      <c r="Y2" s="1"/>
      <c r="AB2" s="1"/>
    </row>
    <row r="3" spans="2:29" ht="12" customHeight="1" x14ac:dyDescent="0.55000000000000004">
      <c r="B3" s="22"/>
      <c r="M3" s="232"/>
      <c r="V3" s="271" t="s">
        <v>492</v>
      </c>
      <c r="W3" s="272">
        <f>SQRT(3)/2</f>
        <v>0.8660254037844386</v>
      </c>
      <c r="Y3" s="1"/>
      <c r="Z3" s="273"/>
      <c r="AB3" s="271" t="s">
        <v>496</v>
      </c>
      <c r="AC3" s="272">
        <f>1/SQRT(2)</f>
        <v>0.70710678118654746</v>
      </c>
    </row>
    <row r="4" spans="2:29" ht="14.5" customHeight="1" x14ac:dyDescent="0.55000000000000004">
      <c r="B4" s="22"/>
      <c r="M4" s="232"/>
      <c r="V4" s="271" t="s">
        <v>491</v>
      </c>
      <c r="W4" s="272">
        <f>COS(RADIANS(30))</f>
        <v>0.86602540378443871</v>
      </c>
      <c r="Y4" s="271" t="s">
        <v>494</v>
      </c>
      <c r="Z4" s="272">
        <f>COS(RADIANS(60))</f>
        <v>0.50000000000000011</v>
      </c>
      <c r="AB4" s="271" t="s">
        <v>495</v>
      </c>
      <c r="AC4" s="272">
        <f>COS(RADIANS(45))</f>
        <v>0.70710678118654757</v>
      </c>
    </row>
    <row r="5" spans="2:29" ht="14.5" customHeight="1" x14ac:dyDescent="0.35">
      <c r="V5" s="271" t="s">
        <v>493</v>
      </c>
      <c r="W5" s="272">
        <f>SIN(RADIANS(60))</f>
        <v>0.8660254037844386</v>
      </c>
      <c r="Y5" s="271" t="s">
        <v>491</v>
      </c>
      <c r="Z5" s="272">
        <f>SIN(RADIANS(30))</f>
        <v>0.49999999999999994</v>
      </c>
      <c r="AB5" s="271" t="s">
        <v>495</v>
      </c>
      <c r="AC5" s="272">
        <f>SIN(RADIANS(45))</f>
        <v>0.70710678118654746</v>
      </c>
    </row>
    <row r="6" spans="2:29" ht="14.5" customHeight="1" x14ac:dyDescent="0.35"/>
    <row r="7" spans="2:29" ht="4.5" customHeight="1" x14ac:dyDescent="0.35"/>
    <row r="8" spans="2:29" ht="4.5" customHeight="1" x14ac:dyDescent="0.35"/>
    <row r="9" spans="2:29" ht="16.5" x14ac:dyDescent="0.45">
      <c r="B9" s="305" t="s">
        <v>431</v>
      </c>
      <c r="C9" s="307"/>
      <c r="D9" s="307"/>
      <c r="E9" s="307"/>
      <c r="F9" s="307"/>
      <c r="G9" s="307"/>
      <c r="H9" s="307"/>
      <c r="I9" s="307"/>
      <c r="L9" s="305" t="s">
        <v>432</v>
      </c>
      <c r="M9" s="306"/>
      <c r="N9" s="306"/>
      <c r="O9" s="306"/>
      <c r="Q9" s="305" t="s">
        <v>239</v>
      </c>
      <c r="R9" s="306"/>
      <c r="S9" s="306"/>
      <c r="T9" s="306"/>
      <c r="U9" s="306"/>
      <c r="W9" s="5" t="s">
        <v>498</v>
      </c>
      <c r="X9" s="5"/>
      <c r="Z9" s="5" t="s">
        <v>497</v>
      </c>
      <c r="AA9" s="5"/>
    </row>
    <row r="10" spans="2:29" x14ac:dyDescent="0.35">
      <c r="B10" s="229" t="s">
        <v>205</v>
      </c>
      <c r="C10" s="228" t="s">
        <v>215</v>
      </c>
      <c r="D10" s="228" t="s">
        <v>98</v>
      </c>
      <c r="E10" s="228" t="s">
        <v>428</v>
      </c>
      <c r="F10" s="228" t="s">
        <v>98</v>
      </c>
      <c r="G10" s="228" t="s">
        <v>428</v>
      </c>
      <c r="H10" s="228" t="s">
        <v>429</v>
      </c>
      <c r="I10" s="228" t="s">
        <v>430</v>
      </c>
      <c r="L10" s="234" t="s">
        <v>436</v>
      </c>
      <c r="M10" s="234" t="s">
        <v>437</v>
      </c>
      <c r="N10" s="234" t="s">
        <v>438</v>
      </c>
      <c r="O10" s="234" t="s">
        <v>439</v>
      </c>
      <c r="P10" s="232"/>
      <c r="Q10" s="238" t="s">
        <v>433</v>
      </c>
      <c r="R10" s="234"/>
      <c r="S10" s="234"/>
      <c r="T10" s="234"/>
      <c r="U10" s="234"/>
      <c r="W10" s="5">
        <v>0</v>
      </c>
      <c r="X10" s="92">
        <f>C12*COS(F12)</f>
        <v>-114.99999999999994</v>
      </c>
      <c r="Z10" s="92">
        <f>X10</f>
        <v>-114.99999999999994</v>
      </c>
      <c r="AA10" s="92">
        <f>X10</f>
        <v>-114.99999999999994</v>
      </c>
    </row>
    <row r="11" spans="2:29" x14ac:dyDescent="0.35">
      <c r="B11" s="300" t="s">
        <v>456</v>
      </c>
      <c r="C11" s="226">
        <v>230</v>
      </c>
      <c r="D11" s="90">
        <v>0</v>
      </c>
      <c r="E11" s="89" t="s">
        <v>210</v>
      </c>
      <c r="F11" s="227">
        <f>D11*PI()/180</f>
        <v>0</v>
      </c>
      <c r="G11" s="89" t="s">
        <v>211</v>
      </c>
      <c r="H11" s="227">
        <f>C11*COS(F11)</f>
        <v>230</v>
      </c>
      <c r="I11" s="227">
        <f>C11*SIN(F11)</f>
        <v>0</v>
      </c>
      <c r="L11" s="235">
        <v>0</v>
      </c>
      <c r="M11" s="235">
        <f>H11</f>
        <v>230</v>
      </c>
      <c r="N11" s="235">
        <v>0</v>
      </c>
      <c r="O11" s="235">
        <f>I11</f>
        <v>0</v>
      </c>
      <c r="P11" s="236"/>
      <c r="Q11" s="237">
        <f>MAX(ABS(O11),ABS(M12),ABS(O12),ABS(M11),ABS(M14),ABS(O14))</f>
        <v>230</v>
      </c>
      <c r="R11" s="235">
        <f>Q12</f>
        <v>253.00000000000003</v>
      </c>
      <c r="S11" s="235">
        <v>0</v>
      </c>
      <c r="T11" s="235">
        <f>-R11</f>
        <v>-253.00000000000003</v>
      </c>
      <c r="U11" s="235">
        <v>0</v>
      </c>
      <c r="W11" s="5">
        <v>0</v>
      </c>
      <c r="X11" s="5">
        <v>0</v>
      </c>
      <c r="Z11" s="5">
        <v>0</v>
      </c>
      <c r="AA11" s="92">
        <f>C12*SIN(F12)</f>
        <v>199.18584287042091</v>
      </c>
    </row>
    <row r="12" spans="2:29" x14ac:dyDescent="0.35">
      <c r="B12" s="301" t="s">
        <v>457</v>
      </c>
      <c r="C12" s="226">
        <v>230</v>
      </c>
      <c r="D12" s="90">
        <v>120</v>
      </c>
      <c r="E12" s="89" t="str">
        <f t="shared" ref="E12:E13" si="0">E11</f>
        <v>°</v>
      </c>
      <c r="F12" s="227">
        <f>D12*PI()/180</f>
        <v>2.0943951023931953</v>
      </c>
      <c r="G12" s="89" t="s">
        <v>211</v>
      </c>
      <c r="H12" s="227">
        <f>C12*COS(F12)</f>
        <v>-114.99999999999994</v>
      </c>
      <c r="I12" s="227">
        <f>C12*SIN(F12)</f>
        <v>199.18584287042091</v>
      </c>
      <c r="L12" s="235">
        <v>0</v>
      </c>
      <c r="M12" s="235">
        <f>H12</f>
        <v>-114.99999999999994</v>
      </c>
      <c r="N12" s="235">
        <v>0</v>
      </c>
      <c r="O12" s="235">
        <f>I12</f>
        <v>199.18584287042091</v>
      </c>
      <c r="P12" s="236"/>
      <c r="Q12" s="237">
        <f>Q11*1.1</f>
        <v>253.00000000000003</v>
      </c>
      <c r="R12" s="235">
        <v>0</v>
      </c>
      <c r="S12" s="235">
        <f>R11</f>
        <v>253.00000000000003</v>
      </c>
      <c r="T12" s="235">
        <v>0</v>
      </c>
      <c r="U12" s="235">
        <f>T11</f>
        <v>-253.00000000000003</v>
      </c>
    </row>
    <row r="13" spans="2:29" x14ac:dyDescent="0.35">
      <c r="B13" s="302" t="s">
        <v>577</v>
      </c>
      <c r="C13" s="226">
        <v>230</v>
      </c>
      <c r="D13" s="90">
        <v>240</v>
      </c>
      <c r="E13" s="89" t="str">
        <f t="shared" si="0"/>
        <v>°</v>
      </c>
      <c r="F13" s="227">
        <f>D13*PI()/180</f>
        <v>4.1887902047863905</v>
      </c>
      <c r="G13" s="89" t="s">
        <v>211</v>
      </c>
      <c r="H13" s="227">
        <f>C13*COS(F13)</f>
        <v>-115.0000000000001</v>
      </c>
      <c r="I13" s="227">
        <f>C13*SIN(F13)</f>
        <v>-199.18584287042083</v>
      </c>
      <c r="L13" s="235">
        <v>0</v>
      </c>
      <c r="M13" s="235">
        <f>H13</f>
        <v>-115.0000000000001</v>
      </c>
      <c r="N13" s="235">
        <v>0</v>
      </c>
      <c r="O13" s="235">
        <f>I13</f>
        <v>-199.18584287042083</v>
      </c>
      <c r="P13" s="236"/>
      <c r="Q13" s="237">
        <f>Q12*1.1</f>
        <v>278.30000000000007</v>
      </c>
      <c r="R13" s="235">
        <v>0</v>
      </c>
      <c r="S13" s="235">
        <f>R12</f>
        <v>0</v>
      </c>
      <c r="T13" s="235">
        <v>0</v>
      </c>
      <c r="U13" s="235">
        <f>T12</f>
        <v>0</v>
      </c>
    </row>
    <row r="14" spans="2:29" ht="16.5" x14ac:dyDescent="0.45">
      <c r="B14" s="239" t="s">
        <v>458</v>
      </c>
      <c r="C14" s="227">
        <f>SQRT(H14^2+I14^2)</f>
        <v>398.37168574084171</v>
      </c>
      <c r="D14" s="227">
        <f>F14*180/PI()</f>
        <v>149.99999999999997</v>
      </c>
      <c r="E14" s="89" t="str">
        <f>E12</f>
        <v>°</v>
      </c>
      <c r="F14" s="227">
        <f>ATAN2(H14,I14)</f>
        <v>2.617993877991494</v>
      </c>
      <c r="G14" s="89" t="str">
        <f>G12</f>
        <v>rad</v>
      </c>
      <c r="H14" s="227">
        <f>H12-H11</f>
        <v>-344.99999999999994</v>
      </c>
      <c r="I14" s="227">
        <f>I12-I11</f>
        <v>199.18584287042091</v>
      </c>
      <c r="L14" s="235">
        <f>M11</f>
        <v>230</v>
      </c>
      <c r="M14" s="235">
        <f>M12</f>
        <v>-114.99999999999994</v>
      </c>
      <c r="N14" s="235">
        <f>O11</f>
        <v>0</v>
      </c>
      <c r="O14" s="235">
        <f>O12</f>
        <v>199.18584287042091</v>
      </c>
      <c r="W14" s="1" t="s">
        <v>499</v>
      </c>
      <c r="X14" s="274">
        <f>C11-X10</f>
        <v>344.99999999999994</v>
      </c>
    </row>
    <row r="15" spans="2:29" ht="16.5" x14ac:dyDescent="0.45">
      <c r="W15" s="1" t="s">
        <v>500</v>
      </c>
      <c r="X15" s="274">
        <f>AA11</f>
        <v>199.18584287042091</v>
      </c>
    </row>
    <row r="16" spans="2:29" ht="16.5" x14ac:dyDescent="0.45">
      <c r="W16" s="239" t="s">
        <v>501</v>
      </c>
      <c r="X16" s="274">
        <f>SQRT(X14^2+X15^2)</f>
        <v>398.37168574084171</v>
      </c>
      <c r="Y16">
        <f>C11*SQRT(3)</f>
        <v>398.37168574084177</v>
      </c>
    </row>
    <row r="17" spans="12:54" x14ac:dyDescent="0.35">
      <c r="W17" s="1"/>
      <c r="X17" s="273"/>
    </row>
    <row r="18" spans="12:54" x14ac:dyDescent="0.35">
      <c r="W18" s="1"/>
      <c r="X18" s="273"/>
    </row>
    <row r="20" spans="12:54" x14ac:dyDescent="0.35">
      <c r="L20" s="233" t="s">
        <v>216</v>
      </c>
      <c r="M20" s="233">
        <v>0</v>
      </c>
      <c r="N20" s="233">
        <f>M20+10</f>
        <v>10</v>
      </c>
      <c r="O20" s="233">
        <f t="shared" ref="O20:AW20" si="1">N20+10</f>
        <v>20</v>
      </c>
      <c r="P20" s="233">
        <f t="shared" si="1"/>
        <v>30</v>
      </c>
      <c r="Q20" s="233">
        <f t="shared" si="1"/>
        <v>40</v>
      </c>
      <c r="R20" s="233">
        <f t="shared" si="1"/>
        <v>50</v>
      </c>
      <c r="S20" s="233">
        <f t="shared" si="1"/>
        <v>60</v>
      </c>
      <c r="T20" s="233">
        <f t="shared" si="1"/>
        <v>70</v>
      </c>
      <c r="U20" s="233">
        <f t="shared" si="1"/>
        <v>80</v>
      </c>
      <c r="V20" s="233">
        <f t="shared" si="1"/>
        <v>90</v>
      </c>
      <c r="W20" s="233">
        <f t="shared" si="1"/>
        <v>100</v>
      </c>
      <c r="X20" s="233">
        <f t="shared" si="1"/>
        <v>110</v>
      </c>
      <c r="Y20" s="233">
        <f t="shared" si="1"/>
        <v>120</v>
      </c>
      <c r="Z20" s="233">
        <f t="shared" si="1"/>
        <v>130</v>
      </c>
      <c r="AA20" s="233">
        <f t="shared" si="1"/>
        <v>140</v>
      </c>
      <c r="AB20" s="233">
        <f t="shared" si="1"/>
        <v>150</v>
      </c>
      <c r="AC20" s="233">
        <f t="shared" si="1"/>
        <v>160</v>
      </c>
      <c r="AD20" s="233">
        <f t="shared" si="1"/>
        <v>170</v>
      </c>
      <c r="AE20" s="233">
        <f t="shared" si="1"/>
        <v>180</v>
      </c>
      <c r="AF20" s="233">
        <f t="shared" si="1"/>
        <v>190</v>
      </c>
      <c r="AG20" s="233">
        <f t="shared" si="1"/>
        <v>200</v>
      </c>
      <c r="AH20" s="233">
        <f t="shared" si="1"/>
        <v>210</v>
      </c>
      <c r="AI20" s="233">
        <f t="shared" si="1"/>
        <v>220</v>
      </c>
      <c r="AJ20" s="233">
        <f t="shared" si="1"/>
        <v>230</v>
      </c>
      <c r="AK20" s="233">
        <f t="shared" si="1"/>
        <v>240</v>
      </c>
      <c r="AL20" s="233">
        <f t="shared" si="1"/>
        <v>250</v>
      </c>
      <c r="AM20" s="233">
        <f t="shared" si="1"/>
        <v>260</v>
      </c>
      <c r="AN20" s="233">
        <f t="shared" si="1"/>
        <v>270</v>
      </c>
      <c r="AO20" s="233">
        <f t="shared" si="1"/>
        <v>280</v>
      </c>
      <c r="AP20" s="233">
        <f t="shared" si="1"/>
        <v>290</v>
      </c>
      <c r="AQ20" s="233">
        <f t="shared" si="1"/>
        <v>300</v>
      </c>
      <c r="AR20" s="233">
        <f t="shared" si="1"/>
        <v>310</v>
      </c>
      <c r="AS20" s="233">
        <f t="shared" si="1"/>
        <v>320</v>
      </c>
      <c r="AT20" s="233">
        <f t="shared" si="1"/>
        <v>330</v>
      </c>
      <c r="AU20" s="233">
        <f t="shared" si="1"/>
        <v>340</v>
      </c>
      <c r="AV20" s="233">
        <f t="shared" si="1"/>
        <v>350</v>
      </c>
      <c r="AW20" s="233">
        <f t="shared" si="1"/>
        <v>360</v>
      </c>
      <c r="AX20" s="233"/>
      <c r="AY20" s="233"/>
      <c r="AZ20" s="233"/>
      <c r="BA20" s="233"/>
      <c r="BB20" s="233"/>
    </row>
    <row r="21" spans="12:54" x14ac:dyDescent="0.35">
      <c r="L21" s="233" t="s">
        <v>217</v>
      </c>
      <c r="M21" s="233">
        <f>M20*PI()/180</f>
        <v>0</v>
      </c>
      <c r="N21" s="233">
        <f t="shared" ref="N21:AW21" si="2">N20*PI()/180</f>
        <v>0.17453292519943295</v>
      </c>
      <c r="O21" s="233">
        <f t="shared" si="2"/>
        <v>0.3490658503988659</v>
      </c>
      <c r="P21" s="233">
        <f t="shared" si="2"/>
        <v>0.52359877559829882</v>
      </c>
      <c r="Q21" s="233">
        <f t="shared" si="2"/>
        <v>0.69813170079773179</v>
      </c>
      <c r="R21" s="233">
        <f t="shared" si="2"/>
        <v>0.87266462599716477</v>
      </c>
      <c r="S21" s="233">
        <f t="shared" si="2"/>
        <v>1.0471975511965976</v>
      </c>
      <c r="T21" s="233">
        <f t="shared" si="2"/>
        <v>1.2217304763960306</v>
      </c>
      <c r="U21" s="233">
        <f t="shared" si="2"/>
        <v>1.3962634015954636</v>
      </c>
      <c r="V21" s="233">
        <f t="shared" si="2"/>
        <v>1.5707963267948966</v>
      </c>
      <c r="W21" s="233">
        <f t="shared" si="2"/>
        <v>1.7453292519943295</v>
      </c>
      <c r="X21" s="233">
        <f t="shared" si="2"/>
        <v>1.9198621771937625</v>
      </c>
      <c r="Y21" s="233">
        <f t="shared" si="2"/>
        <v>2.0943951023931953</v>
      </c>
      <c r="Z21" s="233">
        <f t="shared" si="2"/>
        <v>2.2689280275926285</v>
      </c>
      <c r="AA21" s="233">
        <f t="shared" si="2"/>
        <v>2.4434609527920612</v>
      </c>
      <c r="AB21" s="233">
        <f t="shared" si="2"/>
        <v>2.6179938779914944</v>
      </c>
      <c r="AC21" s="233">
        <f t="shared" si="2"/>
        <v>2.7925268031909272</v>
      </c>
      <c r="AD21" s="233">
        <f t="shared" si="2"/>
        <v>2.9670597283903604</v>
      </c>
      <c r="AE21" s="233">
        <f t="shared" si="2"/>
        <v>3.1415926535897931</v>
      </c>
      <c r="AF21" s="233">
        <f t="shared" si="2"/>
        <v>3.3161255787892263</v>
      </c>
      <c r="AG21" s="233">
        <f t="shared" si="2"/>
        <v>3.4906585039886591</v>
      </c>
      <c r="AH21" s="233">
        <f t="shared" si="2"/>
        <v>3.6651914291880923</v>
      </c>
      <c r="AI21" s="233">
        <f t="shared" si="2"/>
        <v>3.839724354387525</v>
      </c>
      <c r="AJ21" s="233">
        <f t="shared" si="2"/>
        <v>4.0142572795869578</v>
      </c>
      <c r="AK21" s="233">
        <f t="shared" si="2"/>
        <v>4.1887902047863905</v>
      </c>
      <c r="AL21" s="233">
        <f t="shared" si="2"/>
        <v>4.3633231299858233</v>
      </c>
      <c r="AM21" s="233">
        <f t="shared" si="2"/>
        <v>4.5378560551852569</v>
      </c>
      <c r="AN21" s="233">
        <f t="shared" si="2"/>
        <v>4.7123889803846897</v>
      </c>
      <c r="AO21" s="233">
        <f t="shared" si="2"/>
        <v>4.8869219055841224</v>
      </c>
      <c r="AP21" s="233">
        <f t="shared" si="2"/>
        <v>5.0614548307835552</v>
      </c>
      <c r="AQ21" s="233">
        <f t="shared" si="2"/>
        <v>5.2359877559829888</v>
      </c>
      <c r="AR21" s="233">
        <f t="shared" si="2"/>
        <v>5.4105206811824216</v>
      </c>
      <c r="AS21" s="233">
        <f t="shared" si="2"/>
        <v>5.5850536063818543</v>
      </c>
      <c r="AT21" s="233">
        <f t="shared" si="2"/>
        <v>5.7595865315812871</v>
      </c>
      <c r="AU21" s="233">
        <f t="shared" si="2"/>
        <v>5.9341194567807207</v>
      </c>
      <c r="AV21" s="233">
        <f t="shared" si="2"/>
        <v>6.1086523819801526</v>
      </c>
      <c r="AW21" s="233">
        <f t="shared" si="2"/>
        <v>6.2831853071795862</v>
      </c>
    </row>
    <row r="22" spans="12:54" x14ac:dyDescent="0.35">
      <c r="L22" s="300" t="s">
        <v>460</v>
      </c>
      <c r="M22" s="233">
        <f>$C$11*SIN(M21+$F$11)</f>
        <v>0</v>
      </c>
      <c r="N22" s="233">
        <f t="shared" ref="N22:AW22" si="3">$C$11*SIN(N21+$F$11)</f>
        <v>39.939080863393976</v>
      </c>
      <c r="O22" s="233">
        <f t="shared" si="3"/>
        <v>78.664632964903802</v>
      </c>
      <c r="P22" s="233">
        <f t="shared" si="3"/>
        <v>114.99999999999999</v>
      </c>
      <c r="Q22" s="233">
        <f t="shared" si="3"/>
        <v>147.84115022790402</v>
      </c>
      <c r="R22" s="233">
        <f t="shared" si="3"/>
        <v>176.19022191736494</v>
      </c>
      <c r="S22" s="233">
        <f t="shared" si="3"/>
        <v>199.18584287042088</v>
      </c>
      <c r="T22" s="233">
        <f t="shared" si="3"/>
        <v>216.12930278075891</v>
      </c>
      <c r="U22" s="233">
        <f t="shared" si="3"/>
        <v>226.50578319280785</v>
      </c>
      <c r="V22" s="233">
        <f t="shared" si="3"/>
        <v>230</v>
      </c>
      <c r="W22" s="233">
        <f t="shared" si="3"/>
        <v>226.50578319280785</v>
      </c>
      <c r="X22" s="233">
        <f t="shared" si="3"/>
        <v>216.12930278075893</v>
      </c>
      <c r="Y22" s="233">
        <f t="shared" si="3"/>
        <v>199.18584287042091</v>
      </c>
      <c r="Z22" s="233">
        <f t="shared" si="3"/>
        <v>176.19022191736494</v>
      </c>
      <c r="AA22" s="233">
        <f t="shared" si="3"/>
        <v>147.84115022790408</v>
      </c>
      <c r="AB22" s="233">
        <f t="shared" si="3"/>
        <v>114.99999999999999</v>
      </c>
      <c r="AC22" s="233">
        <f t="shared" si="3"/>
        <v>78.664632964903845</v>
      </c>
      <c r="AD22" s="233">
        <f t="shared" si="3"/>
        <v>39.939080863393961</v>
      </c>
      <c r="AE22" s="233">
        <f t="shared" si="3"/>
        <v>2.817841446289826E-14</v>
      </c>
      <c r="AF22" s="233">
        <f t="shared" si="3"/>
        <v>-39.939080863394011</v>
      </c>
      <c r="AG22" s="233">
        <f t="shared" si="3"/>
        <v>-78.664632964903788</v>
      </c>
      <c r="AH22" s="233">
        <f t="shared" si="3"/>
        <v>-115.00000000000003</v>
      </c>
      <c r="AI22" s="233">
        <f t="shared" si="3"/>
        <v>-147.84115022790402</v>
      </c>
      <c r="AJ22" s="233">
        <f t="shared" si="3"/>
        <v>-176.19022191736491</v>
      </c>
      <c r="AK22" s="233">
        <f t="shared" si="3"/>
        <v>-199.18584287042083</v>
      </c>
      <c r="AL22" s="233">
        <f t="shared" si="3"/>
        <v>-216.12930278075888</v>
      </c>
      <c r="AM22" s="233">
        <f t="shared" si="3"/>
        <v>-226.50578319280785</v>
      </c>
      <c r="AN22" s="233">
        <f t="shared" si="3"/>
        <v>-230</v>
      </c>
      <c r="AO22" s="233">
        <f t="shared" si="3"/>
        <v>-226.50578319280788</v>
      </c>
      <c r="AP22" s="233">
        <f t="shared" si="3"/>
        <v>-216.12930278075896</v>
      </c>
      <c r="AQ22" s="233">
        <f t="shared" si="3"/>
        <v>-199.18584287042088</v>
      </c>
      <c r="AR22" s="233">
        <f t="shared" si="3"/>
        <v>-176.19022191736497</v>
      </c>
      <c r="AS22" s="233">
        <f t="shared" si="3"/>
        <v>-147.84115022790411</v>
      </c>
      <c r="AT22" s="233">
        <f t="shared" si="3"/>
        <v>-115.0000000000001</v>
      </c>
      <c r="AU22" s="233">
        <f t="shared" si="3"/>
        <v>-78.664632964903774</v>
      </c>
      <c r="AV22" s="233">
        <f t="shared" si="3"/>
        <v>-39.939080863394196</v>
      </c>
      <c r="AW22" s="233">
        <f t="shared" si="3"/>
        <v>-5.635682892579652E-14</v>
      </c>
    </row>
    <row r="23" spans="12:54" ht="16" customHeight="1" x14ac:dyDescent="0.35">
      <c r="L23" s="301" t="s">
        <v>578</v>
      </c>
      <c r="M23" s="233">
        <f>$C$12*SIN(M21+$F$12)</f>
        <v>199.18584287042091</v>
      </c>
      <c r="N23" s="233">
        <f t="shared" ref="N23:AW23" si="4">$C$12*SIN(N21+$F$12)</f>
        <v>176.19022191736502</v>
      </c>
      <c r="O23" s="233">
        <f t="shared" si="4"/>
        <v>147.84115022790408</v>
      </c>
      <c r="P23" s="233">
        <f t="shared" si="4"/>
        <v>115.00000000000007</v>
      </c>
      <c r="Q23" s="233">
        <f t="shared" si="4"/>
        <v>78.664632964903845</v>
      </c>
      <c r="R23" s="233">
        <f t="shared" si="4"/>
        <v>39.939080863394061</v>
      </c>
      <c r="S23" s="233">
        <f t="shared" si="4"/>
        <v>2.817841446289826E-14</v>
      </c>
      <c r="T23" s="233">
        <f t="shared" si="4"/>
        <v>-39.939080863393905</v>
      </c>
      <c r="U23" s="233">
        <f t="shared" si="4"/>
        <v>-78.664632964903689</v>
      </c>
      <c r="V23" s="233">
        <f t="shared" si="4"/>
        <v>-114.99999999999994</v>
      </c>
      <c r="W23" s="233">
        <f t="shared" si="4"/>
        <v>-147.84115022790402</v>
      </c>
      <c r="X23" s="233">
        <f t="shared" si="4"/>
        <v>-176.19022191736491</v>
      </c>
      <c r="Y23" s="233">
        <f t="shared" si="4"/>
        <v>-199.18584287042083</v>
      </c>
      <c r="Z23" s="233">
        <f t="shared" si="4"/>
        <v>-216.12930278075893</v>
      </c>
      <c r="AA23" s="233">
        <f t="shared" si="4"/>
        <v>-226.50578319280785</v>
      </c>
      <c r="AB23" s="233">
        <f t="shared" si="4"/>
        <v>-230</v>
      </c>
      <c r="AC23" s="233">
        <f t="shared" si="4"/>
        <v>-226.50578319280788</v>
      </c>
      <c r="AD23" s="233">
        <f t="shared" si="4"/>
        <v>-216.12930278075896</v>
      </c>
      <c r="AE23" s="233">
        <f t="shared" si="4"/>
        <v>-199.18584287042097</v>
      </c>
      <c r="AF23" s="233">
        <f t="shared" si="4"/>
        <v>-176.19022191736497</v>
      </c>
      <c r="AG23" s="233">
        <f t="shared" si="4"/>
        <v>-147.84115022790411</v>
      </c>
      <c r="AH23" s="233">
        <f t="shared" si="4"/>
        <v>-114.99999999999993</v>
      </c>
      <c r="AI23" s="233">
        <f t="shared" si="4"/>
        <v>-78.664632964903774</v>
      </c>
      <c r="AJ23" s="233">
        <f t="shared" si="4"/>
        <v>-39.93908086339399</v>
      </c>
      <c r="AK23" s="233">
        <f t="shared" si="4"/>
        <v>-5.635682892579652E-14</v>
      </c>
      <c r="AL23" s="233">
        <f t="shared" si="4"/>
        <v>39.939080863393883</v>
      </c>
      <c r="AM23" s="233">
        <f t="shared" si="4"/>
        <v>78.66463296490366</v>
      </c>
      <c r="AN23" s="233">
        <f t="shared" si="4"/>
        <v>114.99999999999983</v>
      </c>
      <c r="AO23" s="233">
        <f t="shared" si="4"/>
        <v>147.84115022790385</v>
      </c>
      <c r="AP23" s="233">
        <f t="shared" si="4"/>
        <v>176.19022191736477</v>
      </c>
      <c r="AQ23" s="233">
        <f t="shared" si="4"/>
        <v>199.18584287042094</v>
      </c>
      <c r="AR23" s="233">
        <f t="shared" si="4"/>
        <v>216.12930278075893</v>
      </c>
      <c r="AS23" s="233">
        <f t="shared" si="4"/>
        <v>226.50578319280785</v>
      </c>
      <c r="AT23" s="233">
        <f t="shared" si="4"/>
        <v>230</v>
      </c>
      <c r="AU23" s="233">
        <f t="shared" si="4"/>
        <v>226.50578319280788</v>
      </c>
      <c r="AV23" s="233">
        <f t="shared" si="4"/>
        <v>216.12930278075899</v>
      </c>
      <c r="AW23" s="233">
        <f t="shared" si="4"/>
        <v>199.185842870421</v>
      </c>
    </row>
    <row r="24" spans="12:54" ht="16" customHeight="1" x14ac:dyDescent="0.35">
      <c r="L24" s="302" t="s">
        <v>577</v>
      </c>
      <c r="M24" s="233">
        <f>$C$13*SIN(M21+$F$13)</f>
        <v>-199.18584287042083</v>
      </c>
      <c r="N24" s="233">
        <f t="shared" ref="N24:AW24" si="5">$C$13*SIN(N21+$F$13)</f>
        <v>-216.12930278075888</v>
      </c>
      <c r="O24" s="233">
        <f t="shared" si="5"/>
        <v>-226.50578319280783</v>
      </c>
      <c r="P24" s="233">
        <f t="shared" si="5"/>
        <v>-230</v>
      </c>
      <c r="Q24" s="233">
        <f t="shared" si="5"/>
        <v>-226.50578319280788</v>
      </c>
      <c r="R24" s="233">
        <f t="shared" si="5"/>
        <v>-216.12930278075896</v>
      </c>
      <c r="S24" s="233">
        <f t="shared" si="5"/>
        <v>-199.18584287042097</v>
      </c>
      <c r="T24" s="233">
        <f t="shared" si="5"/>
        <v>-176.19022191736511</v>
      </c>
      <c r="U24" s="233">
        <f t="shared" si="5"/>
        <v>-147.84115022790411</v>
      </c>
      <c r="V24" s="233">
        <f t="shared" si="5"/>
        <v>-115.0000000000001</v>
      </c>
      <c r="W24" s="233">
        <f t="shared" si="5"/>
        <v>-78.664632964903973</v>
      </c>
      <c r="X24" s="233">
        <f t="shared" si="5"/>
        <v>-39.93908086339399</v>
      </c>
      <c r="Y24" s="233">
        <f t="shared" si="5"/>
        <v>-5.635682892579652E-14</v>
      </c>
      <c r="Z24" s="233">
        <f t="shared" si="5"/>
        <v>39.939080863393883</v>
      </c>
      <c r="AA24" s="233">
        <f t="shared" si="5"/>
        <v>78.66463296490366</v>
      </c>
      <c r="AB24" s="233">
        <f t="shared" si="5"/>
        <v>114.99999999999983</v>
      </c>
      <c r="AC24" s="233">
        <f t="shared" si="5"/>
        <v>147.84115022790385</v>
      </c>
      <c r="AD24" s="233">
        <f t="shared" si="5"/>
        <v>176.19022191736488</v>
      </c>
      <c r="AE24" s="233">
        <f t="shared" si="5"/>
        <v>199.18584287042083</v>
      </c>
      <c r="AF24" s="233">
        <f t="shared" si="5"/>
        <v>216.12930278075893</v>
      </c>
      <c r="AG24" s="233">
        <f t="shared" si="5"/>
        <v>226.50578319280785</v>
      </c>
      <c r="AH24" s="233">
        <f t="shared" si="5"/>
        <v>230</v>
      </c>
      <c r="AI24" s="233">
        <f t="shared" si="5"/>
        <v>226.50578319280788</v>
      </c>
      <c r="AJ24" s="233">
        <f t="shared" si="5"/>
        <v>216.12930278075899</v>
      </c>
      <c r="AK24" s="233">
        <f t="shared" si="5"/>
        <v>199.185842870421</v>
      </c>
      <c r="AL24" s="233">
        <f t="shared" si="5"/>
        <v>176.19022191736514</v>
      </c>
      <c r="AM24" s="233">
        <f t="shared" si="5"/>
        <v>147.84115022790397</v>
      </c>
      <c r="AN24" s="233">
        <f t="shared" si="5"/>
        <v>114.99999999999994</v>
      </c>
      <c r="AO24" s="233">
        <f t="shared" si="5"/>
        <v>78.664632964903802</v>
      </c>
      <c r="AP24" s="233">
        <f t="shared" si="5"/>
        <v>39.939080863394011</v>
      </c>
      <c r="AQ24" s="233">
        <f t="shared" si="5"/>
        <v>8.4535243388694781E-14</v>
      </c>
      <c r="AR24" s="233">
        <f t="shared" si="5"/>
        <v>-39.939080863393848</v>
      </c>
      <c r="AS24" s="233">
        <f t="shared" si="5"/>
        <v>-78.664632964903632</v>
      </c>
      <c r="AT24" s="233">
        <f t="shared" si="5"/>
        <v>-114.99999999999982</v>
      </c>
      <c r="AU24" s="233">
        <f t="shared" si="5"/>
        <v>-147.84115022790382</v>
      </c>
      <c r="AV24" s="233">
        <f t="shared" si="5"/>
        <v>-176.19022191736474</v>
      </c>
      <c r="AW24" s="233">
        <f t="shared" si="5"/>
        <v>-199.18584287042069</v>
      </c>
    </row>
    <row r="25" spans="12:54" ht="16" hidden="1" customHeight="1" x14ac:dyDescent="0.45">
      <c r="L25" s="239" t="s">
        <v>461</v>
      </c>
      <c r="M25" s="233">
        <f>M22-M24</f>
        <v>199.18584287042083</v>
      </c>
      <c r="N25" s="233">
        <f t="shared" ref="N25:AW25" si="6">N22-N24</f>
        <v>256.06838364415285</v>
      </c>
      <c r="O25" s="233">
        <f t="shared" si="6"/>
        <v>305.17041615771166</v>
      </c>
      <c r="P25" s="233">
        <f t="shared" si="6"/>
        <v>345</v>
      </c>
      <c r="Q25" s="233">
        <f t="shared" si="6"/>
        <v>374.34693342071193</v>
      </c>
      <c r="R25" s="233">
        <f t="shared" si="6"/>
        <v>392.31952469812393</v>
      </c>
      <c r="S25" s="233">
        <f t="shared" si="6"/>
        <v>398.37168574084183</v>
      </c>
      <c r="T25" s="233">
        <f t="shared" si="6"/>
        <v>392.31952469812404</v>
      </c>
      <c r="U25" s="233">
        <f t="shared" si="6"/>
        <v>374.34693342071193</v>
      </c>
      <c r="V25" s="233">
        <f t="shared" si="6"/>
        <v>345.00000000000011</v>
      </c>
      <c r="W25" s="233">
        <f t="shared" si="6"/>
        <v>305.17041615771183</v>
      </c>
      <c r="X25" s="233">
        <f t="shared" si="6"/>
        <v>256.0683836441529</v>
      </c>
      <c r="Y25" s="233">
        <f t="shared" si="6"/>
        <v>199.18584287042097</v>
      </c>
      <c r="Z25" s="233">
        <f t="shared" si="6"/>
        <v>136.25114105397105</v>
      </c>
      <c r="AA25" s="233">
        <f t="shared" si="6"/>
        <v>69.17651726300042</v>
      </c>
      <c r="AB25" s="233">
        <f t="shared" si="6"/>
        <v>1.5631940186722204E-13</v>
      </c>
      <c r="AC25" s="233">
        <f t="shared" si="6"/>
        <v>-69.176517263000008</v>
      </c>
      <c r="AD25" s="233">
        <f t="shared" si="6"/>
        <v>-136.25114105397091</v>
      </c>
      <c r="AE25" s="233">
        <f t="shared" si="6"/>
        <v>-199.1858428704208</v>
      </c>
      <c r="AF25" s="233">
        <f t="shared" si="6"/>
        <v>-256.06838364415296</v>
      </c>
      <c r="AG25" s="233">
        <f t="shared" si="6"/>
        <v>-305.17041615771166</v>
      </c>
      <c r="AH25" s="233">
        <f t="shared" si="6"/>
        <v>-345</v>
      </c>
      <c r="AI25" s="233">
        <f t="shared" si="6"/>
        <v>-374.34693342071193</v>
      </c>
      <c r="AJ25" s="233">
        <f t="shared" si="6"/>
        <v>-392.31952469812393</v>
      </c>
      <c r="AK25" s="233">
        <f t="shared" si="6"/>
        <v>-398.37168574084183</v>
      </c>
      <c r="AL25" s="233">
        <f t="shared" si="6"/>
        <v>-392.31952469812404</v>
      </c>
      <c r="AM25" s="233">
        <f t="shared" si="6"/>
        <v>-374.34693342071182</v>
      </c>
      <c r="AN25" s="233">
        <f t="shared" si="6"/>
        <v>-344.99999999999994</v>
      </c>
      <c r="AO25" s="233">
        <f t="shared" si="6"/>
        <v>-305.17041615771166</v>
      </c>
      <c r="AP25" s="233">
        <f t="shared" si="6"/>
        <v>-256.06838364415296</v>
      </c>
      <c r="AQ25" s="233">
        <f t="shared" si="6"/>
        <v>-199.18584287042097</v>
      </c>
      <c r="AR25" s="233">
        <f t="shared" si="6"/>
        <v>-136.25114105397111</v>
      </c>
      <c r="AS25" s="233">
        <f t="shared" si="6"/>
        <v>-69.176517263000477</v>
      </c>
      <c r="AT25" s="233">
        <f t="shared" si="6"/>
        <v>-2.8421709430404007E-13</v>
      </c>
      <c r="AU25" s="233">
        <f t="shared" si="6"/>
        <v>69.176517263000051</v>
      </c>
      <c r="AV25" s="233">
        <f t="shared" si="6"/>
        <v>136.25114105397054</v>
      </c>
      <c r="AW25" s="233">
        <f t="shared" si="6"/>
        <v>199.18584287042063</v>
      </c>
    </row>
    <row r="26" spans="1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  <row r="49" spans="2:4" ht="15" thickBot="1" x14ac:dyDescent="0.4"/>
    <row r="50" spans="2:4" ht="17" thickBot="1" x14ac:dyDescent="0.5">
      <c r="B50" s="275" t="s">
        <v>501</v>
      </c>
      <c r="C50" s="242" t="s">
        <v>502</v>
      </c>
      <c r="D50" s="245"/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E31-BD52-49B7-B221-15FC507F40B8}">
  <dimension ref="C2"/>
  <sheetViews>
    <sheetView showGridLines="0" workbookViewId="0">
      <selection activeCell="C2" sqref="C2"/>
    </sheetView>
  </sheetViews>
  <sheetFormatPr baseColWidth="10" defaultRowHeight="14.5" x14ac:dyDescent="0.35"/>
  <sheetData>
    <row r="2" spans="3:3" ht="23.5" x14ac:dyDescent="0.55000000000000004">
      <c r="C2" s="22" t="s">
        <v>503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D7C9-FA96-41B1-AAEB-6B6309042A17}">
  <dimension ref="C2:M89"/>
  <sheetViews>
    <sheetView showGridLines="0" workbookViewId="0">
      <selection activeCell="F26" sqref="F26"/>
    </sheetView>
  </sheetViews>
  <sheetFormatPr baseColWidth="10" defaultRowHeight="14.5" x14ac:dyDescent="0.35"/>
  <sheetData>
    <row r="2" spans="3:3" ht="23.5" x14ac:dyDescent="0.55000000000000004">
      <c r="C2" s="22" t="s">
        <v>504</v>
      </c>
    </row>
    <row r="21" spans="3:13" ht="15" thickBot="1" x14ac:dyDescent="0.4"/>
    <row r="22" spans="3:13" ht="16.5" x14ac:dyDescent="0.45">
      <c r="C22" s="276" t="s">
        <v>513</v>
      </c>
      <c r="D22" s="277" t="s">
        <v>429</v>
      </c>
      <c r="E22" s="277" t="s">
        <v>430</v>
      </c>
      <c r="F22" s="277" t="s">
        <v>505</v>
      </c>
      <c r="G22" s="277" t="s">
        <v>506</v>
      </c>
      <c r="H22" s="278" t="s">
        <v>507</v>
      </c>
      <c r="L22" t="s">
        <v>524</v>
      </c>
      <c r="M22" t="s">
        <v>525</v>
      </c>
    </row>
    <row r="23" spans="3:13" x14ac:dyDescent="0.35">
      <c r="C23" s="279" t="s">
        <v>509</v>
      </c>
      <c r="D23" s="4">
        <v>0</v>
      </c>
      <c r="E23" s="4">
        <v>0</v>
      </c>
      <c r="F23" s="92">
        <f>D23*E24</f>
        <v>0</v>
      </c>
      <c r="G23" s="92">
        <f>D24*E23</f>
        <v>0</v>
      </c>
      <c r="H23" s="283">
        <f>F23-G23</f>
        <v>0</v>
      </c>
      <c r="L23">
        <f>D23+D24</f>
        <v>4</v>
      </c>
    </row>
    <row r="24" spans="3:13" x14ac:dyDescent="0.35">
      <c r="C24" s="279" t="s">
        <v>510</v>
      </c>
      <c r="D24" s="4">
        <v>4</v>
      </c>
      <c r="E24" s="4">
        <v>0</v>
      </c>
      <c r="F24" s="92">
        <f>D24*E25</f>
        <v>12</v>
      </c>
      <c r="G24" s="92">
        <f>D25*E24</f>
        <v>0</v>
      </c>
      <c r="H24" s="283">
        <f t="shared" ref="H24" si="0">F24-G24</f>
        <v>12</v>
      </c>
    </row>
    <row r="25" spans="3:13" x14ac:dyDescent="0.35">
      <c r="C25" s="279" t="s">
        <v>511</v>
      </c>
      <c r="D25" s="4">
        <v>2</v>
      </c>
      <c r="E25" s="4">
        <v>3</v>
      </c>
      <c r="F25" s="92">
        <f t="shared" ref="F25:F36" si="1">D25*E26</f>
        <v>6</v>
      </c>
      <c r="G25" s="92">
        <f t="shared" ref="G25:G36" si="2">D26*E25</f>
        <v>3</v>
      </c>
      <c r="H25" s="283">
        <f t="shared" ref="H25:H36" si="3">F25-G25</f>
        <v>3</v>
      </c>
    </row>
    <row r="26" spans="3:13" x14ac:dyDescent="0.35">
      <c r="C26" s="279" t="s">
        <v>512</v>
      </c>
      <c r="D26" s="4">
        <v>1</v>
      </c>
      <c r="E26" s="4">
        <v>3</v>
      </c>
      <c r="F26" s="92">
        <f t="shared" si="1"/>
        <v>0</v>
      </c>
      <c r="G26" s="92">
        <f t="shared" si="2"/>
        <v>0</v>
      </c>
      <c r="H26" s="283">
        <f t="shared" si="3"/>
        <v>0</v>
      </c>
    </row>
    <row r="27" spans="3:13" x14ac:dyDescent="0.35">
      <c r="C27" s="279" t="s">
        <v>514</v>
      </c>
      <c r="D27" s="4">
        <v>0</v>
      </c>
      <c r="E27" s="4">
        <v>0</v>
      </c>
      <c r="F27" s="92">
        <f t="shared" si="1"/>
        <v>0</v>
      </c>
      <c r="G27" s="92">
        <f t="shared" si="2"/>
        <v>0</v>
      </c>
      <c r="H27" s="283">
        <f t="shared" si="3"/>
        <v>0</v>
      </c>
    </row>
    <row r="28" spans="3:13" x14ac:dyDescent="0.35">
      <c r="C28" s="279" t="s">
        <v>515</v>
      </c>
      <c r="D28" s="4">
        <v>0</v>
      </c>
      <c r="E28" s="4">
        <v>0</v>
      </c>
      <c r="F28" s="92">
        <f t="shared" si="1"/>
        <v>0</v>
      </c>
      <c r="G28" s="92">
        <f t="shared" si="2"/>
        <v>0</v>
      </c>
      <c r="H28" s="283">
        <f t="shared" si="3"/>
        <v>0</v>
      </c>
    </row>
    <row r="29" spans="3:13" x14ac:dyDescent="0.35">
      <c r="C29" s="279" t="s">
        <v>516</v>
      </c>
      <c r="D29" s="4">
        <v>0</v>
      </c>
      <c r="E29" s="4">
        <v>0</v>
      </c>
      <c r="F29" s="92">
        <f t="shared" si="1"/>
        <v>0</v>
      </c>
      <c r="G29" s="92">
        <f t="shared" si="2"/>
        <v>0</v>
      </c>
      <c r="H29" s="283">
        <f t="shared" si="3"/>
        <v>0</v>
      </c>
    </row>
    <row r="30" spans="3:13" x14ac:dyDescent="0.35">
      <c r="C30" s="279" t="s">
        <v>517</v>
      </c>
      <c r="D30" s="4">
        <v>0</v>
      </c>
      <c r="E30" s="4">
        <v>0</v>
      </c>
      <c r="F30" s="92">
        <f t="shared" si="1"/>
        <v>0</v>
      </c>
      <c r="G30" s="92">
        <f t="shared" si="2"/>
        <v>0</v>
      </c>
      <c r="H30" s="283">
        <f t="shared" si="3"/>
        <v>0</v>
      </c>
    </row>
    <row r="31" spans="3:13" x14ac:dyDescent="0.35">
      <c r="C31" s="279" t="s">
        <v>518</v>
      </c>
      <c r="D31" s="4">
        <v>0</v>
      </c>
      <c r="E31" s="4">
        <v>0</v>
      </c>
      <c r="F31" s="92">
        <f t="shared" si="1"/>
        <v>0</v>
      </c>
      <c r="G31" s="92">
        <f t="shared" si="2"/>
        <v>0</v>
      </c>
      <c r="H31" s="283">
        <f t="shared" si="3"/>
        <v>0</v>
      </c>
    </row>
    <row r="32" spans="3:13" x14ac:dyDescent="0.35">
      <c r="C32" s="279" t="s">
        <v>519</v>
      </c>
      <c r="D32" s="4">
        <v>0</v>
      </c>
      <c r="E32" s="4">
        <v>0</v>
      </c>
      <c r="F32" s="92">
        <f t="shared" si="1"/>
        <v>0</v>
      </c>
      <c r="G32" s="92">
        <f t="shared" si="2"/>
        <v>0</v>
      </c>
      <c r="H32" s="283">
        <f t="shared" si="3"/>
        <v>0</v>
      </c>
    </row>
    <row r="33" spans="3:12" x14ac:dyDescent="0.35">
      <c r="C33" s="279" t="s">
        <v>520</v>
      </c>
      <c r="D33" s="4">
        <v>0</v>
      </c>
      <c r="E33" s="4">
        <v>0</v>
      </c>
      <c r="F33" s="92">
        <f t="shared" si="1"/>
        <v>0</v>
      </c>
      <c r="G33" s="92">
        <f t="shared" si="2"/>
        <v>0</v>
      </c>
      <c r="H33" s="283">
        <f t="shared" si="3"/>
        <v>0</v>
      </c>
    </row>
    <row r="34" spans="3:12" x14ac:dyDescent="0.35">
      <c r="C34" s="279" t="s">
        <v>521</v>
      </c>
      <c r="D34" s="4">
        <v>0</v>
      </c>
      <c r="E34" s="4">
        <v>0</v>
      </c>
      <c r="F34" s="92">
        <f t="shared" si="1"/>
        <v>0</v>
      </c>
      <c r="G34" s="92">
        <f t="shared" si="2"/>
        <v>0</v>
      </c>
      <c r="H34" s="283">
        <f t="shared" si="3"/>
        <v>0</v>
      </c>
    </row>
    <row r="35" spans="3:12" x14ac:dyDescent="0.35">
      <c r="C35" s="279" t="s">
        <v>522</v>
      </c>
      <c r="D35" s="4">
        <v>0</v>
      </c>
      <c r="E35" s="4">
        <v>0</v>
      </c>
      <c r="F35" s="92">
        <f t="shared" si="1"/>
        <v>0</v>
      </c>
      <c r="G35" s="92">
        <f t="shared" si="2"/>
        <v>0</v>
      </c>
      <c r="H35" s="283">
        <f t="shared" si="3"/>
        <v>0</v>
      </c>
    </row>
    <row r="36" spans="3:12" x14ac:dyDescent="0.35">
      <c r="C36" s="279" t="s">
        <v>523</v>
      </c>
      <c r="D36" s="4">
        <v>0</v>
      </c>
      <c r="E36" s="4">
        <v>0</v>
      </c>
      <c r="F36" s="92">
        <f t="shared" si="1"/>
        <v>0</v>
      </c>
      <c r="G36" s="92">
        <f t="shared" si="2"/>
        <v>0</v>
      </c>
      <c r="H36" s="283">
        <f t="shared" si="3"/>
        <v>0</v>
      </c>
    </row>
    <row r="37" spans="3:12" ht="19" thickBot="1" x14ac:dyDescent="0.5">
      <c r="C37" s="280" t="s">
        <v>508</v>
      </c>
      <c r="D37" s="281"/>
      <c r="E37" s="281"/>
      <c r="F37" s="281"/>
      <c r="G37" s="281"/>
      <c r="H37" s="282">
        <f>ABS(SUM(H23:H36))/2</f>
        <v>7.5</v>
      </c>
    </row>
    <row r="38" spans="3:12" x14ac:dyDescent="0.35">
      <c r="C38" s="1"/>
    </row>
    <row r="39" spans="3:12" x14ac:dyDescent="0.35">
      <c r="C39" s="1"/>
    </row>
    <row r="40" spans="3:12" x14ac:dyDescent="0.35">
      <c r="C40" s="1"/>
    </row>
    <row r="41" spans="3:12" x14ac:dyDescent="0.35">
      <c r="C41" s="1"/>
    </row>
    <row r="42" spans="3:12" x14ac:dyDescent="0.35">
      <c r="C42" s="1"/>
      <c r="D42" s="285" t="s">
        <v>526</v>
      </c>
      <c r="E42" s="285"/>
      <c r="F42" s="285"/>
      <c r="G42" s="285"/>
      <c r="H42" s="285"/>
      <c r="I42" s="285"/>
      <c r="J42" s="285"/>
      <c r="K42" s="284"/>
      <c r="L42" s="284"/>
    </row>
    <row r="43" spans="3:12" x14ac:dyDescent="0.35">
      <c r="D43" s="285" t="s">
        <v>527</v>
      </c>
      <c r="E43" s="285"/>
      <c r="F43" s="285"/>
      <c r="G43" s="285"/>
      <c r="H43" s="285"/>
      <c r="I43" s="285"/>
      <c r="J43" s="285"/>
      <c r="K43" s="284"/>
      <c r="L43" s="284"/>
    </row>
    <row r="44" spans="3:12" x14ac:dyDescent="0.35">
      <c r="D44" s="285" t="s">
        <v>528</v>
      </c>
      <c r="E44" s="285"/>
      <c r="F44" s="285"/>
      <c r="G44" s="285"/>
      <c r="H44" s="285"/>
      <c r="I44" s="285"/>
      <c r="J44" s="285"/>
      <c r="K44" s="284"/>
      <c r="L44" s="284"/>
    </row>
    <row r="45" spans="3:12" x14ac:dyDescent="0.35">
      <c r="D45" s="285" t="s">
        <v>529</v>
      </c>
      <c r="E45" s="285"/>
      <c r="F45" s="285"/>
      <c r="G45" s="285"/>
      <c r="H45" s="285"/>
      <c r="I45" s="285"/>
      <c r="J45" s="285"/>
      <c r="K45" s="284"/>
      <c r="L45" s="284"/>
    </row>
    <row r="46" spans="3:12" x14ac:dyDescent="0.35">
      <c r="D46" s="285" t="s">
        <v>530</v>
      </c>
      <c r="E46" s="285"/>
      <c r="F46" s="285"/>
      <c r="G46" s="285"/>
      <c r="H46" s="285"/>
      <c r="I46" s="285"/>
      <c r="J46" s="285"/>
      <c r="K46" s="284"/>
      <c r="L46" s="284"/>
    </row>
    <row r="47" spans="3:12" x14ac:dyDescent="0.35">
      <c r="D47" s="285" t="s">
        <v>531</v>
      </c>
      <c r="E47" s="285"/>
      <c r="F47" s="285"/>
      <c r="G47" s="285"/>
      <c r="H47" s="285"/>
      <c r="I47" s="285"/>
      <c r="J47" s="285"/>
      <c r="K47" s="284"/>
      <c r="L47" s="284"/>
    </row>
    <row r="48" spans="3:12" x14ac:dyDescent="0.35">
      <c r="D48" s="285" t="s">
        <v>532</v>
      </c>
      <c r="E48" s="285"/>
      <c r="F48" s="285"/>
      <c r="G48" s="285"/>
      <c r="H48" s="285"/>
      <c r="I48" s="285"/>
      <c r="J48" s="285"/>
      <c r="K48" s="284"/>
      <c r="L48" s="284"/>
    </row>
    <row r="49" spans="4:12" x14ac:dyDescent="0.35">
      <c r="D49" s="285" t="s">
        <v>533</v>
      </c>
      <c r="E49" s="285"/>
      <c r="F49" s="285"/>
      <c r="G49" s="285"/>
      <c r="H49" s="285"/>
      <c r="I49" s="285"/>
      <c r="J49" s="285"/>
      <c r="K49" s="284"/>
      <c r="L49" s="284"/>
    </row>
    <row r="50" spans="4:12" x14ac:dyDescent="0.35">
      <c r="D50" s="285" t="s">
        <v>534</v>
      </c>
      <c r="E50" s="285"/>
      <c r="F50" s="285"/>
      <c r="G50" s="285"/>
      <c r="H50" s="285"/>
      <c r="I50" s="285"/>
      <c r="J50" s="285"/>
      <c r="K50" s="284"/>
      <c r="L50" s="284"/>
    </row>
    <row r="51" spans="4:12" x14ac:dyDescent="0.35">
      <c r="D51" s="285" t="s">
        <v>535</v>
      </c>
      <c r="E51" s="285"/>
      <c r="F51" s="285"/>
      <c r="G51" s="285"/>
      <c r="H51" s="285"/>
      <c r="I51" s="285"/>
      <c r="J51" s="285"/>
      <c r="K51" s="284"/>
      <c r="L51" s="284"/>
    </row>
    <row r="52" spans="4:12" x14ac:dyDescent="0.35">
      <c r="D52" s="285" t="s">
        <v>527</v>
      </c>
      <c r="E52" s="285"/>
      <c r="F52" s="285"/>
      <c r="G52" s="285"/>
      <c r="H52" s="285"/>
      <c r="I52" s="285"/>
      <c r="J52" s="285"/>
      <c r="K52" s="284"/>
      <c r="L52" s="284"/>
    </row>
    <row r="53" spans="4:12" x14ac:dyDescent="0.35">
      <c r="D53" s="285" t="s">
        <v>536</v>
      </c>
      <c r="E53" s="285"/>
      <c r="F53" s="285"/>
      <c r="G53" s="285"/>
      <c r="H53" s="285"/>
      <c r="I53" s="285"/>
      <c r="J53" s="285"/>
      <c r="K53" s="284"/>
      <c r="L53" s="284"/>
    </row>
    <row r="54" spans="4:12" x14ac:dyDescent="0.35">
      <c r="D54" s="285" t="s">
        <v>537</v>
      </c>
      <c r="E54" s="285"/>
      <c r="F54" s="285"/>
      <c r="G54" s="285"/>
      <c r="H54" s="285"/>
      <c r="I54" s="285"/>
      <c r="J54" s="285"/>
      <c r="K54" s="284"/>
      <c r="L54" s="284"/>
    </row>
    <row r="55" spans="4:12" x14ac:dyDescent="0.35">
      <c r="D55" s="285" t="s">
        <v>538</v>
      </c>
      <c r="E55" s="285"/>
      <c r="F55" s="285"/>
      <c r="G55" s="285"/>
      <c r="H55" s="285"/>
      <c r="I55" s="285"/>
      <c r="J55" s="285"/>
      <c r="K55" s="284"/>
      <c r="L55" s="284"/>
    </row>
    <row r="56" spans="4:12" x14ac:dyDescent="0.35">
      <c r="D56" s="285"/>
      <c r="E56" s="285"/>
      <c r="F56" s="285"/>
      <c r="G56" s="285"/>
      <c r="H56" s="285"/>
      <c r="I56" s="285"/>
      <c r="J56" s="285"/>
      <c r="K56" s="284"/>
      <c r="L56" s="284"/>
    </row>
    <row r="57" spans="4:12" x14ac:dyDescent="0.35">
      <c r="D57" s="285" t="s">
        <v>539</v>
      </c>
      <c r="E57" s="285"/>
      <c r="F57" s="285"/>
      <c r="G57" s="285"/>
      <c r="H57" s="285"/>
      <c r="I57" s="285"/>
      <c r="J57" s="285"/>
      <c r="K57" s="284"/>
      <c r="L57" s="284"/>
    </row>
    <row r="58" spans="4:12" x14ac:dyDescent="0.35">
      <c r="D58" s="285" t="s">
        <v>540</v>
      </c>
      <c r="E58" s="285"/>
      <c r="F58" s="285"/>
      <c r="G58" s="285"/>
      <c r="H58" s="285"/>
      <c r="I58" s="285"/>
      <c r="J58" s="285"/>
      <c r="K58" s="284"/>
      <c r="L58" s="284"/>
    </row>
    <row r="59" spans="4:12" x14ac:dyDescent="0.35">
      <c r="D59" s="285"/>
      <c r="E59" s="285"/>
      <c r="F59" s="285"/>
      <c r="G59" s="285"/>
      <c r="H59" s="285"/>
      <c r="I59" s="285"/>
      <c r="J59" s="285"/>
      <c r="K59" s="284"/>
      <c r="L59" s="284"/>
    </row>
    <row r="60" spans="4:12" x14ac:dyDescent="0.35">
      <c r="D60" s="285" t="s">
        <v>541</v>
      </c>
      <c r="E60" s="285"/>
      <c r="F60" s="285"/>
      <c r="G60" s="285"/>
      <c r="H60" s="285"/>
      <c r="I60" s="285"/>
      <c r="J60" s="285"/>
      <c r="K60" s="284"/>
      <c r="L60" s="284"/>
    </row>
    <row r="61" spans="4:12" x14ac:dyDescent="0.35">
      <c r="D61" s="285" t="s">
        <v>542</v>
      </c>
      <c r="E61" s="285"/>
      <c r="F61" s="285"/>
      <c r="G61" s="285"/>
      <c r="H61" s="285"/>
      <c r="I61" s="285"/>
      <c r="J61" s="285"/>
      <c r="K61" s="284"/>
      <c r="L61" s="284"/>
    </row>
    <row r="62" spans="4:12" x14ac:dyDescent="0.35">
      <c r="D62" s="285" t="s">
        <v>543</v>
      </c>
      <c r="E62" s="285"/>
      <c r="F62" s="285"/>
      <c r="G62" s="285"/>
      <c r="H62" s="285"/>
      <c r="I62" s="285"/>
      <c r="J62" s="285"/>
      <c r="K62" s="284"/>
      <c r="L62" s="284"/>
    </row>
    <row r="63" spans="4:12" x14ac:dyDescent="0.35">
      <c r="D63" s="285"/>
      <c r="E63" s="285"/>
      <c r="F63" s="285"/>
      <c r="G63" s="285"/>
      <c r="H63" s="285"/>
      <c r="I63" s="285"/>
      <c r="J63" s="285"/>
      <c r="K63" s="284"/>
      <c r="L63" s="284"/>
    </row>
    <row r="64" spans="4:12" x14ac:dyDescent="0.35">
      <c r="D64" s="285" t="s">
        <v>544</v>
      </c>
      <c r="E64" s="285"/>
      <c r="F64" s="285"/>
      <c r="G64" s="285"/>
      <c r="H64" s="285"/>
      <c r="I64" s="285"/>
      <c r="J64" s="285"/>
      <c r="K64" s="284"/>
      <c r="L64" s="284"/>
    </row>
    <row r="65" spans="4:12" x14ac:dyDescent="0.35">
      <c r="D65" s="285" t="s">
        <v>545</v>
      </c>
      <c r="E65" s="285"/>
      <c r="F65" s="285"/>
      <c r="G65" s="285"/>
      <c r="H65" s="285"/>
      <c r="I65" s="285"/>
      <c r="J65" s="285"/>
      <c r="K65" s="284"/>
      <c r="L65" s="284"/>
    </row>
    <row r="66" spans="4:12" x14ac:dyDescent="0.35">
      <c r="D66" s="285" t="s">
        <v>546</v>
      </c>
      <c r="E66" s="285"/>
      <c r="F66" s="285"/>
      <c r="G66" s="285"/>
      <c r="H66" s="285"/>
      <c r="I66" s="285"/>
      <c r="J66" s="285"/>
      <c r="K66" s="284"/>
      <c r="L66" s="284"/>
    </row>
    <row r="67" spans="4:12" x14ac:dyDescent="0.35">
      <c r="D67" s="285" t="s">
        <v>547</v>
      </c>
      <c r="E67" s="285"/>
      <c r="F67" s="285"/>
      <c r="G67" s="285"/>
      <c r="H67" s="285"/>
      <c r="I67" s="285"/>
      <c r="J67" s="285"/>
      <c r="K67" s="284"/>
      <c r="L67" s="284"/>
    </row>
    <row r="68" spans="4:12" x14ac:dyDescent="0.35">
      <c r="D68" s="285" t="s">
        <v>548</v>
      </c>
      <c r="E68" s="285"/>
      <c r="F68" s="285"/>
      <c r="G68" s="285"/>
      <c r="H68" s="285"/>
      <c r="I68" s="285"/>
      <c r="J68" s="285"/>
      <c r="K68" s="284"/>
      <c r="L68" s="284"/>
    </row>
    <row r="69" spans="4:12" x14ac:dyDescent="0.35">
      <c r="D69" s="285" t="s">
        <v>549</v>
      </c>
      <c r="E69" s="285"/>
      <c r="F69" s="285"/>
      <c r="G69" s="285"/>
      <c r="H69" s="285"/>
      <c r="I69" s="285"/>
      <c r="J69" s="285"/>
      <c r="K69" s="284"/>
      <c r="L69" s="284"/>
    </row>
    <row r="70" spans="4:12" x14ac:dyDescent="0.35">
      <c r="D70" s="285" t="s">
        <v>550</v>
      </c>
      <c r="E70" s="285"/>
      <c r="F70" s="285"/>
      <c r="G70" s="285"/>
      <c r="H70" s="285"/>
      <c r="I70" s="285"/>
      <c r="J70" s="285"/>
      <c r="K70" s="284"/>
      <c r="L70" s="284"/>
    </row>
    <row r="71" spans="4:12" x14ac:dyDescent="0.35">
      <c r="D71" s="285"/>
      <c r="E71" s="285"/>
      <c r="F71" s="285"/>
      <c r="G71" s="285"/>
      <c r="H71" s="285"/>
      <c r="I71" s="285"/>
      <c r="J71" s="285"/>
      <c r="K71" s="284"/>
      <c r="L71" s="284"/>
    </row>
    <row r="72" spans="4:12" x14ac:dyDescent="0.35">
      <c r="D72" s="285" t="s">
        <v>551</v>
      </c>
      <c r="E72" s="285"/>
      <c r="F72" s="285"/>
      <c r="G72" s="285"/>
      <c r="H72" s="285"/>
      <c r="I72" s="285"/>
      <c r="J72" s="285"/>
      <c r="K72" s="284"/>
      <c r="L72" s="284"/>
    </row>
    <row r="73" spans="4:12" x14ac:dyDescent="0.35">
      <c r="D73" s="285" t="s">
        <v>552</v>
      </c>
      <c r="E73" s="285"/>
      <c r="F73" s="285"/>
      <c r="G73" s="285"/>
      <c r="H73" s="285"/>
      <c r="I73" s="285"/>
      <c r="J73" s="285"/>
      <c r="K73" s="284"/>
      <c r="L73" s="284"/>
    </row>
    <row r="74" spans="4:12" x14ac:dyDescent="0.35">
      <c r="D74" s="285" t="s">
        <v>553</v>
      </c>
      <c r="E74" s="285"/>
      <c r="F74" s="285"/>
      <c r="G74" s="285"/>
      <c r="H74" s="285"/>
      <c r="I74" s="285"/>
      <c r="J74" s="285"/>
      <c r="K74" s="284"/>
      <c r="L74" s="284"/>
    </row>
    <row r="75" spans="4:12" x14ac:dyDescent="0.35">
      <c r="D75" s="285" t="s">
        <v>529</v>
      </c>
      <c r="E75" s="285"/>
      <c r="F75" s="285"/>
      <c r="G75" s="285"/>
      <c r="H75" s="285"/>
      <c r="I75" s="285"/>
      <c r="J75" s="285"/>
      <c r="K75" s="284"/>
      <c r="L75" s="284"/>
    </row>
    <row r="76" spans="4:12" x14ac:dyDescent="0.35">
      <c r="D76" s="285" t="s">
        <v>554</v>
      </c>
      <c r="E76" s="285"/>
      <c r="F76" s="285"/>
      <c r="G76" s="285"/>
      <c r="H76" s="285"/>
      <c r="I76" s="285"/>
      <c r="J76" s="285"/>
      <c r="K76" s="284"/>
      <c r="L76" s="284"/>
    </row>
    <row r="77" spans="4:12" x14ac:dyDescent="0.35">
      <c r="D77" s="285" t="s">
        <v>555</v>
      </c>
      <c r="E77" s="285"/>
      <c r="F77" s="285"/>
      <c r="G77" s="285"/>
      <c r="H77" s="285"/>
      <c r="I77" s="285"/>
      <c r="J77" s="285"/>
      <c r="K77" s="284"/>
      <c r="L77" s="284"/>
    </row>
    <row r="78" spans="4:12" x14ac:dyDescent="0.35">
      <c r="D78" s="285"/>
      <c r="E78" s="285"/>
      <c r="F78" s="285"/>
      <c r="G78" s="285"/>
      <c r="H78" s="285"/>
      <c r="I78" s="285"/>
      <c r="J78" s="285"/>
      <c r="K78" s="284"/>
      <c r="L78" s="284"/>
    </row>
    <row r="79" spans="4:12" x14ac:dyDescent="0.35">
      <c r="D79" s="285" t="s">
        <v>556</v>
      </c>
      <c r="E79" s="285"/>
      <c r="F79" s="285"/>
      <c r="G79" s="285"/>
      <c r="H79" s="285"/>
      <c r="I79" s="285"/>
      <c r="J79" s="285"/>
      <c r="K79" s="284"/>
      <c r="L79" s="284"/>
    </row>
    <row r="80" spans="4:12" x14ac:dyDescent="0.35">
      <c r="D80" s="285"/>
      <c r="E80" s="285"/>
      <c r="F80" s="285"/>
      <c r="G80" s="285"/>
      <c r="H80" s="285"/>
      <c r="I80" s="285"/>
      <c r="J80" s="285"/>
      <c r="K80" s="284"/>
      <c r="L80" s="284"/>
    </row>
    <row r="82" spans="4:12" x14ac:dyDescent="0.35">
      <c r="D82" s="285" t="s">
        <v>557</v>
      </c>
      <c r="E82" s="285"/>
      <c r="F82" s="285"/>
      <c r="G82" s="285"/>
      <c r="H82" s="285"/>
      <c r="I82" s="285"/>
      <c r="J82" s="285"/>
      <c r="K82" s="285"/>
      <c r="L82" s="285"/>
    </row>
    <row r="83" spans="4:12" x14ac:dyDescent="0.35">
      <c r="D83" s="285" t="s">
        <v>558</v>
      </c>
      <c r="E83" s="285"/>
      <c r="F83" s="285"/>
      <c r="G83" s="285"/>
      <c r="H83" s="285"/>
      <c r="I83" s="285"/>
      <c r="J83" s="285"/>
      <c r="K83" s="285"/>
      <c r="L83" s="285"/>
    </row>
    <row r="84" spans="4:12" x14ac:dyDescent="0.35">
      <c r="D84" s="285"/>
      <c r="E84" s="285"/>
      <c r="F84" s="285"/>
      <c r="G84" s="285"/>
      <c r="H84" s="285"/>
      <c r="I84" s="285"/>
      <c r="J84" s="285"/>
      <c r="K84" s="285"/>
      <c r="L84" s="285"/>
    </row>
    <row r="85" spans="4:12" x14ac:dyDescent="0.35">
      <c r="D85" s="285" t="s">
        <v>559</v>
      </c>
      <c r="E85" s="285"/>
      <c r="F85" s="285"/>
      <c r="G85" s="285"/>
      <c r="H85" s="285"/>
      <c r="I85" s="285"/>
      <c r="J85" s="285"/>
      <c r="K85" s="285"/>
      <c r="L85" s="285"/>
    </row>
    <row r="86" spans="4:12" x14ac:dyDescent="0.35">
      <c r="D86" s="285" t="s">
        <v>560</v>
      </c>
      <c r="E86" s="285"/>
      <c r="F86" s="285"/>
      <c r="G86" s="285"/>
      <c r="H86" s="285"/>
      <c r="I86" s="285"/>
      <c r="J86" s="285"/>
      <c r="K86" s="285"/>
      <c r="L86" s="285"/>
    </row>
    <row r="88" spans="4:12" x14ac:dyDescent="0.35">
      <c r="D88" s="285" t="s">
        <v>561</v>
      </c>
      <c r="E88" s="284"/>
      <c r="F88" s="284"/>
      <c r="G88" s="284"/>
      <c r="H88" s="284"/>
      <c r="I88" s="284"/>
      <c r="J88" s="284"/>
      <c r="K88" s="284"/>
      <c r="L88" s="284"/>
    </row>
    <row r="89" spans="4:12" x14ac:dyDescent="0.35">
      <c r="D89" s="285" t="s">
        <v>562</v>
      </c>
      <c r="E89" s="284"/>
      <c r="F89" s="284"/>
      <c r="G89" s="284"/>
      <c r="H89" s="284"/>
      <c r="I89" s="284"/>
      <c r="J89" s="284"/>
      <c r="K89" s="284"/>
      <c r="L89" s="284"/>
    </row>
  </sheetData>
  <phoneticPr fontId="37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390-BAED-44B4-AA9A-09C4333BEBF1}">
  <dimension ref="B2:AT17"/>
  <sheetViews>
    <sheetView showGridLines="0" tabSelected="1" zoomScale="70" zoomScaleNormal="70" workbookViewId="0">
      <selection activeCell="F18" sqref="F18"/>
    </sheetView>
  </sheetViews>
  <sheetFormatPr baseColWidth="10" defaultRowHeight="14.5" x14ac:dyDescent="0.35"/>
  <cols>
    <col min="2" max="2" width="7.81640625" customWidth="1"/>
    <col min="3" max="3" width="21" customWidth="1"/>
    <col min="4" max="4" width="31.6328125" customWidth="1"/>
    <col min="5" max="5" width="14.6328125" customWidth="1"/>
    <col min="6" max="6" width="16.1796875" bestFit="1" customWidth="1"/>
  </cols>
  <sheetData>
    <row r="2" spans="2:46" ht="23.5" x14ac:dyDescent="0.55000000000000004">
      <c r="C2" s="22" t="s">
        <v>579</v>
      </c>
      <c r="D2" s="105"/>
    </row>
    <row r="4" spans="2:46" ht="16.5" x14ac:dyDescent="0.45">
      <c r="E4" s="19" t="s">
        <v>563</v>
      </c>
      <c r="F4" s="4">
        <v>1</v>
      </c>
      <c r="G4" s="5" t="s">
        <v>333</v>
      </c>
      <c r="I4" s="287" t="s">
        <v>565</v>
      </c>
      <c r="J4" s="4">
        <v>120</v>
      </c>
      <c r="K4" s="5" t="s">
        <v>566</v>
      </c>
      <c r="L4" s="92">
        <f>RADIANS(J4)</f>
        <v>2.0943951023931953</v>
      </c>
      <c r="M4" s="5" t="s">
        <v>211</v>
      </c>
      <c r="T4" s="5" t="s">
        <v>488</v>
      </c>
      <c r="U4" s="92">
        <f>MIN(F8:AT8)</f>
        <v>0</v>
      </c>
      <c r="V4" s="92">
        <f>MAX(F8:AT8)</f>
        <v>400</v>
      </c>
      <c r="Y4" s="5" t="s">
        <v>489</v>
      </c>
      <c r="Z4" s="5">
        <v>0</v>
      </c>
      <c r="AA4" s="5">
        <v>0</v>
      </c>
      <c r="AC4" s="5" t="s">
        <v>71</v>
      </c>
    </row>
    <row r="5" spans="2:46" ht="16.5" x14ac:dyDescent="0.45">
      <c r="E5" s="19" t="s">
        <v>564</v>
      </c>
      <c r="F5" s="4">
        <v>2</v>
      </c>
      <c r="G5" s="5" t="s">
        <v>44</v>
      </c>
      <c r="I5" s="287" t="s">
        <v>569</v>
      </c>
      <c r="J5" s="4">
        <v>90</v>
      </c>
      <c r="K5" s="5" t="s">
        <v>566</v>
      </c>
      <c r="L5" s="92">
        <f>RADIANS(J5)</f>
        <v>1.5707963267948966</v>
      </c>
      <c r="M5" s="5" t="s">
        <v>211</v>
      </c>
      <c r="T5" s="5"/>
      <c r="U5" s="5">
        <v>0</v>
      </c>
      <c r="V5" s="5">
        <v>0</v>
      </c>
      <c r="Y5" s="89"/>
      <c r="Z5" s="227">
        <f>MIN(F10:AT13)</f>
        <v>-2</v>
      </c>
      <c r="AA5" s="227">
        <f>MAX(F10:AT13)</f>
        <v>2</v>
      </c>
      <c r="AC5" s="5" t="s">
        <v>72</v>
      </c>
    </row>
    <row r="6" spans="2:46" x14ac:dyDescent="0.35">
      <c r="E6" s="1"/>
      <c r="H6" s="286"/>
    </row>
    <row r="7" spans="2:46" x14ac:dyDescent="0.35">
      <c r="E7" s="19" t="s">
        <v>328</v>
      </c>
      <c r="F7" s="4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35">
      <c r="C8" s="110" t="s">
        <v>429</v>
      </c>
      <c r="D8" s="5"/>
      <c r="E8" s="110" t="s">
        <v>307</v>
      </c>
      <c r="F8" s="240">
        <v>0</v>
      </c>
      <c r="G8" s="92">
        <f>F8+$F$7</f>
        <v>10</v>
      </c>
      <c r="H8" s="92">
        <f t="shared" ref="H8:AT8" si="0">G8+$F$7</f>
        <v>20</v>
      </c>
      <c r="I8" s="92">
        <f t="shared" si="0"/>
        <v>30</v>
      </c>
      <c r="J8" s="92">
        <f t="shared" si="0"/>
        <v>40</v>
      </c>
      <c r="K8" s="92">
        <f t="shared" si="0"/>
        <v>50</v>
      </c>
      <c r="L8" s="92">
        <f t="shared" si="0"/>
        <v>60</v>
      </c>
      <c r="M8" s="92">
        <f t="shared" si="0"/>
        <v>70</v>
      </c>
      <c r="N8" s="92">
        <f t="shared" si="0"/>
        <v>80</v>
      </c>
      <c r="O8" s="92">
        <f t="shared" si="0"/>
        <v>90</v>
      </c>
      <c r="P8" s="92">
        <f t="shared" si="0"/>
        <v>100</v>
      </c>
      <c r="Q8" s="92">
        <f t="shared" si="0"/>
        <v>110</v>
      </c>
      <c r="R8" s="92">
        <f t="shared" si="0"/>
        <v>120</v>
      </c>
      <c r="S8" s="92">
        <f t="shared" si="0"/>
        <v>130</v>
      </c>
      <c r="T8" s="92">
        <f t="shared" si="0"/>
        <v>140</v>
      </c>
      <c r="U8" s="92">
        <f t="shared" si="0"/>
        <v>150</v>
      </c>
      <c r="V8" s="92">
        <f t="shared" si="0"/>
        <v>160</v>
      </c>
      <c r="W8" s="92">
        <f t="shared" si="0"/>
        <v>170</v>
      </c>
      <c r="X8" s="92">
        <f t="shared" si="0"/>
        <v>180</v>
      </c>
      <c r="Y8" s="92">
        <f t="shared" si="0"/>
        <v>190</v>
      </c>
      <c r="Z8" s="92">
        <f t="shared" si="0"/>
        <v>200</v>
      </c>
      <c r="AA8" s="92">
        <f t="shared" si="0"/>
        <v>210</v>
      </c>
      <c r="AB8" s="92">
        <f t="shared" si="0"/>
        <v>220</v>
      </c>
      <c r="AC8" s="92">
        <f t="shared" si="0"/>
        <v>230</v>
      </c>
      <c r="AD8" s="92">
        <f t="shared" si="0"/>
        <v>240</v>
      </c>
      <c r="AE8" s="92">
        <f t="shared" si="0"/>
        <v>250</v>
      </c>
      <c r="AF8" s="92">
        <f t="shared" si="0"/>
        <v>260</v>
      </c>
      <c r="AG8" s="92">
        <f t="shared" si="0"/>
        <v>270</v>
      </c>
      <c r="AH8" s="92">
        <f t="shared" si="0"/>
        <v>280</v>
      </c>
      <c r="AI8" s="92">
        <f t="shared" si="0"/>
        <v>290</v>
      </c>
      <c r="AJ8" s="92">
        <f t="shared" si="0"/>
        <v>300</v>
      </c>
      <c r="AK8" s="92">
        <f t="shared" si="0"/>
        <v>310</v>
      </c>
      <c r="AL8" s="92">
        <f t="shared" si="0"/>
        <v>320</v>
      </c>
      <c r="AM8" s="92">
        <f t="shared" si="0"/>
        <v>330</v>
      </c>
      <c r="AN8" s="92">
        <f t="shared" si="0"/>
        <v>340</v>
      </c>
      <c r="AO8" s="92">
        <f t="shared" si="0"/>
        <v>350</v>
      </c>
      <c r="AP8" s="92">
        <f t="shared" si="0"/>
        <v>360</v>
      </c>
      <c r="AQ8" s="92">
        <f t="shared" si="0"/>
        <v>370</v>
      </c>
      <c r="AR8" s="92">
        <f t="shared" si="0"/>
        <v>380</v>
      </c>
      <c r="AS8" s="92">
        <f t="shared" si="0"/>
        <v>390</v>
      </c>
      <c r="AT8" s="92">
        <f t="shared" si="0"/>
        <v>400</v>
      </c>
    </row>
    <row r="9" spans="2:46" x14ac:dyDescent="0.35">
      <c r="C9" s="110" t="s">
        <v>429</v>
      </c>
      <c r="D9" s="5"/>
      <c r="E9" s="110" t="s">
        <v>309</v>
      </c>
      <c r="F9" s="227">
        <f>F8*PI()/180</f>
        <v>0</v>
      </c>
      <c r="G9" s="227">
        <f t="shared" ref="G9:AT9" si="1">G8*PI()/180</f>
        <v>0.17453292519943295</v>
      </c>
      <c r="H9" s="227">
        <f t="shared" si="1"/>
        <v>0.3490658503988659</v>
      </c>
      <c r="I9" s="227">
        <f t="shared" si="1"/>
        <v>0.52359877559829882</v>
      </c>
      <c r="J9" s="227">
        <f t="shared" si="1"/>
        <v>0.69813170079773179</v>
      </c>
      <c r="K9" s="227">
        <f t="shared" si="1"/>
        <v>0.87266462599716477</v>
      </c>
      <c r="L9" s="227">
        <f t="shared" si="1"/>
        <v>1.0471975511965976</v>
      </c>
      <c r="M9" s="227">
        <f t="shared" si="1"/>
        <v>1.2217304763960306</v>
      </c>
      <c r="N9" s="227">
        <f t="shared" si="1"/>
        <v>1.3962634015954636</v>
      </c>
      <c r="O9" s="227">
        <f t="shared" si="1"/>
        <v>1.5707963267948966</v>
      </c>
      <c r="P9" s="227">
        <f t="shared" si="1"/>
        <v>1.7453292519943295</v>
      </c>
      <c r="Q9" s="227">
        <f t="shared" si="1"/>
        <v>1.9198621771937625</v>
      </c>
      <c r="R9" s="227">
        <f t="shared" si="1"/>
        <v>2.0943951023931953</v>
      </c>
      <c r="S9" s="227">
        <f t="shared" si="1"/>
        <v>2.2689280275926285</v>
      </c>
      <c r="T9" s="227">
        <f t="shared" si="1"/>
        <v>2.4434609527920612</v>
      </c>
      <c r="U9" s="227">
        <f t="shared" si="1"/>
        <v>2.6179938779914944</v>
      </c>
      <c r="V9" s="227">
        <f t="shared" si="1"/>
        <v>2.7925268031909272</v>
      </c>
      <c r="W9" s="227">
        <f t="shared" si="1"/>
        <v>2.9670597283903604</v>
      </c>
      <c r="X9" s="227">
        <f t="shared" si="1"/>
        <v>3.1415926535897931</v>
      </c>
      <c r="Y9" s="227">
        <f t="shared" si="1"/>
        <v>3.3161255787892263</v>
      </c>
      <c r="Z9" s="227">
        <f t="shared" si="1"/>
        <v>3.4906585039886591</v>
      </c>
      <c r="AA9" s="227">
        <f t="shared" si="1"/>
        <v>3.6651914291880923</v>
      </c>
      <c r="AB9" s="227">
        <f t="shared" si="1"/>
        <v>3.839724354387525</v>
      </c>
      <c r="AC9" s="227">
        <f t="shared" si="1"/>
        <v>4.0142572795869578</v>
      </c>
      <c r="AD9" s="227">
        <f t="shared" si="1"/>
        <v>4.1887902047863905</v>
      </c>
      <c r="AE9" s="227">
        <f t="shared" si="1"/>
        <v>4.3633231299858233</v>
      </c>
      <c r="AF9" s="227">
        <f t="shared" si="1"/>
        <v>4.5378560551852569</v>
      </c>
      <c r="AG9" s="227">
        <f t="shared" si="1"/>
        <v>4.7123889803846897</v>
      </c>
      <c r="AH9" s="227">
        <f t="shared" si="1"/>
        <v>4.8869219055841224</v>
      </c>
      <c r="AI9" s="227">
        <f t="shared" si="1"/>
        <v>5.0614548307835552</v>
      </c>
      <c r="AJ9" s="227">
        <f t="shared" si="1"/>
        <v>5.2359877559829888</v>
      </c>
      <c r="AK9" s="227">
        <f t="shared" si="1"/>
        <v>5.4105206811824216</v>
      </c>
      <c r="AL9" s="227">
        <f t="shared" si="1"/>
        <v>5.5850536063818543</v>
      </c>
      <c r="AM9" s="227">
        <f t="shared" si="1"/>
        <v>5.7595865315812871</v>
      </c>
      <c r="AN9" s="227">
        <f t="shared" si="1"/>
        <v>5.9341194567807207</v>
      </c>
      <c r="AO9" s="227">
        <f t="shared" si="1"/>
        <v>6.1086523819801526</v>
      </c>
      <c r="AP9" s="227">
        <f t="shared" si="1"/>
        <v>6.2831853071795862</v>
      </c>
      <c r="AQ9" s="227">
        <f t="shared" si="1"/>
        <v>6.457718232379019</v>
      </c>
      <c r="AR9" s="227">
        <f t="shared" si="1"/>
        <v>6.6322511575784526</v>
      </c>
      <c r="AS9" s="227">
        <f t="shared" si="1"/>
        <v>6.8067840827778845</v>
      </c>
      <c r="AT9" s="227">
        <f t="shared" si="1"/>
        <v>6.9813170079773181</v>
      </c>
    </row>
    <row r="10" spans="2:46" ht="24" x14ac:dyDescent="0.65">
      <c r="B10" s="119" t="s">
        <v>72</v>
      </c>
      <c r="C10" s="288" t="s">
        <v>571</v>
      </c>
      <c r="D10" s="292" t="s">
        <v>573</v>
      </c>
      <c r="E10" s="289" t="s">
        <v>567</v>
      </c>
      <c r="F10" s="227">
        <f>IF($B$10=$AC$4,$F$4*SIN(F9+$L$4),0)</f>
        <v>0</v>
      </c>
      <c r="G10" s="227">
        <f t="shared" ref="G10:AT10" si="2">IF($B$10=$AC$4,$F$4*SIN(G9+$L$4),0)</f>
        <v>0</v>
      </c>
      <c r="H10" s="227">
        <f t="shared" si="2"/>
        <v>0</v>
      </c>
      <c r="I10" s="227">
        <f t="shared" si="2"/>
        <v>0</v>
      </c>
      <c r="J10" s="227">
        <f t="shared" si="2"/>
        <v>0</v>
      </c>
      <c r="K10" s="227">
        <f t="shared" si="2"/>
        <v>0</v>
      </c>
      <c r="L10" s="227">
        <f t="shared" si="2"/>
        <v>0</v>
      </c>
      <c r="M10" s="227">
        <f t="shared" si="2"/>
        <v>0</v>
      </c>
      <c r="N10" s="227">
        <f t="shared" si="2"/>
        <v>0</v>
      </c>
      <c r="O10" s="227">
        <f t="shared" si="2"/>
        <v>0</v>
      </c>
      <c r="P10" s="227">
        <f t="shared" si="2"/>
        <v>0</v>
      </c>
      <c r="Q10" s="227">
        <f t="shared" si="2"/>
        <v>0</v>
      </c>
      <c r="R10" s="227">
        <f t="shared" si="2"/>
        <v>0</v>
      </c>
      <c r="S10" s="227">
        <f t="shared" si="2"/>
        <v>0</v>
      </c>
      <c r="T10" s="227">
        <f t="shared" si="2"/>
        <v>0</v>
      </c>
      <c r="U10" s="227">
        <f t="shared" si="2"/>
        <v>0</v>
      </c>
      <c r="V10" s="227">
        <f t="shared" si="2"/>
        <v>0</v>
      </c>
      <c r="W10" s="227">
        <f t="shared" si="2"/>
        <v>0</v>
      </c>
      <c r="X10" s="227">
        <f t="shared" si="2"/>
        <v>0</v>
      </c>
      <c r="Y10" s="227">
        <f t="shared" si="2"/>
        <v>0</v>
      </c>
      <c r="Z10" s="227">
        <f t="shared" si="2"/>
        <v>0</v>
      </c>
      <c r="AA10" s="227">
        <f t="shared" si="2"/>
        <v>0</v>
      </c>
      <c r="AB10" s="227">
        <f t="shared" si="2"/>
        <v>0</v>
      </c>
      <c r="AC10" s="227">
        <f t="shared" si="2"/>
        <v>0</v>
      </c>
      <c r="AD10" s="227">
        <f t="shared" si="2"/>
        <v>0</v>
      </c>
      <c r="AE10" s="227">
        <f t="shared" si="2"/>
        <v>0</v>
      </c>
      <c r="AF10" s="227">
        <f t="shared" si="2"/>
        <v>0</v>
      </c>
      <c r="AG10" s="227">
        <f t="shared" si="2"/>
        <v>0</v>
      </c>
      <c r="AH10" s="227">
        <f t="shared" si="2"/>
        <v>0</v>
      </c>
      <c r="AI10" s="227">
        <f t="shared" si="2"/>
        <v>0</v>
      </c>
      <c r="AJ10" s="227">
        <f t="shared" si="2"/>
        <v>0</v>
      </c>
      <c r="AK10" s="227">
        <f t="shared" si="2"/>
        <v>0</v>
      </c>
      <c r="AL10" s="227">
        <f t="shared" si="2"/>
        <v>0</v>
      </c>
      <c r="AM10" s="227">
        <f t="shared" si="2"/>
        <v>0</v>
      </c>
      <c r="AN10" s="227">
        <f t="shared" si="2"/>
        <v>0</v>
      </c>
      <c r="AO10" s="227">
        <f t="shared" si="2"/>
        <v>0</v>
      </c>
      <c r="AP10" s="227">
        <f t="shared" si="2"/>
        <v>0</v>
      </c>
      <c r="AQ10" s="227">
        <f t="shared" si="2"/>
        <v>0</v>
      </c>
      <c r="AR10" s="227">
        <f t="shared" si="2"/>
        <v>0</v>
      </c>
      <c r="AS10" s="227">
        <f t="shared" si="2"/>
        <v>0</v>
      </c>
      <c r="AT10" s="227">
        <f t="shared" si="2"/>
        <v>0</v>
      </c>
    </row>
    <row r="11" spans="2:46" ht="24" x14ac:dyDescent="0.65">
      <c r="B11" s="119" t="s">
        <v>71</v>
      </c>
      <c r="C11" s="290" t="s">
        <v>572</v>
      </c>
      <c r="D11" s="293" t="s">
        <v>574</v>
      </c>
      <c r="E11" s="291" t="s">
        <v>568</v>
      </c>
      <c r="F11" s="227">
        <f>IF($B$11=$AC$4,$F$5*SIN(F9+$L$5),0)</f>
        <v>2</v>
      </c>
      <c r="G11" s="227">
        <f t="shared" ref="G11:AT11" si="3">IF($B$11=$AC$4,$F$5*SIN(G9+$L$5),0)</f>
        <v>1.969615506024416</v>
      </c>
      <c r="H11" s="227">
        <f t="shared" si="3"/>
        <v>1.8793852415718169</v>
      </c>
      <c r="I11" s="227">
        <f t="shared" si="3"/>
        <v>1.7320508075688774</v>
      </c>
      <c r="J11" s="227">
        <f t="shared" si="3"/>
        <v>1.532088886237956</v>
      </c>
      <c r="K11" s="227">
        <f t="shared" si="3"/>
        <v>1.2855752193730789</v>
      </c>
      <c r="L11" s="227">
        <f t="shared" si="3"/>
        <v>1.0000000000000007</v>
      </c>
      <c r="M11" s="227">
        <f t="shared" si="3"/>
        <v>0.68404028665133776</v>
      </c>
      <c r="N11" s="227">
        <f t="shared" si="3"/>
        <v>0.34729635533386055</v>
      </c>
      <c r="O11" s="227">
        <f t="shared" si="3"/>
        <v>2.45029690981724E-16</v>
      </c>
      <c r="P11" s="227">
        <f t="shared" si="3"/>
        <v>-0.34729635533386005</v>
      </c>
      <c r="Q11" s="227">
        <f t="shared" si="3"/>
        <v>-0.68404028665133731</v>
      </c>
      <c r="R11" s="227">
        <f t="shared" si="3"/>
        <v>-0.99999999999999944</v>
      </c>
      <c r="S11" s="227">
        <f t="shared" si="3"/>
        <v>-1.2855752193730785</v>
      </c>
      <c r="T11" s="227">
        <f t="shared" si="3"/>
        <v>-1.5320888862379558</v>
      </c>
      <c r="U11" s="227">
        <f t="shared" si="3"/>
        <v>-1.7320508075688776</v>
      </c>
      <c r="V11" s="227">
        <f t="shared" si="3"/>
        <v>-1.8793852415718169</v>
      </c>
      <c r="W11" s="227">
        <f t="shared" si="3"/>
        <v>-1.969615506024416</v>
      </c>
      <c r="X11" s="227">
        <f t="shared" si="3"/>
        <v>-2</v>
      </c>
      <c r="Y11" s="227">
        <f t="shared" si="3"/>
        <v>-1.9696155060244163</v>
      </c>
      <c r="Z11" s="227">
        <f t="shared" si="3"/>
        <v>-1.8793852415718171</v>
      </c>
      <c r="AA11" s="227">
        <f t="shared" si="3"/>
        <v>-1.7320508075688772</v>
      </c>
      <c r="AB11" s="227">
        <f t="shared" si="3"/>
        <v>-1.5320888862379562</v>
      </c>
      <c r="AC11" s="227">
        <f t="shared" si="3"/>
        <v>-1.2855752193730792</v>
      </c>
      <c r="AD11" s="227">
        <f t="shared" si="3"/>
        <v>-1.0000000000000009</v>
      </c>
      <c r="AE11" s="227">
        <f t="shared" si="3"/>
        <v>-0.68404028665133887</v>
      </c>
      <c r="AF11" s="227">
        <f t="shared" si="3"/>
        <v>-0.34729635533386077</v>
      </c>
      <c r="AG11" s="227">
        <f t="shared" si="3"/>
        <v>-4.90059381963448E-16</v>
      </c>
      <c r="AH11" s="227">
        <f t="shared" si="3"/>
        <v>0.34729635533385983</v>
      </c>
      <c r="AI11" s="227">
        <f t="shared" si="3"/>
        <v>0.6840402866513362</v>
      </c>
      <c r="AJ11" s="227">
        <f t="shared" si="3"/>
        <v>1</v>
      </c>
      <c r="AK11" s="227">
        <f t="shared" si="3"/>
        <v>1.2855752193730783</v>
      </c>
      <c r="AL11" s="227">
        <f t="shared" si="3"/>
        <v>1.5320888862379556</v>
      </c>
      <c r="AM11" s="227">
        <f t="shared" si="3"/>
        <v>1.7320508075688767</v>
      </c>
      <c r="AN11" s="227">
        <f t="shared" si="3"/>
        <v>1.8793852415718169</v>
      </c>
      <c r="AO11" s="227">
        <f t="shared" si="3"/>
        <v>1.9696155060244158</v>
      </c>
      <c r="AP11" s="227">
        <f t="shared" si="3"/>
        <v>2</v>
      </c>
      <c r="AQ11" s="227">
        <f t="shared" si="3"/>
        <v>1.9696155060244163</v>
      </c>
      <c r="AR11" s="227">
        <f t="shared" si="3"/>
        <v>1.879385241571816</v>
      </c>
      <c r="AS11" s="227">
        <f t="shared" si="3"/>
        <v>1.7320508075688783</v>
      </c>
      <c r="AT11" s="227">
        <f t="shared" si="3"/>
        <v>1.5320888862379551</v>
      </c>
    </row>
    <row r="12" spans="2:46" ht="25.5" x14ac:dyDescent="0.65">
      <c r="B12" s="119" t="s">
        <v>72</v>
      </c>
      <c r="C12" s="294" t="s">
        <v>575</v>
      </c>
      <c r="D12" s="295" t="str">
        <f>IF($J$4=$J$5,"Umomentan^2 / R","Nicht gleichphasig")</f>
        <v>Nicht gleichphasig</v>
      </c>
      <c r="E12" s="296" t="s">
        <v>570</v>
      </c>
      <c r="F12" s="227">
        <f>IF($B$12=$AC$4,IF($J$4=$J$5,F10^2,0),0)</f>
        <v>0</v>
      </c>
      <c r="G12" s="227">
        <f t="shared" ref="G12:AT12" si="4">IF($B$12=$AC$4,IF($J$4=$J$5,G10^2,0),0)</f>
        <v>0</v>
      </c>
      <c r="H12" s="227">
        <f t="shared" si="4"/>
        <v>0</v>
      </c>
      <c r="I12" s="227">
        <f t="shared" si="4"/>
        <v>0</v>
      </c>
      <c r="J12" s="227">
        <f t="shared" si="4"/>
        <v>0</v>
      </c>
      <c r="K12" s="227">
        <f t="shared" si="4"/>
        <v>0</v>
      </c>
      <c r="L12" s="227">
        <f t="shared" si="4"/>
        <v>0</v>
      </c>
      <c r="M12" s="227">
        <f t="shared" si="4"/>
        <v>0</v>
      </c>
      <c r="N12" s="227">
        <f t="shared" si="4"/>
        <v>0</v>
      </c>
      <c r="O12" s="227">
        <f t="shared" si="4"/>
        <v>0</v>
      </c>
      <c r="P12" s="227">
        <f t="shared" si="4"/>
        <v>0</v>
      </c>
      <c r="Q12" s="227">
        <f t="shared" si="4"/>
        <v>0</v>
      </c>
      <c r="R12" s="227">
        <f t="shared" si="4"/>
        <v>0</v>
      </c>
      <c r="S12" s="227">
        <f t="shared" si="4"/>
        <v>0</v>
      </c>
      <c r="T12" s="227">
        <f t="shared" si="4"/>
        <v>0</v>
      </c>
      <c r="U12" s="227">
        <f t="shared" si="4"/>
        <v>0</v>
      </c>
      <c r="V12" s="227">
        <f t="shared" si="4"/>
        <v>0</v>
      </c>
      <c r="W12" s="227">
        <f t="shared" si="4"/>
        <v>0</v>
      </c>
      <c r="X12" s="227">
        <f t="shared" si="4"/>
        <v>0</v>
      </c>
      <c r="Y12" s="227">
        <f t="shared" si="4"/>
        <v>0</v>
      </c>
      <c r="Z12" s="227">
        <f t="shared" si="4"/>
        <v>0</v>
      </c>
      <c r="AA12" s="227">
        <f t="shared" si="4"/>
        <v>0</v>
      </c>
      <c r="AB12" s="227">
        <f t="shared" si="4"/>
        <v>0</v>
      </c>
      <c r="AC12" s="227">
        <f t="shared" si="4"/>
        <v>0</v>
      </c>
      <c r="AD12" s="227">
        <f t="shared" si="4"/>
        <v>0</v>
      </c>
      <c r="AE12" s="227">
        <f t="shared" si="4"/>
        <v>0</v>
      </c>
      <c r="AF12" s="227">
        <f t="shared" si="4"/>
        <v>0</v>
      </c>
      <c r="AG12" s="227">
        <f t="shared" si="4"/>
        <v>0</v>
      </c>
      <c r="AH12" s="227">
        <f t="shared" si="4"/>
        <v>0</v>
      </c>
      <c r="AI12" s="227">
        <f t="shared" si="4"/>
        <v>0</v>
      </c>
      <c r="AJ12" s="227">
        <f t="shared" si="4"/>
        <v>0</v>
      </c>
      <c r="AK12" s="227">
        <f t="shared" si="4"/>
        <v>0</v>
      </c>
      <c r="AL12" s="227">
        <f t="shared" si="4"/>
        <v>0</v>
      </c>
      <c r="AM12" s="227">
        <f t="shared" si="4"/>
        <v>0</v>
      </c>
      <c r="AN12" s="227">
        <f t="shared" si="4"/>
        <v>0</v>
      </c>
      <c r="AO12" s="227">
        <f t="shared" si="4"/>
        <v>0</v>
      </c>
      <c r="AP12" s="227">
        <f t="shared" si="4"/>
        <v>0</v>
      </c>
      <c r="AQ12" s="227">
        <f t="shared" si="4"/>
        <v>0</v>
      </c>
      <c r="AR12" s="227">
        <f t="shared" si="4"/>
        <v>0</v>
      </c>
      <c r="AS12" s="227">
        <f t="shared" si="4"/>
        <v>0</v>
      </c>
      <c r="AT12" s="227">
        <f t="shared" si="4"/>
        <v>0</v>
      </c>
    </row>
    <row r="13" spans="2:46" ht="21.5" x14ac:dyDescent="0.55000000000000004">
      <c r="B13" s="119" t="s">
        <v>71</v>
      </c>
      <c r="C13" s="294" t="s">
        <v>575</v>
      </c>
      <c r="D13" s="293" t="s">
        <v>576</v>
      </c>
      <c r="E13" s="296" t="s">
        <v>570</v>
      </c>
      <c r="F13" s="227">
        <f>IF($B$13=$AC$4,F10*F11,0)</f>
        <v>0</v>
      </c>
      <c r="G13" s="227">
        <f t="shared" ref="G13:AT13" si="5">IF($B$13=$AC$4,G10*G11,0)</f>
        <v>0</v>
      </c>
      <c r="H13" s="227">
        <f t="shared" si="5"/>
        <v>0</v>
      </c>
      <c r="I13" s="227">
        <f t="shared" si="5"/>
        <v>0</v>
      </c>
      <c r="J13" s="227">
        <f t="shared" si="5"/>
        <v>0</v>
      </c>
      <c r="K13" s="227">
        <f t="shared" si="5"/>
        <v>0</v>
      </c>
      <c r="L13" s="227">
        <f t="shared" si="5"/>
        <v>0</v>
      </c>
      <c r="M13" s="227">
        <f t="shared" si="5"/>
        <v>0</v>
      </c>
      <c r="N13" s="227">
        <f t="shared" si="5"/>
        <v>0</v>
      </c>
      <c r="O13" s="227">
        <f t="shared" si="5"/>
        <v>0</v>
      </c>
      <c r="P13" s="227">
        <f t="shared" si="5"/>
        <v>0</v>
      </c>
      <c r="Q13" s="227">
        <f t="shared" si="5"/>
        <v>0</v>
      </c>
      <c r="R13" s="227">
        <f t="shared" si="5"/>
        <v>0</v>
      </c>
      <c r="S13" s="227">
        <f t="shared" si="5"/>
        <v>0</v>
      </c>
      <c r="T13" s="227">
        <f t="shared" si="5"/>
        <v>0</v>
      </c>
      <c r="U13" s="227">
        <f t="shared" si="5"/>
        <v>0</v>
      </c>
      <c r="V13" s="227">
        <f t="shared" si="5"/>
        <v>0</v>
      </c>
      <c r="W13" s="227">
        <f t="shared" si="5"/>
        <v>0</v>
      </c>
      <c r="X13" s="227">
        <f t="shared" si="5"/>
        <v>0</v>
      </c>
      <c r="Y13" s="227">
        <f t="shared" si="5"/>
        <v>0</v>
      </c>
      <c r="Z13" s="227">
        <f t="shared" si="5"/>
        <v>0</v>
      </c>
      <c r="AA13" s="227">
        <f t="shared" si="5"/>
        <v>0</v>
      </c>
      <c r="AB13" s="227">
        <f t="shared" si="5"/>
        <v>0</v>
      </c>
      <c r="AC13" s="227">
        <f t="shared" si="5"/>
        <v>0</v>
      </c>
      <c r="AD13" s="227">
        <f t="shared" si="5"/>
        <v>0</v>
      </c>
      <c r="AE13" s="227">
        <f t="shared" si="5"/>
        <v>0</v>
      </c>
      <c r="AF13" s="227">
        <f t="shared" si="5"/>
        <v>0</v>
      </c>
      <c r="AG13" s="227">
        <f t="shared" si="5"/>
        <v>0</v>
      </c>
      <c r="AH13" s="227">
        <f t="shared" si="5"/>
        <v>0</v>
      </c>
      <c r="AI13" s="227">
        <f t="shared" si="5"/>
        <v>0</v>
      </c>
      <c r="AJ13" s="227">
        <f t="shared" si="5"/>
        <v>0</v>
      </c>
      <c r="AK13" s="227">
        <f t="shared" si="5"/>
        <v>0</v>
      </c>
      <c r="AL13" s="227">
        <f t="shared" si="5"/>
        <v>0</v>
      </c>
      <c r="AM13" s="227">
        <f t="shared" si="5"/>
        <v>0</v>
      </c>
      <c r="AN13" s="227">
        <f t="shared" si="5"/>
        <v>0</v>
      </c>
      <c r="AO13" s="227">
        <f t="shared" si="5"/>
        <v>0</v>
      </c>
      <c r="AP13" s="227">
        <f t="shared" si="5"/>
        <v>0</v>
      </c>
      <c r="AQ13" s="227">
        <f t="shared" si="5"/>
        <v>0</v>
      </c>
      <c r="AR13" s="227">
        <f t="shared" si="5"/>
        <v>0</v>
      </c>
      <c r="AS13" s="227">
        <f t="shared" si="5"/>
        <v>0</v>
      </c>
      <c r="AT13" s="227">
        <f t="shared" si="5"/>
        <v>0</v>
      </c>
    </row>
    <row r="16" spans="2:46" ht="15" thickBot="1" x14ac:dyDescent="0.4"/>
    <row r="17" spans="6:10" ht="26.5" thickBot="1" x14ac:dyDescent="0.65">
      <c r="F17" s="297" t="str">
        <f>IF(J4=J5,"Phasengleich (Ohmsche Last)",IF(J4&gt;J5,"Spannung voreilend (Induktive Last)",IF(J4&lt;J5,"Strom voreilend (Kapazitive Last)","ERROR")))</f>
        <v>Spannung voreilend (Induktive Last)</v>
      </c>
      <c r="G17" s="298"/>
      <c r="H17" s="298"/>
      <c r="I17" s="298"/>
      <c r="J17" s="299"/>
    </row>
  </sheetData>
  <dataValidations count="1">
    <dataValidation type="list" allowBlank="1" showInputMessage="1" showErrorMessage="1" sqref="B10:B13" xr:uid="{20FCF022-FBF5-47BC-A2B3-BAFD880D50E7}">
      <formula1>$AC$4:$AC$5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zoomScale="70" zoomScaleNormal="70" workbookViewId="0">
      <selection activeCell="AW25" sqref="AW25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" si="2">IF($D$7=$J$3,O7*PI()/180,O7)</f>
        <v>1.7453292519943295</v>
      </c>
      <c r="P8" s="227">
        <f t="shared" ref="P8" si="3">IF($D$7=$J$3,P7*PI()/180,P7)</f>
        <v>1.9198621771937625</v>
      </c>
      <c r="Q8" s="227">
        <f t="shared" ref="Q8" si="4">IF($D$7=$J$3,Q7*PI()/180,Q7)</f>
        <v>2.0943951023931953</v>
      </c>
      <c r="R8" s="227">
        <f t="shared" ref="R8" si="5">IF($D$7=$J$3,R7*PI()/180,R7)</f>
        <v>2.2689280275926285</v>
      </c>
      <c r="S8" s="227">
        <f t="shared" ref="S8" si="6">IF($D$7=$J$3,S7*PI()/180,S7)</f>
        <v>2.4434609527920612</v>
      </c>
      <c r="T8" s="227">
        <f t="shared" ref="T8" si="7">IF($D$7=$J$3,T7*PI()/180,T7)</f>
        <v>2.6179938779914944</v>
      </c>
      <c r="U8" s="227">
        <f t="shared" ref="U8" si="8">IF($D$7=$J$3,U7*PI()/180,U7)</f>
        <v>2.7925268031909272</v>
      </c>
      <c r="V8" s="227">
        <f t="shared" ref="V8:W8" si="9">IF($D$7=$J$3,V7*PI()/180,V7)</f>
        <v>2.9670597283903604</v>
      </c>
      <c r="W8" s="227">
        <f t="shared" si="9"/>
        <v>3.1415926535897931</v>
      </c>
      <c r="X8" s="227">
        <f t="shared" ref="X8" si="10">IF($D$7=$J$3,X7*PI()/180,X7)</f>
        <v>3.3161255787892263</v>
      </c>
      <c r="Y8" s="227">
        <f t="shared" ref="Y8" si="11">IF($D$7=$J$3,Y7*PI()/180,Y7)</f>
        <v>3.4906585039886591</v>
      </c>
      <c r="Z8" s="227">
        <f t="shared" ref="Z8" si="12">IF($D$7=$J$3,Z7*PI()/180,Z7)</f>
        <v>3.6651914291880923</v>
      </c>
      <c r="AA8" s="227">
        <f t="shared" ref="AA8" si="13">IF($D$7=$J$3,AA7*PI()/180,AA7)</f>
        <v>3.839724354387525</v>
      </c>
      <c r="AB8" s="227">
        <f t="shared" ref="AB8" si="14">IF($D$7=$J$3,AB7*PI()/180,AB7)</f>
        <v>4.0142572795869578</v>
      </c>
      <c r="AC8" s="227">
        <f t="shared" ref="AC8" si="15">IF($D$7=$J$3,AC7*PI()/180,AC7)</f>
        <v>4.1887902047863905</v>
      </c>
      <c r="AD8" s="227">
        <f t="shared" ref="AD8" si="16">IF($D$7=$J$3,AD7*PI()/180,AD7)</f>
        <v>4.3633231299858233</v>
      </c>
      <c r="AE8" s="227">
        <f t="shared" ref="AE8:AF8" si="17">IF($D$7=$J$3,AE7*PI()/180,AE7)</f>
        <v>4.5378560551852569</v>
      </c>
      <c r="AF8" s="227">
        <f t="shared" si="17"/>
        <v>4.7123889803846897</v>
      </c>
      <c r="AG8" s="227">
        <f t="shared" ref="AG8" si="18">IF($D$7=$J$3,AG7*PI()/180,AG7)</f>
        <v>4.8869219055841224</v>
      </c>
      <c r="AH8" s="227">
        <f t="shared" ref="AH8" si="19">IF($D$7=$J$3,AH7*PI()/180,AH7)</f>
        <v>5.0614548307835552</v>
      </c>
      <c r="AI8" s="227">
        <f t="shared" ref="AI8" si="20">IF($D$7=$J$3,AI7*PI()/180,AI7)</f>
        <v>5.2359877559829888</v>
      </c>
      <c r="AJ8" s="227">
        <f t="shared" ref="AJ8" si="21">IF($D$7=$J$3,AJ7*PI()/180,AJ7)</f>
        <v>5.4105206811824216</v>
      </c>
      <c r="AK8" s="227">
        <f t="shared" ref="AK8" si="22">IF($D$7=$J$3,AK7*PI()/180,AK7)</f>
        <v>5.5850536063818543</v>
      </c>
      <c r="AL8" s="227">
        <f t="shared" ref="AL8" si="23">IF($D$7=$J$3,AL7*PI()/180,AL7)</f>
        <v>5.7595865315812871</v>
      </c>
      <c r="AM8" s="227">
        <f t="shared" ref="AM8" si="24">IF($D$7=$J$3,AM7*PI()/180,AM7)</f>
        <v>5.9341194567807207</v>
      </c>
      <c r="AN8" s="227">
        <f t="shared" ref="AN8:AO8" si="25">IF($D$7=$J$3,AN7*PI()/180,AN7)</f>
        <v>6.1086523819801526</v>
      </c>
      <c r="AO8" s="227">
        <f t="shared" si="25"/>
        <v>6.2831853071795862</v>
      </c>
      <c r="AP8" s="227">
        <f t="shared" ref="AP8" si="26">IF($D$7=$J$3,AP7*PI()/180,AP7)</f>
        <v>6.457718232379019</v>
      </c>
      <c r="AQ8" s="227">
        <f t="shared" ref="AQ8" si="27">IF($D$7=$J$3,AQ7*PI()/180,AQ7)</f>
        <v>6.6322511575784526</v>
      </c>
      <c r="AR8" s="227">
        <f t="shared" ref="AR8" si="28">IF($D$7=$J$3,AR7*PI()/180,AR7)</f>
        <v>6.8067840827778845</v>
      </c>
      <c r="AS8" s="227">
        <f t="shared" ref="AS8" si="29">IF($D$7=$J$3,AS7*PI()/180,AS7)</f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0">SIN(F8)</f>
        <v>0.17364817766693033</v>
      </c>
      <c r="G9" s="227">
        <f t="shared" si="30"/>
        <v>0.34202014332566871</v>
      </c>
      <c r="H9" s="227">
        <f t="shared" si="30"/>
        <v>0.49999999999999994</v>
      </c>
      <c r="I9" s="227">
        <f t="shared" si="30"/>
        <v>0.64278760968653925</v>
      </c>
      <c r="J9" s="227">
        <f t="shared" si="30"/>
        <v>0.76604444311897801</v>
      </c>
      <c r="K9" s="227">
        <f t="shared" si="30"/>
        <v>0.8660254037844386</v>
      </c>
      <c r="L9" s="227">
        <f t="shared" si="30"/>
        <v>0.93969262078590832</v>
      </c>
      <c r="M9" s="227">
        <f t="shared" si="30"/>
        <v>0.98480775301220802</v>
      </c>
      <c r="N9" s="227">
        <f t="shared" si="30"/>
        <v>1</v>
      </c>
      <c r="O9" s="227">
        <f t="shared" si="30"/>
        <v>0.98480775301220802</v>
      </c>
      <c r="P9" s="227">
        <f t="shared" si="30"/>
        <v>0.93969262078590843</v>
      </c>
      <c r="Q9" s="227">
        <f t="shared" si="30"/>
        <v>0.86602540378443871</v>
      </c>
      <c r="R9" s="227">
        <f t="shared" si="30"/>
        <v>0.76604444311897801</v>
      </c>
      <c r="S9" s="227">
        <f t="shared" si="30"/>
        <v>0.64278760968653947</v>
      </c>
      <c r="T9" s="227">
        <f t="shared" si="30"/>
        <v>0.49999999999999994</v>
      </c>
      <c r="U9" s="227">
        <f t="shared" si="30"/>
        <v>0.34202014332566888</v>
      </c>
      <c r="V9" s="227">
        <f t="shared" si="30"/>
        <v>0.17364817766693028</v>
      </c>
      <c r="W9" s="227">
        <f t="shared" si="30"/>
        <v>1.22514845490862E-16</v>
      </c>
      <c r="X9" s="227">
        <f t="shared" si="30"/>
        <v>-0.17364817766693047</v>
      </c>
      <c r="Y9" s="227">
        <f t="shared" si="30"/>
        <v>-0.34202014332566866</v>
      </c>
      <c r="Z9" s="227">
        <f t="shared" si="30"/>
        <v>-0.50000000000000011</v>
      </c>
      <c r="AA9" s="227">
        <f t="shared" si="30"/>
        <v>-0.64278760968653925</v>
      </c>
      <c r="AB9" s="227">
        <f t="shared" si="30"/>
        <v>-0.7660444431189779</v>
      </c>
      <c r="AC9" s="227">
        <f t="shared" si="30"/>
        <v>-0.86602540378443837</v>
      </c>
      <c r="AD9" s="227">
        <f t="shared" si="30"/>
        <v>-0.93969262078590821</v>
      </c>
      <c r="AE9" s="227">
        <f t="shared" si="30"/>
        <v>-0.98480775301220802</v>
      </c>
      <c r="AF9" s="227">
        <f t="shared" si="30"/>
        <v>-1</v>
      </c>
      <c r="AG9" s="227">
        <f t="shared" si="30"/>
        <v>-0.98480775301220813</v>
      </c>
      <c r="AH9" s="227">
        <f t="shared" si="30"/>
        <v>-0.93969262078590854</v>
      </c>
      <c r="AI9" s="227">
        <f t="shared" si="30"/>
        <v>-0.8660254037844386</v>
      </c>
      <c r="AJ9" s="227">
        <f t="shared" si="30"/>
        <v>-0.76604444311897812</v>
      </c>
      <c r="AK9" s="227">
        <f t="shared" si="30"/>
        <v>-0.64278760968653958</v>
      </c>
      <c r="AL9" s="227">
        <f t="shared" si="30"/>
        <v>-0.50000000000000044</v>
      </c>
      <c r="AM9" s="227">
        <f t="shared" si="30"/>
        <v>-0.3420201433256686</v>
      </c>
      <c r="AN9" s="227">
        <f t="shared" si="30"/>
        <v>-0.17364817766693127</v>
      </c>
      <c r="AO9" s="227">
        <f t="shared" si="30"/>
        <v>-2.45029690981724E-16</v>
      </c>
      <c r="AP9" s="227">
        <f t="shared" si="30"/>
        <v>0.17364817766692991</v>
      </c>
      <c r="AQ9" s="227">
        <f t="shared" si="30"/>
        <v>0.34202014332566893</v>
      </c>
      <c r="AR9" s="227">
        <f t="shared" si="30"/>
        <v>0.49999999999999928</v>
      </c>
      <c r="AS9" s="227">
        <f t="shared" si="30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31">COS(F8)</f>
        <v>0.98480775301220802</v>
      </c>
      <c r="G10" s="227">
        <f t="shared" si="31"/>
        <v>0.93969262078590843</v>
      </c>
      <c r="H10" s="227">
        <f t="shared" si="31"/>
        <v>0.86602540378443871</v>
      </c>
      <c r="I10" s="227">
        <f t="shared" si="31"/>
        <v>0.76604444311897801</v>
      </c>
      <c r="J10" s="227">
        <f t="shared" si="31"/>
        <v>0.64278760968653936</v>
      </c>
      <c r="K10" s="227">
        <f t="shared" si="31"/>
        <v>0.50000000000000011</v>
      </c>
      <c r="L10" s="227">
        <f t="shared" si="31"/>
        <v>0.34202014332566882</v>
      </c>
      <c r="M10" s="227">
        <f t="shared" si="31"/>
        <v>0.17364817766693041</v>
      </c>
      <c r="N10" s="227">
        <f t="shared" si="31"/>
        <v>6.1257422745431001E-17</v>
      </c>
      <c r="O10" s="227">
        <f t="shared" si="31"/>
        <v>-0.1736481776669303</v>
      </c>
      <c r="P10" s="227">
        <f t="shared" si="31"/>
        <v>-0.34202014332566871</v>
      </c>
      <c r="Q10" s="227">
        <f t="shared" si="31"/>
        <v>-0.49999999999999978</v>
      </c>
      <c r="R10" s="227">
        <f t="shared" si="31"/>
        <v>-0.64278760968653936</v>
      </c>
      <c r="S10" s="227">
        <f t="shared" si="31"/>
        <v>-0.7660444431189779</v>
      </c>
      <c r="T10" s="227">
        <f t="shared" si="31"/>
        <v>-0.86602540378443871</v>
      </c>
      <c r="U10" s="227">
        <f t="shared" si="31"/>
        <v>-0.93969262078590832</v>
      </c>
      <c r="V10" s="227">
        <f t="shared" si="31"/>
        <v>-0.98480775301220802</v>
      </c>
      <c r="W10" s="227">
        <f t="shared" si="31"/>
        <v>-1</v>
      </c>
      <c r="X10" s="227">
        <f t="shared" si="31"/>
        <v>-0.98480775301220802</v>
      </c>
      <c r="Y10" s="227">
        <f t="shared" si="31"/>
        <v>-0.93969262078590843</v>
      </c>
      <c r="Z10" s="227">
        <f t="shared" si="31"/>
        <v>-0.8660254037844386</v>
      </c>
      <c r="AA10" s="227">
        <f t="shared" si="31"/>
        <v>-0.76604444311897801</v>
      </c>
      <c r="AB10" s="227">
        <f t="shared" si="31"/>
        <v>-0.64278760968653947</v>
      </c>
      <c r="AC10" s="227">
        <f t="shared" si="31"/>
        <v>-0.50000000000000044</v>
      </c>
      <c r="AD10" s="227">
        <f t="shared" si="31"/>
        <v>-0.34202014332566938</v>
      </c>
      <c r="AE10" s="227">
        <f t="shared" si="31"/>
        <v>-0.17364817766693033</v>
      </c>
      <c r="AF10" s="227">
        <f t="shared" si="31"/>
        <v>-1.83772268236293E-16</v>
      </c>
      <c r="AG10" s="227">
        <f t="shared" si="31"/>
        <v>0.17364817766692997</v>
      </c>
      <c r="AH10" s="227">
        <f t="shared" si="31"/>
        <v>0.34202014332566816</v>
      </c>
      <c r="AI10" s="227">
        <f t="shared" si="31"/>
        <v>0.50000000000000011</v>
      </c>
      <c r="AJ10" s="227">
        <f t="shared" si="31"/>
        <v>0.64278760968653925</v>
      </c>
      <c r="AK10" s="227">
        <f t="shared" si="31"/>
        <v>0.76604444311897779</v>
      </c>
      <c r="AL10" s="227">
        <f t="shared" si="31"/>
        <v>0.86602540378443837</v>
      </c>
      <c r="AM10" s="227">
        <f t="shared" si="31"/>
        <v>0.93969262078590843</v>
      </c>
      <c r="AN10" s="227">
        <f t="shared" si="31"/>
        <v>0.98480775301220791</v>
      </c>
      <c r="AO10" s="227">
        <f t="shared" si="31"/>
        <v>1</v>
      </c>
      <c r="AP10" s="227">
        <f t="shared" si="31"/>
        <v>0.98480775301220813</v>
      </c>
      <c r="AQ10" s="227">
        <f t="shared" si="31"/>
        <v>0.93969262078590832</v>
      </c>
      <c r="AR10" s="227">
        <f t="shared" si="31"/>
        <v>0.86602540378443904</v>
      </c>
      <c r="AS10" s="227">
        <f t="shared" si="31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32">TAN(F8)</f>
        <v>0.17632698070846498</v>
      </c>
      <c r="G11" s="227">
        <f t="shared" si="32"/>
        <v>0.36397023426620234</v>
      </c>
      <c r="H11" s="227">
        <f t="shared" si="32"/>
        <v>0.57735026918962573</v>
      </c>
      <c r="I11" s="227">
        <f t="shared" si="32"/>
        <v>0.83909963117727993</v>
      </c>
      <c r="J11" s="227">
        <f t="shared" si="32"/>
        <v>1.19175359259421</v>
      </c>
      <c r="K11" s="227">
        <f t="shared" si="32"/>
        <v>1.7320508075688767</v>
      </c>
      <c r="L11" s="227">
        <f t="shared" si="32"/>
        <v>2.7474774194546216</v>
      </c>
      <c r="M11" s="227">
        <f t="shared" si="32"/>
        <v>5.6712818196177066</v>
      </c>
      <c r="N11" s="227">
        <f t="shared" si="32"/>
        <v>1.6324552277619072E+16</v>
      </c>
      <c r="O11" s="227">
        <f t="shared" si="32"/>
        <v>-5.6712818196177111</v>
      </c>
      <c r="P11" s="227">
        <f t="shared" si="32"/>
        <v>-2.7474774194546225</v>
      </c>
      <c r="Q11" s="227">
        <f t="shared" si="32"/>
        <v>-1.7320508075688783</v>
      </c>
      <c r="R11" s="227">
        <f t="shared" si="32"/>
        <v>-1.19175359259421</v>
      </c>
      <c r="S11" s="227">
        <f t="shared" si="32"/>
        <v>-0.83909963117728037</v>
      </c>
      <c r="T11" s="227">
        <f t="shared" si="32"/>
        <v>-0.57735026918962573</v>
      </c>
      <c r="U11" s="227">
        <f t="shared" si="32"/>
        <v>-0.36397023426620256</v>
      </c>
      <c r="V11" s="227">
        <f t="shared" si="32"/>
        <v>-0.17632698070846489</v>
      </c>
      <c r="W11" s="227">
        <f t="shared" si="32"/>
        <v>-1.22514845490862E-16</v>
      </c>
      <c r="X11" s="227">
        <f t="shared" si="32"/>
        <v>0.17632698070846509</v>
      </c>
      <c r="Y11" s="227">
        <f t="shared" si="32"/>
        <v>0.36397023426620229</v>
      </c>
      <c r="Z11" s="227">
        <f t="shared" si="32"/>
        <v>0.57735026918962595</v>
      </c>
      <c r="AA11" s="227">
        <f t="shared" si="32"/>
        <v>0.83909963117727993</v>
      </c>
      <c r="AB11" s="227">
        <f t="shared" si="32"/>
        <v>1.1917535925942093</v>
      </c>
      <c r="AC11" s="227">
        <f t="shared" si="32"/>
        <v>1.7320508075688754</v>
      </c>
      <c r="AD11" s="227">
        <f t="shared" si="32"/>
        <v>2.7474774194546168</v>
      </c>
      <c r="AE11" s="227">
        <f t="shared" si="32"/>
        <v>5.6712818196177102</v>
      </c>
      <c r="AF11" s="227">
        <f t="shared" si="32"/>
        <v>5441517425873024</v>
      </c>
      <c r="AG11" s="227">
        <f t="shared" si="32"/>
        <v>-5.6712818196177226</v>
      </c>
      <c r="AH11" s="227">
        <f t="shared" si="32"/>
        <v>-2.7474774194546274</v>
      </c>
      <c r="AI11" s="227">
        <f t="shared" si="32"/>
        <v>-1.732050807568877</v>
      </c>
      <c r="AJ11" s="227">
        <f t="shared" si="32"/>
        <v>-1.1917535925942102</v>
      </c>
      <c r="AK11" s="227">
        <f t="shared" si="32"/>
        <v>-0.83909963117728059</v>
      </c>
      <c r="AL11" s="227">
        <f t="shared" si="32"/>
        <v>-0.57735026918962651</v>
      </c>
      <c r="AM11" s="227">
        <f t="shared" si="32"/>
        <v>-0.36397023426620218</v>
      </c>
      <c r="AN11" s="227">
        <f t="shared" si="32"/>
        <v>-0.17632698070846592</v>
      </c>
      <c r="AO11" s="227">
        <f t="shared" si="32"/>
        <v>-2.45029690981724E-16</v>
      </c>
      <c r="AP11" s="227">
        <f t="shared" si="32"/>
        <v>0.1763269807084645</v>
      </c>
      <c r="AQ11" s="227">
        <f t="shared" si="32"/>
        <v>0.36397023426620262</v>
      </c>
      <c r="AR11" s="227">
        <f t="shared" si="32"/>
        <v>0.57735026918962462</v>
      </c>
      <c r="AS11" s="227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304" t="s">
        <v>225</v>
      </c>
      <c r="D12" s="304"/>
      <c r="E12" s="304"/>
      <c r="F12" s="304"/>
      <c r="G12" s="304"/>
      <c r="H12" s="71"/>
      <c r="I12" s="304" t="s">
        <v>226</v>
      </c>
      <c r="J12" s="304"/>
      <c r="K12" s="304" t="s">
        <v>221</v>
      </c>
      <c r="L12" s="304"/>
      <c r="M12" s="304" t="s">
        <v>227</v>
      </c>
      <c r="N12" s="304"/>
      <c r="O12" s="304"/>
      <c r="P12" s="303" t="s">
        <v>238</v>
      </c>
      <c r="Q12" s="303"/>
      <c r="R12" s="303"/>
      <c r="S12" s="303"/>
      <c r="T12" s="303" t="s">
        <v>270</v>
      </c>
      <c r="U12" s="303"/>
      <c r="V12" s="303"/>
      <c r="W12" s="303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305" t="s">
        <v>431</v>
      </c>
      <c r="C13" s="307"/>
      <c r="D13" s="307"/>
      <c r="E13" s="307"/>
      <c r="F13" s="307"/>
      <c r="G13" s="307"/>
      <c r="H13" s="307"/>
      <c r="I13" s="307"/>
      <c r="L13" s="305" t="s">
        <v>432</v>
      </c>
      <c r="M13" s="306"/>
      <c r="N13" s="306"/>
      <c r="O13" s="306"/>
      <c r="Q13" s="305" t="s">
        <v>239</v>
      </c>
      <c r="R13" s="306"/>
      <c r="S13" s="306"/>
      <c r="T13" s="306"/>
      <c r="U13" s="306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45901.723895949071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46239</v>
      </c>
      <c r="E23" s="109">
        <f t="shared" ca="1" si="4"/>
        <v>65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Schon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46246</v>
      </c>
      <c r="E24" s="109">
        <f t="shared" ca="1" si="4"/>
        <v>56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Schon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46247</v>
      </c>
      <c r="E25" s="109">
        <f t="shared" ca="1" si="4"/>
        <v>83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Schon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45912</v>
      </c>
      <c r="E26" s="109">
        <f t="shared" ca="1" si="4"/>
        <v>55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45916</v>
      </c>
      <c r="E27" s="109">
        <f t="shared" ca="1" si="4"/>
        <v>63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45940</v>
      </c>
      <c r="E28" s="109">
        <f t="shared" ca="1" si="4"/>
        <v>84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45942</v>
      </c>
      <c r="E29" s="109">
        <f t="shared" ca="1" si="4"/>
        <v>82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45944</v>
      </c>
      <c r="E30" s="109">
        <f t="shared" ca="1" si="4"/>
        <v>40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TOC</vt:lpstr>
      <vt:lpstr>Leistung bei Wechselstrom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3-Phasenstrom</vt:lpstr>
      <vt:lpstr>Gemischte Schaltung</vt:lpstr>
      <vt:lpstr>Theoreme</vt:lpstr>
      <vt:lpstr>Fläche eines Polygones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2025-09-01T15:27:52Z</dcterms:modified>
</cp:coreProperties>
</file>