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"/>
    </mc:Choice>
  </mc:AlternateContent>
  <xr:revisionPtr revIDLastSave="0" documentId="13_ncr:1_{EC59819B-72CF-4233-AAD0-784B16383C93}" xr6:coauthVersionLast="47" xr6:coauthVersionMax="47" xr10:uidLastSave="{00000000-0000-0000-0000-000000000000}"/>
  <bookViews>
    <workbookView xWindow="-120" yWindow="-16320" windowWidth="29040" windowHeight="16440" activeTab="1" xr2:uid="{00000000-000D-0000-FFFF-FFFF00000000}"/>
  </bookViews>
  <sheets>
    <sheet name="TOC" sheetId="13" r:id="rId1"/>
    <sheet name="Leistung bei Wechselstrom" sheetId="28" r:id="rId2"/>
    <sheet name="Sinus_Cosinus" sheetId="22" r:id="rId3"/>
    <sheet name="Schiefeebene" sheetId="19" r:id="rId4"/>
    <sheet name="Schiefe-Ebene (alt)" sheetId="20" r:id="rId5"/>
    <sheet name="Vektoren" sheetId="18" r:id="rId6"/>
    <sheet name="Vektor" sheetId="24" r:id="rId7"/>
    <sheet name="Geburtstagsliste" sheetId="17" r:id="rId8"/>
    <sheet name="Einheiten umrechnen" sheetId="16" r:id="rId9"/>
    <sheet name="Flächenberechnungen" sheetId="14" r:id="rId10"/>
    <sheet name="Kinematik_1" sheetId="4" r:id="rId11"/>
    <sheet name="Kinematik_2" sheetId="9" r:id="rId12"/>
    <sheet name="Kinematik_2_Berechnungen" sheetId="11" r:id="rId13"/>
    <sheet name="Fourierreihe" sheetId="12" r:id="rId14"/>
    <sheet name="Scheinleistung" sheetId="15" r:id="rId15"/>
    <sheet name="3-Phasenstrom" sheetId="25" r:id="rId16"/>
    <sheet name="Gemischte Schaltung" sheetId="23" r:id="rId17"/>
    <sheet name="Theoreme" sheetId="26" r:id="rId18"/>
    <sheet name="Fläche eines Polygones" sheetId="27" r:id="rId19"/>
  </sheets>
  <definedNames>
    <definedName name="_xlnm._FilterDatabase" localSheetId="7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5" l="1"/>
  <c r="C13" i="25"/>
  <c r="C11" i="25"/>
  <c r="F17" i="28"/>
  <c r="F10" i="28"/>
  <c r="F12" i="28"/>
  <c r="F11" i="28"/>
  <c r="N23" i="25" l="1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M23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U13" i="25"/>
  <c r="S13" i="25"/>
  <c r="F13" i="25"/>
  <c r="I13" i="25" s="1"/>
  <c r="O13" i="25" s="1"/>
  <c r="G12" i="28"/>
  <c r="H12" i="28"/>
  <c r="I12" i="28"/>
  <c r="J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V4" i="28"/>
  <c r="U4" i="28"/>
  <c r="D12" i="28"/>
  <c r="L5" i="28"/>
  <c r="H11" i="28" s="1"/>
  <c r="L4" i="28"/>
  <c r="N10" i="28" s="1"/>
  <c r="C21" i="13"/>
  <c r="F9" i="28"/>
  <c r="G8" i="28"/>
  <c r="G9" i="28" s="1"/>
  <c r="L23" i="27"/>
  <c r="C20" i="13"/>
  <c r="F25" i="27"/>
  <c r="G25" i="27"/>
  <c r="F26" i="27"/>
  <c r="G26" i="27"/>
  <c r="F27" i="27"/>
  <c r="G27" i="27"/>
  <c r="H27" i="27" s="1"/>
  <c r="F28" i="27"/>
  <c r="H28" i="27" s="1"/>
  <c r="G28" i="27"/>
  <c r="F29" i="27"/>
  <c r="G29" i="27"/>
  <c r="F30" i="27"/>
  <c r="G30" i="27"/>
  <c r="F31" i="27"/>
  <c r="H31" i="27" s="1"/>
  <c r="G31" i="27"/>
  <c r="F32" i="27"/>
  <c r="G32" i="27"/>
  <c r="F33" i="27"/>
  <c r="G33" i="27"/>
  <c r="F34" i="27"/>
  <c r="G34" i="27"/>
  <c r="H34" i="27"/>
  <c r="F35" i="27"/>
  <c r="G35" i="27"/>
  <c r="H35" i="27"/>
  <c r="F36" i="27"/>
  <c r="G36" i="27"/>
  <c r="H36" i="27"/>
  <c r="G24" i="27"/>
  <c r="F24" i="27"/>
  <c r="G23" i="27"/>
  <c r="F23" i="27"/>
  <c r="C19" i="13"/>
  <c r="Y16" i="25"/>
  <c r="AC3" i="25"/>
  <c r="AC5" i="25"/>
  <c r="AC4" i="25"/>
  <c r="Z5" i="25"/>
  <c r="Z4" i="25"/>
  <c r="W5" i="25"/>
  <c r="W4" i="25"/>
  <c r="W3" i="25"/>
  <c r="C18" i="13"/>
  <c r="C10" i="13"/>
  <c r="AA5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M18" i="15"/>
  <c r="J15" i="15"/>
  <c r="E8" i="15"/>
  <c r="F17" i="15"/>
  <c r="F15" i="15"/>
  <c r="C17" i="15" s="1"/>
  <c r="T17" i="15" s="1"/>
  <c r="T23" i="15" s="1"/>
  <c r="E16" i="15"/>
  <c r="D15" i="15"/>
  <c r="D16" i="15" s="1"/>
  <c r="D17" i="15" s="1"/>
  <c r="P19" i="12"/>
  <c r="P18" i="12"/>
  <c r="Q17" i="12"/>
  <c r="P16" i="12"/>
  <c r="P15" i="12"/>
  <c r="M18" i="12"/>
  <c r="M17" i="12"/>
  <c r="M16" i="12"/>
  <c r="F12" i="25"/>
  <c r="H12" i="25" s="1"/>
  <c r="M12" i="25" s="1"/>
  <c r="F11" i="25"/>
  <c r="H11" i="25" s="1"/>
  <c r="E12" i="25"/>
  <c r="E13" i="25" s="1"/>
  <c r="M21" i="25"/>
  <c r="N20" i="25"/>
  <c r="N21" i="25" s="1"/>
  <c r="G14" i="25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M22" i="24"/>
  <c r="AF21" i="24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O21" i="24"/>
  <c r="P21" i="24"/>
  <c r="Q21" i="24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AB21" i="24" s="1"/>
  <c r="AC21" i="24" s="1"/>
  <c r="AD21" i="24" s="1"/>
  <c r="AE21" i="24" s="1"/>
  <c r="N21" i="24"/>
  <c r="D18" i="12"/>
  <c r="D17" i="12"/>
  <c r="D19" i="12" s="1"/>
  <c r="E17" i="12" s="1"/>
  <c r="D16" i="12"/>
  <c r="F16" i="12" s="1"/>
  <c r="I16" i="12"/>
  <c r="I15" i="12"/>
  <c r="M15" i="12"/>
  <c r="G18" i="12"/>
  <c r="G16" i="12"/>
  <c r="G15" i="12"/>
  <c r="F18" i="12"/>
  <c r="F15" i="12"/>
  <c r="H13" i="25" l="1"/>
  <c r="M13" i="25" s="1"/>
  <c r="AC11" i="28"/>
  <c r="AA11" i="28"/>
  <c r="W11" i="28"/>
  <c r="AQ11" i="28"/>
  <c r="Q11" i="28"/>
  <c r="AO11" i="28"/>
  <c r="O11" i="28"/>
  <c r="AM11" i="28"/>
  <c r="N11" i="28"/>
  <c r="N13" i="28" s="1"/>
  <c r="AK11" i="28"/>
  <c r="K11" i="28"/>
  <c r="AD11" i="28"/>
  <c r="AS10" i="28"/>
  <c r="AK10" i="28"/>
  <c r="AC10" i="28"/>
  <c r="U10" i="28"/>
  <c r="M10" i="28"/>
  <c r="AR10" i="28"/>
  <c r="AJ10" i="28"/>
  <c r="AB10" i="28"/>
  <c r="T10" i="28"/>
  <c r="L10" i="28"/>
  <c r="AQ10" i="28"/>
  <c r="K10" i="28"/>
  <c r="AI10" i="28"/>
  <c r="AA10" i="28"/>
  <c r="S10" i="28"/>
  <c r="AP10" i="28"/>
  <c r="AH10" i="28"/>
  <c r="Z10" i="28"/>
  <c r="R10" i="28"/>
  <c r="J10" i="28"/>
  <c r="AO10" i="28"/>
  <c r="AG10" i="28"/>
  <c r="Y10" i="28"/>
  <c r="Q10" i="28"/>
  <c r="I10" i="28"/>
  <c r="AN10" i="28"/>
  <c r="AF10" i="28"/>
  <c r="X10" i="28"/>
  <c r="P10" i="28"/>
  <c r="H10" i="28"/>
  <c r="H13" i="28" s="1"/>
  <c r="AM10" i="28"/>
  <c r="AE10" i="28"/>
  <c r="W10" i="28"/>
  <c r="O10" i="28"/>
  <c r="G10" i="28"/>
  <c r="AT10" i="28"/>
  <c r="AL10" i="28"/>
  <c r="AD10" i="28"/>
  <c r="V10" i="28"/>
  <c r="AL11" i="28"/>
  <c r="Y11" i="28"/>
  <c r="M11" i="28"/>
  <c r="AI11" i="28"/>
  <c r="V11" i="28"/>
  <c r="I11" i="28"/>
  <c r="AT11" i="28"/>
  <c r="AG11" i="28"/>
  <c r="U11" i="28"/>
  <c r="G11" i="28"/>
  <c r="AS11" i="28"/>
  <c r="AE11" i="28"/>
  <c r="S11" i="28"/>
  <c r="AR11" i="28"/>
  <c r="AJ11" i="28"/>
  <c r="AB11" i="28"/>
  <c r="T11" i="28"/>
  <c r="L11" i="28"/>
  <c r="AP11" i="28"/>
  <c r="AH11" i="28"/>
  <c r="Z11" i="28"/>
  <c r="R11" i="28"/>
  <c r="J11" i="28"/>
  <c r="AN11" i="28"/>
  <c r="AF11" i="28"/>
  <c r="X11" i="28"/>
  <c r="P11" i="28"/>
  <c r="K12" i="28"/>
  <c r="H8" i="28"/>
  <c r="H9" i="28" s="1"/>
  <c r="H26" i="27"/>
  <c r="H30" i="27"/>
  <c r="H33" i="27"/>
  <c r="H29" i="27"/>
  <c r="H32" i="27"/>
  <c r="H25" i="27"/>
  <c r="H37" i="27" s="1"/>
  <c r="H24" i="27"/>
  <c r="H23" i="27"/>
  <c r="I11" i="25"/>
  <c r="H14" i="25"/>
  <c r="X10" i="25"/>
  <c r="X14" i="25" s="1"/>
  <c r="AA11" i="25"/>
  <c r="X15" i="25" s="1"/>
  <c r="M17" i="15"/>
  <c r="M23" i="15" s="1"/>
  <c r="AQ17" i="15"/>
  <c r="AQ23" i="15" s="1"/>
  <c r="AI17" i="15"/>
  <c r="AI23" i="15" s="1"/>
  <c r="AA17" i="15"/>
  <c r="AA23" i="15" s="1"/>
  <c r="AY17" i="15"/>
  <c r="AY23" i="15" s="1"/>
  <c r="S17" i="15"/>
  <c r="S23" i="15" s="1"/>
  <c r="J17" i="15"/>
  <c r="AX17" i="15"/>
  <c r="AX23" i="15" s="1"/>
  <c r="AP17" i="15"/>
  <c r="AP23" i="15" s="1"/>
  <c r="AH17" i="15"/>
  <c r="AH23" i="15" s="1"/>
  <c r="Z17" i="15"/>
  <c r="Z23" i="15" s="1"/>
  <c r="R17" i="15"/>
  <c r="R23" i="15" s="1"/>
  <c r="AW17" i="15"/>
  <c r="AW23" i="15" s="1"/>
  <c r="AO17" i="15"/>
  <c r="AO23" i="15" s="1"/>
  <c r="AG17" i="15"/>
  <c r="AG23" i="15" s="1"/>
  <c r="Y17" i="15"/>
  <c r="Y23" i="15" s="1"/>
  <c r="Q17" i="15"/>
  <c r="Q23" i="15" s="1"/>
  <c r="AV17" i="15"/>
  <c r="AV23" i="15" s="1"/>
  <c r="AN17" i="15"/>
  <c r="AN23" i="15" s="1"/>
  <c r="AF17" i="15"/>
  <c r="AF23" i="15" s="1"/>
  <c r="X17" i="15"/>
  <c r="X23" i="15" s="1"/>
  <c r="P17" i="15"/>
  <c r="P23" i="15" s="1"/>
  <c r="AU17" i="15"/>
  <c r="AU23" i="15" s="1"/>
  <c r="AM17" i="15"/>
  <c r="AM23" i="15" s="1"/>
  <c r="AE17" i="15"/>
  <c r="AE23" i="15" s="1"/>
  <c r="W17" i="15"/>
  <c r="W23" i="15" s="1"/>
  <c r="O17" i="15"/>
  <c r="O23" i="15" s="1"/>
  <c r="AT17" i="15"/>
  <c r="AT23" i="15" s="1"/>
  <c r="AL17" i="15"/>
  <c r="AL23" i="15" s="1"/>
  <c r="AD17" i="15"/>
  <c r="AD23" i="15" s="1"/>
  <c r="V17" i="15"/>
  <c r="V23" i="15" s="1"/>
  <c r="N17" i="15"/>
  <c r="N23" i="15" s="1"/>
  <c r="AS17" i="15"/>
  <c r="AS23" i="15" s="1"/>
  <c r="AK17" i="15"/>
  <c r="AK23" i="15" s="1"/>
  <c r="AC17" i="15"/>
  <c r="AC23" i="15" s="1"/>
  <c r="U17" i="15"/>
  <c r="U23" i="15" s="1"/>
  <c r="AR17" i="15"/>
  <c r="AR23" i="15" s="1"/>
  <c r="AJ17" i="15"/>
  <c r="AJ23" i="15" s="1"/>
  <c r="AB17" i="15"/>
  <c r="AB23" i="15" s="1"/>
  <c r="C16" i="15"/>
  <c r="M14" i="25"/>
  <c r="I12" i="25"/>
  <c r="E14" i="25"/>
  <c r="N22" i="25"/>
  <c r="N26" i="25" s="1"/>
  <c r="M22" i="25"/>
  <c r="M26" i="25" s="1"/>
  <c r="M11" i="25"/>
  <c r="L14" i="25" s="1"/>
  <c r="O20" i="25"/>
  <c r="F17" i="12"/>
  <c r="G17" i="12"/>
  <c r="G19" i="12"/>
  <c r="F19" i="12"/>
  <c r="E18" i="12"/>
  <c r="E16" i="12"/>
  <c r="E15" i="12"/>
  <c r="F8" i="24"/>
  <c r="F6" i="24"/>
  <c r="Y13" i="28" l="1"/>
  <c r="AL13" i="28"/>
  <c r="M13" i="28"/>
  <c r="AG13" i="28"/>
  <c r="AR13" i="28"/>
  <c r="K13" i="28"/>
  <c r="X16" i="25"/>
  <c r="G13" i="28"/>
  <c r="U13" i="28"/>
  <c r="AD13" i="28"/>
  <c r="X13" i="28"/>
  <c r="J13" i="28"/>
  <c r="AT13" i="28"/>
  <c r="AQ13" i="28"/>
  <c r="AF13" i="28"/>
  <c r="R13" i="28"/>
  <c r="AO13" i="28"/>
  <c r="AN13" i="28"/>
  <c r="AB13" i="28"/>
  <c r="L13" i="28"/>
  <c r="Z13" i="28"/>
  <c r="T13" i="28"/>
  <c r="Q13" i="28"/>
  <c r="W13" i="28"/>
  <c r="AK13" i="28"/>
  <c r="F13" i="28"/>
  <c r="S13" i="28"/>
  <c r="V13" i="28"/>
  <c r="AA13" i="28"/>
  <c r="AJ13" i="28"/>
  <c r="I13" i="28"/>
  <c r="AH13" i="28"/>
  <c r="AE13" i="28"/>
  <c r="AI13" i="28"/>
  <c r="AM13" i="28"/>
  <c r="AC13" i="28"/>
  <c r="P13" i="28"/>
  <c r="AP13" i="28"/>
  <c r="AS13" i="28"/>
  <c r="O13" i="28"/>
  <c r="I8" i="28"/>
  <c r="I9" i="28" s="1"/>
  <c r="M25" i="25"/>
  <c r="N25" i="25"/>
  <c r="O12" i="25"/>
  <c r="O14" i="25" s="1"/>
  <c r="I14" i="25"/>
  <c r="AA10" i="25"/>
  <c r="Z10" i="25"/>
  <c r="J16" i="15"/>
  <c r="C18" i="15"/>
  <c r="F18" i="15"/>
  <c r="E18" i="15" s="1"/>
  <c r="O11" i="25"/>
  <c r="N14" i="25" s="1"/>
  <c r="O21" i="25"/>
  <c r="P20" i="25"/>
  <c r="P14" i="12"/>
  <c r="N14" i="12"/>
  <c r="E8" i="22"/>
  <c r="E11" i="22" s="1"/>
  <c r="M16" i="24"/>
  <c r="C16" i="24"/>
  <c r="G18" i="24"/>
  <c r="G17" i="24"/>
  <c r="E18" i="24"/>
  <c r="E17" i="24"/>
  <c r="F16" i="24"/>
  <c r="D16" i="24" s="1"/>
  <c r="D18" i="24" s="1"/>
  <c r="G16" i="24"/>
  <c r="G15" i="24"/>
  <c r="E16" i="24"/>
  <c r="F15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F14" i="15"/>
  <c r="M13" i="15"/>
  <c r="K13" i="15"/>
  <c r="N12" i="15"/>
  <c r="O12" i="15" s="1"/>
  <c r="W5" i="15"/>
  <c r="X5" i="15" s="1"/>
  <c r="I18" i="12"/>
  <c r="C18" i="12"/>
  <c r="I17" i="12"/>
  <c r="C17" i="12"/>
  <c r="C16" i="12"/>
  <c r="P13" i="12"/>
  <c r="N13" i="12"/>
  <c r="Q12" i="12"/>
  <c r="Z5" i="12"/>
  <c r="AA5" i="12" s="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F7" i="22"/>
  <c r="F8" i="22" s="1"/>
  <c r="J8" i="28" l="1"/>
  <c r="J9" i="28" s="1"/>
  <c r="K17" i="15"/>
  <c r="K15" i="15"/>
  <c r="K14" i="15"/>
  <c r="K16" i="15" s="1"/>
  <c r="J14" i="15"/>
  <c r="F16" i="15"/>
  <c r="M16" i="15" s="1"/>
  <c r="M22" i="15" s="1"/>
  <c r="M14" i="15"/>
  <c r="M15" i="15"/>
  <c r="B18" i="15"/>
  <c r="P12" i="15"/>
  <c r="O13" i="15"/>
  <c r="N13" i="15"/>
  <c r="N15" i="12"/>
  <c r="N19" i="12" s="1"/>
  <c r="N18" i="12"/>
  <c r="N17" i="12"/>
  <c r="N16" i="12"/>
  <c r="Q11" i="25"/>
  <c r="Q12" i="25" s="1"/>
  <c r="O22" i="25"/>
  <c r="O26" i="25" s="1"/>
  <c r="F14" i="25"/>
  <c r="D14" i="25" s="1"/>
  <c r="C14" i="25"/>
  <c r="P21" i="25"/>
  <c r="Q20" i="25"/>
  <c r="C18" i="24"/>
  <c r="N24" i="24"/>
  <c r="V24" i="24"/>
  <c r="AD24" i="24"/>
  <c r="O24" i="24"/>
  <c r="W24" i="24"/>
  <c r="AE24" i="24"/>
  <c r="AM24" i="24"/>
  <c r="AU24" i="24"/>
  <c r="X24" i="24"/>
  <c r="AF24" i="24"/>
  <c r="AV24" i="24"/>
  <c r="P24" i="24"/>
  <c r="AN24" i="24"/>
  <c r="Q24" i="24"/>
  <c r="Y24" i="24"/>
  <c r="AG24" i="24"/>
  <c r="AO24" i="24"/>
  <c r="AW24" i="24"/>
  <c r="AA24" i="24"/>
  <c r="AI24" i="24"/>
  <c r="AT24" i="24"/>
  <c r="R24" i="24"/>
  <c r="Z24" i="24"/>
  <c r="AH24" i="24"/>
  <c r="AP24" i="24"/>
  <c r="M24" i="24"/>
  <c r="S24" i="24"/>
  <c r="AQ24" i="24"/>
  <c r="T24" i="24"/>
  <c r="AB24" i="24"/>
  <c r="AJ24" i="24"/>
  <c r="AR24" i="24"/>
  <c r="U24" i="24"/>
  <c r="AC24" i="24"/>
  <c r="AK24" i="24"/>
  <c r="AS24" i="24"/>
  <c r="AL24" i="24"/>
  <c r="P23" i="24"/>
  <c r="AF23" i="24"/>
  <c r="AV23" i="24"/>
  <c r="Q23" i="24"/>
  <c r="Y23" i="24"/>
  <c r="AG23" i="24"/>
  <c r="AG25" i="24" s="1"/>
  <c r="AO23" i="24"/>
  <c r="AW23" i="24"/>
  <c r="I15" i="24"/>
  <c r="I17" i="24" s="1"/>
  <c r="O17" i="24" s="1"/>
  <c r="AA23" i="24"/>
  <c r="AA25" i="24" s="1"/>
  <c r="AI23" i="24"/>
  <c r="T23" i="24"/>
  <c r="AJ23" i="24"/>
  <c r="U23" i="24"/>
  <c r="AS23" i="24"/>
  <c r="AS25" i="24" s="1"/>
  <c r="V23" i="24"/>
  <c r="O23" i="24"/>
  <c r="AE23" i="24"/>
  <c r="M23" i="24"/>
  <c r="R23" i="24"/>
  <c r="Z23" i="24"/>
  <c r="AH23" i="24"/>
  <c r="AH25" i="24" s="1"/>
  <c r="AP23" i="24"/>
  <c r="S23" i="24"/>
  <c r="S25" i="24" s="1"/>
  <c r="AQ23" i="24"/>
  <c r="AB23" i="24"/>
  <c r="AR23" i="24"/>
  <c r="AR25" i="24" s="1"/>
  <c r="AC23" i="24"/>
  <c r="AK23" i="24"/>
  <c r="AK25" i="24" s="1"/>
  <c r="N23" i="24"/>
  <c r="AD23" i="24"/>
  <c r="AL23" i="24"/>
  <c r="AL25" i="24" s="1"/>
  <c r="AT23" i="24"/>
  <c r="W23" i="24"/>
  <c r="AM23" i="24"/>
  <c r="AU23" i="24"/>
  <c r="AU25" i="24" s="1"/>
  <c r="X23" i="24"/>
  <c r="X25" i="24" s="1"/>
  <c r="AN23" i="24"/>
  <c r="P17" i="12"/>
  <c r="Q13" i="12"/>
  <c r="Q14" i="12"/>
  <c r="R12" i="12"/>
  <c r="S12" i="12"/>
  <c r="S13" i="12"/>
  <c r="O15" i="24"/>
  <c r="H15" i="24"/>
  <c r="F18" i="24"/>
  <c r="E10" i="22"/>
  <c r="F9" i="22"/>
  <c r="F10" i="22"/>
  <c r="F11" i="22"/>
  <c r="G7" i="22"/>
  <c r="G8" i="22" s="1"/>
  <c r="E9" i="22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C12" i="13" s="1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R11" i="25" l="1"/>
  <c r="T11" i="25" s="1"/>
  <c r="U12" i="25" s="1"/>
  <c r="Q13" i="25"/>
  <c r="K8" i="28"/>
  <c r="K9" i="28" s="1"/>
  <c r="O25" i="25"/>
  <c r="M21" i="15"/>
  <c r="K23" i="15"/>
  <c r="K21" i="15"/>
  <c r="K22" i="15"/>
  <c r="N14" i="15"/>
  <c r="N15" i="15"/>
  <c r="N16" i="15"/>
  <c r="N22" i="15" s="1"/>
  <c r="O14" i="15"/>
  <c r="O15" i="15"/>
  <c r="O16" i="15"/>
  <c r="O22" i="15" s="1"/>
  <c r="Q12" i="15"/>
  <c r="P13" i="15"/>
  <c r="P22" i="25"/>
  <c r="P26" i="25" s="1"/>
  <c r="R20" i="25"/>
  <c r="Q21" i="25"/>
  <c r="W25" i="24"/>
  <c r="AB25" i="24"/>
  <c r="AE25" i="24"/>
  <c r="AF25" i="24"/>
  <c r="V25" i="24"/>
  <c r="AW25" i="24"/>
  <c r="AD25" i="24"/>
  <c r="AP25" i="24"/>
  <c r="AO25" i="24"/>
  <c r="N25" i="24"/>
  <c r="U25" i="24"/>
  <c r="AC25" i="24"/>
  <c r="R25" i="24"/>
  <c r="AT25" i="24"/>
  <c r="AQ25" i="24"/>
  <c r="O25" i="24"/>
  <c r="P25" i="24"/>
  <c r="AN25" i="24"/>
  <c r="Z25" i="24"/>
  <c r="AJ25" i="24"/>
  <c r="Y25" i="24"/>
  <c r="T25" i="24"/>
  <c r="Q25" i="24"/>
  <c r="AM25" i="24"/>
  <c r="M25" i="24"/>
  <c r="AI25" i="24"/>
  <c r="AV25" i="24"/>
  <c r="H18" i="24"/>
  <c r="I18" i="24"/>
  <c r="Q15" i="12"/>
  <c r="Q18" i="12"/>
  <c r="Q16" i="12"/>
  <c r="T12" i="12"/>
  <c r="S14" i="12"/>
  <c r="R13" i="12"/>
  <c r="R14" i="12"/>
  <c r="K21" i="17"/>
  <c r="M15" i="24"/>
  <c r="H17" i="24"/>
  <c r="H7" i="22"/>
  <c r="H8" i="22" s="1"/>
  <c r="K30" i="17"/>
  <c r="E11" i="17"/>
  <c r="E6" i="17"/>
  <c r="E14" i="17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  <c r="S12" i="25" l="1"/>
  <c r="L8" i="28"/>
  <c r="L9" i="28" s="1"/>
  <c r="P25" i="25"/>
  <c r="K18" i="15"/>
  <c r="P14" i="15"/>
  <c r="P15" i="15"/>
  <c r="P16" i="15"/>
  <c r="P22" i="15" s="1"/>
  <c r="O21" i="15"/>
  <c r="N21" i="15"/>
  <c r="R12" i="15"/>
  <c r="Q13" i="15"/>
  <c r="S20" i="25"/>
  <c r="R21" i="25"/>
  <c r="Q22" i="25"/>
  <c r="Q26" i="25" s="1"/>
  <c r="S15" i="12"/>
  <c r="S18" i="12"/>
  <c r="S17" i="12"/>
  <c r="S16" i="12"/>
  <c r="R15" i="12"/>
  <c r="R18" i="12"/>
  <c r="R17" i="12"/>
  <c r="R16" i="12"/>
  <c r="Q19" i="12"/>
  <c r="T14" i="12"/>
  <c r="U12" i="12"/>
  <c r="T13" i="12"/>
  <c r="F17" i="24"/>
  <c r="D17" i="24" s="1"/>
  <c r="C17" i="24"/>
  <c r="M17" i="24"/>
  <c r="Q15" i="24" s="1"/>
  <c r="Q16" i="24" s="1"/>
  <c r="R15" i="24" s="1"/>
  <c r="I7" i="22"/>
  <c r="I8" i="22" s="1"/>
  <c r="G10" i="22"/>
  <c r="G9" i="22"/>
  <c r="G11" i="22"/>
  <c r="M8" i="28" l="1"/>
  <c r="M9" i="28" s="1"/>
  <c r="Q25" i="25"/>
  <c r="T5" i="15"/>
  <c r="X6" i="15" s="1"/>
  <c r="T6" i="15"/>
  <c r="W6" i="15" s="1"/>
  <c r="Q14" i="15"/>
  <c r="Q15" i="15"/>
  <c r="Q16" i="15"/>
  <c r="Q22" i="15" s="1"/>
  <c r="S12" i="15"/>
  <c r="R13" i="15"/>
  <c r="P21" i="15"/>
  <c r="R22" i="25"/>
  <c r="R26" i="25" s="1"/>
  <c r="T20" i="25"/>
  <c r="S21" i="25"/>
  <c r="R19" i="12"/>
  <c r="T17" i="12"/>
  <c r="T15" i="12"/>
  <c r="T18" i="12"/>
  <c r="T16" i="12"/>
  <c r="S19" i="12"/>
  <c r="U14" i="12"/>
  <c r="V12" i="12"/>
  <c r="U13" i="12"/>
  <c r="S16" i="24"/>
  <c r="T15" i="24"/>
  <c r="U16" i="24" s="1"/>
  <c r="J7" i="22"/>
  <c r="J8" i="22" s="1"/>
  <c r="H11" i="22"/>
  <c r="H10" i="22"/>
  <c r="H9" i="22"/>
  <c r="N8" i="28" l="1"/>
  <c r="N9" i="28" s="1"/>
  <c r="R25" i="25"/>
  <c r="T7" i="15"/>
  <c r="R14" i="15"/>
  <c r="R15" i="15"/>
  <c r="R16" i="15"/>
  <c r="R22" i="15" s="1"/>
  <c r="S13" i="15"/>
  <c r="T12" i="15"/>
  <c r="Q21" i="15"/>
  <c r="U20" i="25"/>
  <c r="T21" i="25"/>
  <c r="S22" i="25"/>
  <c r="S26" i="25" s="1"/>
  <c r="U18" i="12"/>
  <c r="U15" i="12"/>
  <c r="U17" i="12"/>
  <c r="U16" i="12"/>
  <c r="T19" i="12"/>
  <c r="V14" i="12"/>
  <c r="W12" i="12"/>
  <c r="V13" i="12"/>
  <c r="K7" i="22"/>
  <c r="K8" i="22" s="1"/>
  <c r="I11" i="22"/>
  <c r="I10" i="22"/>
  <c r="I9" i="22"/>
  <c r="O8" i="28" l="1"/>
  <c r="O9" i="28" s="1"/>
  <c r="S25" i="25"/>
  <c r="S14" i="15"/>
  <c r="S15" i="15"/>
  <c r="S16" i="15"/>
  <c r="S22" i="15" s="1"/>
  <c r="R21" i="15"/>
  <c r="U12" i="15"/>
  <c r="T13" i="15"/>
  <c r="T22" i="25"/>
  <c r="T26" i="25" s="1"/>
  <c r="U21" i="25"/>
  <c r="V20" i="25"/>
  <c r="V18" i="12"/>
  <c r="V15" i="12"/>
  <c r="V17" i="12"/>
  <c r="V16" i="12"/>
  <c r="U19" i="12"/>
  <c r="W14" i="12"/>
  <c r="X12" i="12"/>
  <c r="W13" i="12"/>
  <c r="L7" i="22"/>
  <c r="L8" i="22" s="1"/>
  <c r="J10" i="22"/>
  <c r="J11" i="22"/>
  <c r="J9" i="22"/>
  <c r="T25" i="25" l="1"/>
  <c r="P8" i="28"/>
  <c r="P9" i="28" s="1"/>
  <c r="T14" i="15"/>
  <c r="T15" i="15"/>
  <c r="T16" i="15"/>
  <c r="T22" i="15" s="1"/>
  <c r="S21" i="15"/>
  <c r="V12" i="15"/>
  <c r="U13" i="15"/>
  <c r="U22" i="25"/>
  <c r="U26" i="25" s="1"/>
  <c r="V21" i="25"/>
  <c r="W20" i="25"/>
  <c r="W17" i="12"/>
  <c r="W15" i="12"/>
  <c r="W18" i="12"/>
  <c r="W16" i="12"/>
  <c r="V19" i="12"/>
  <c r="X14" i="12"/>
  <c r="Y12" i="12"/>
  <c r="X13" i="12"/>
  <c r="M7" i="22"/>
  <c r="M8" i="22" s="1"/>
  <c r="K9" i="22"/>
  <c r="K11" i="22"/>
  <c r="K10" i="22"/>
  <c r="Q8" i="28" l="1"/>
  <c r="Q9" i="28" s="1"/>
  <c r="U25" i="25"/>
  <c r="U14" i="15"/>
  <c r="U15" i="15"/>
  <c r="U16" i="15"/>
  <c r="U22" i="15" s="1"/>
  <c r="T21" i="15"/>
  <c r="W12" i="15"/>
  <c r="V13" i="15"/>
  <c r="V22" i="25"/>
  <c r="V26" i="25" s="1"/>
  <c r="W21" i="25"/>
  <c r="X20" i="25"/>
  <c r="W19" i="12"/>
  <c r="X15" i="12"/>
  <c r="X17" i="12"/>
  <c r="X18" i="12"/>
  <c r="X16" i="12"/>
  <c r="Y14" i="12"/>
  <c r="Z12" i="12"/>
  <c r="Y13" i="12"/>
  <c r="N7" i="22"/>
  <c r="N8" i="22" s="1"/>
  <c r="L11" i="22"/>
  <c r="L10" i="22"/>
  <c r="L9" i="22"/>
  <c r="R8" i="28" l="1"/>
  <c r="R9" i="28" s="1"/>
  <c r="V25" i="25"/>
  <c r="V14" i="15"/>
  <c r="V15" i="15"/>
  <c r="V16" i="15"/>
  <c r="V22" i="15" s="1"/>
  <c r="U21" i="15"/>
  <c r="X12" i="15"/>
  <c r="W13" i="15"/>
  <c r="W22" i="25"/>
  <c r="W26" i="25" s="1"/>
  <c r="X21" i="25"/>
  <c r="Y20" i="25"/>
  <c r="Y18" i="12"/>
  <c r="Y17" i="12"/>
  <c r="Y15" i="12"/>
  <c r="Y16" i="12"/>
  <c r="X19" i="12"/>
  <c r="Z14" i="12"/>
  <c r="Z13" i="12"/>
  <c r="AA12" i="12"/>
  <c r="M10" i="22"/>
  <c r="M9" i="22"/>
  <c r="M11" i="22"/>
  <c r="O7" i="22"/>
  <c r="O8" i="22" s="1"/>
  <c r="S8" i="28" l="1"/>
  <c r="S9" i="28" s="1"/>
  <c r="W25" i="25"/>
  <c r="W15" i="15"/>
  <c r="W14" i="15"/>
  <c r="W16" i="15"/>
  <c r="W22" i="15" s="1"/>
  <c r="V21" i="15"/>
  <c r="Y12" i="15"/>
  <c r="X13" i="15"/>
  <c r="X22" i="25"/>
  <c r="X26" i="25" s="1"/>
  <c r="Z20" i="25"/>
  <c r="Y21" i="25"/>
  <c r="Y19" i="12"/>
  <c r="Z18" i="12"/>
  <c r="Z17" i="12"/>
  <c r="Z15" i="12"/>
  <c r="Z16" i="12"/>
  <c r="AA14" i="12"/>
  <c r="AA13" i="12"/>
  <c r="AB12" i="12"/>
  <c r="P7" i="22"/>
  <c r="P8" i="22" s="1"/>
  <c r="N9" i="22"/>
  <c r="N11" i="22"/>
  <c r="N10" i="22"/>
  <c r="T8" i="28" l="1"/>
  <c r="T9" i="28" s="1"/>
  <c r="X25" i="25"/>
  <c r="X14" i="15"/>
  <c r="X15" i="15"/>
  <c r="X16" i="15"/>
  <c r="X22" i="15" s="1"/>
  <c r="W21" i="15"/>
  <c r="Z12" i="15"/>
  <c r="Y13" i="15"/>
  <c r="AA20" i="25"/>
  <c r="Z21" i="25"/>
  <c r="Y22" i="25"/>
  <c r="Y26" i="25" s="1"/>
  <c r="AA15" i="12"/>
  <c r="AA17" i="12"/>
  <c r="AA18" i="12"/>
  <c r="AA16" i="12"/>
  <c r="Z19" i="12"/>
  <c r="AB14" i="12"/>
  <c r="AC12" i="12"/>
  <c r="AB13" i="12"/>
  <c r="Q7" i="22"/>
  <c r="Q8" i="22" s="1"/>
  <c r="O9" i="22"/>
  <c r="O11" i="22"/>
  <c r="O10" i="22"/>
  <c r="U8" i="28" l="1"/>
  <c r="U9" i="28" s="1"/>
  <c r="Y25" i="25"/>
  <c r="Y14" i="15"/>
  <c r="Y15" i="15"/>
  <c r="Y16" i="15"/>
  <c r="Y22" i="15" s="1"/>
  <c r="X21" i="15"/>
  <c r="AA12" i="15"/>
  <c r="Z13" i="15"/>
  <c r="Z22" i="25"/>
  <c r="Z26" i="25" s="1"/>
  <c r="AB20" i="25"/>
  <c r="AA21" i="25"/>
  <c r="AB18" i="12"/>
  <c r="AB15" i="12"/>
  <c r="AB17" i="12"/>
  <c r="AB16" i="12"/>
  <c r="AA19" i="12"/>
  <c r="AC14" i="12"/>
  <c r="AC13" i="12"/>
  <c r="AD12" i="12"/>
  <c r="R7" i="22"/>
  <c r="R8" i="22" s="1"/>
  <c r="P11" i="22"/>
  <c r="P9" i="22"/>
  <c r="P10" i="22"/>
  <c r="V8" i="28" l="1"/>
  <c r="V9" i="28" s="1"/>
  <c r="Z25" i="25"/>
  <c r="Z14" i="15"/>
  <c r="Z15" i="15"/>
  <c r="Z16" i="15"/>
  <c r="Z22" i="15" s="1"/>
  <c r="Y21" i="15"/>
  <c r="AA13" i="15"/>
  <c r="AB12" i="15"/>
  <c r="AC20" i="25"/>
  <c r="AB21" i="25"/>
  <c r="AA22" i="25"/>
  <c r="AA26" i="25" s="1"/>
  <c r="AC15" i="12"/>
  <c r="AC18" i="12"/>
  <c r="AC17" i="12"/>
  <c r="AC16" i="12"/>
  <c r="AB19" i="12"/>
  <c r="AD14" i="12"/>
  <c r="AE12" i="12"/>
  <c r="AD13" i="12"/>
  <c r="Q11" i="22"/>
  <c r="Q10" i="22"/>
  <c r="Q9" i="22"/>
  <c r="S7" i="22"/>
  <c r="S8" i="22" s="1"/>
  <c r="W8" i="28" l="1"/>
  <c r="W9" i="28" s="1"/>
  <c r="AA25" i="25"/>
  <c r="AA14" i="15"/>
  <c r="AA15" i="15"/>
  <c r="AA16" i="15"/>
  <c r="AA22" i="15" s="1"/>
  <c r="Z21" i="15"/>
  <c r="AC12" i="15"/>
  <c r="AB13" i="15"/>
  <c r="AB22" i="25"/>
  <c r="AB26" i="25" s="1"/>
  <c r="AC21" i="25"/>
  <c r="AD20" i="25"/>
  <c r="AC19" i="12"/>
  <c r="AD15" i="12"/>
  <c r="AD18" i="12"/>
  <c r="AD17" i="12"/>
  <c r="AD16" i="12"/>
  <c r="AE14" i="12"/>
  <c r="AF12" i="12"/>
  <c r="AE13" i="12"/>
  <c r="R10" i="22"/>
  <c r="R11" i="22"/>
  <c r="R9" i="22"/>
  <c r="T7" i="22"/>
  <c r="T8" i="22" s="1"/>
  <c r="X8" i="28" l="1"/>
  <c r="X9" i="28" s="1"/>
  <c r="AB25" i="25"/>
  <c r="AB14" i="15"/>
  <c r="AB15" i="15"/>
  <c r="AB16" i="15"/>
  <c r="AA21" i="15"/>
  <c r="AD12" i="15"/>
  <c r="AC13" i="15"/>
  <c r="AC22" i="25"/>
  <c r="AC26" i="25" s="1"/>
  <c r="AD21" i="25"/>
  <c r="AE20" i="25"/>
  <c r="AE17" i="12"/>
  <c r="AE15" i="12"/>
  <c r="AE18" i="12"/>
  <c r="AE16" i="12"/>
  <c r="AD19" i="12"/>
  <c r="AF14" i="12"/>
  <c r="AF13" i="12"/>
  <c r="AG12" i="12"/>
  <c r="U7" i="22"/>
  <c r="U8" i="22" s="1"/>
  <c r="S11" i="22"/>
  <c r="S9" i="22"/>
  <c r="S10" i="22"/>
  <c r="Y8" i="28" l="1"/>
  <c r="Y9" i="28" s="1"/>
  <c r="AC25" i="25"/>
  <c r="AC14" i="15"/>
  <c r="AC15" i="15"/>
  <c r="AC16" i="15"/>
  <c r="AC22" i="15" s="1"/>
  <c r="AB22" i="15"/>
  <c r="AB21" i="15"/>
  <c r="AE12" i="15"/>
  <c r="AD13" i="15"/>
  <c r="AE21" i="25"/>
  <c r="AF20" i="25"/>
  <c r="AD22" i="25"/>
  <c r="AD26" i="25" s="1"/>
  <c r="AE19" i="12"/>
  <c r="AF17" i="12"/>
  <c r="AF15" i="12"/>
  <c r="AF18" i="12"/>
  <c r="AF16" i="12"/>
  <c r="AG14" i="12"/>
  <c r="AH12" i="12"/>
  <c r="AG13" i="12"/>
  <c r="V7" i="22"/>
  <c r="V8" i="22" s="1"/>
  <c r="T11" i="22"/>
  <c r="T10" i="22"/>
  <c r="T9" i="22"/>
  <c r="AD25" i="25" l="1"/>
  <c r="Z8" i="28"/>
  <c r="Z9" i="28" s="1"/>
  <c r="AD14" i="15"/>
  <c r="AD15" i="15"/>
  <c r="AD16" i="15"/>
  <c r="AD22" i="15" s="1"/>
  <c r="AC21" i="15"/>
  <c r="AF12" i="15"/>
  <c r="AE13" i="15"/>
  <c r="AF21" i="25"/>
  <c r="AG20" i="25"/>
  <c r="AE22" i="25"/>
  <c r="AE26" i="25" s="1"/>
  <c r="AG18" i="12"/>
  <c r="AG17" i="12"/>
  <c r="AG15" i="12"/>
  <c r="AG16" i="12"/>
  <c r="AF19" i="12"/>
  <c r="AH14" i="12"/>
  <c r="AH13" i="12"/>
  <c r="AI12" i="12"/>
  <c r="U10" i="22"/>
  <c r="U9" i="22"/>
  <c r="U11" i="22"/>
  <c r="W7" i="22"/>
  <c r="W8" i="22" s="1"/>
  <c r="AE25" i="25" l="1"/>
  <c r="AA8" i="28"/>
  <c r="AA9" i="28" s="1"/>
  <c r="AE14" i="15"/>
  <c r="AE15" i="15"/>
  <c r="AE16" i="15"/>
  <c r="AE22" i="15" s="1"/>
  <c r="AD21" i="15"/>
  <c r="AG12" i="15"/>
  <c r="AF13" i="15"/>
  <c r="AH20" i="25"/>
  <c r="AG21" i="25"/>
  <c r="AF22" i="25"/>
  <c r="AF26" i="25" s="1"/>
  <c r="AH17" i="12"/>
  <c r="AH18" i="12"/>
  <c r="AH15" i="12"/>
  <c r="AH16" i="12"/>
  <c r="AG19" i="12"/>
  <c r="AI14" i="12"/>
  <c r="AI13" i="12"/>
  <c r="AJ12" i="12"/>
  <c r="X7" i="22"/>
  <c r="X8" i="22" s="1"/>
  <c r="V9" i="22"/>
  <c r="V10" i="22"/>
  <c r="V11" i="22"/>
  <c r="AB8" i="28" l="1"/>
  <c r="AB9" i="28" s="1"/>
  <c r="AF25" i="25"/>
  <c r="AF14" i="15"/>
  <c r="AF15" i="15"/>
  <c r="AF16" i="15"/>
  <c r="AF22" i="15" s="1"/>
  <c r="AE21" i="15"/>
  <c r="AH12" i="15"/>
  <c r="AG13" i="15"/>
  <c r="AG22" i="25"/>
  <c r="AG26" i="25" s="1"/>
  <c r="AI20" i="25"/>
  <c r="AH21" i="25"/>
  <c r="AI15" i="12"/>
  <c r="AI17" i="12"/>
  <c r="AI18" i="12"/>
  <c r="AI16" i="12"/>
  <c r="AH19" i="12"/>
  <c r="AJ14" i="12"/>
  <c r="AK12" i="12"/>
  <c r="AJ13" i="12"/>
  <c r="Y7" i="22"/>
  <c r="Y8" i="22" s="1"/>
  <c r="W10" i="22"/>
  <c r="W11" i="22"/>
  <c r="W9" i="22"/>
  <c r="AC8" i="28" l="1"/>
  <c r="AC9" i="28" s="1"/>
  <c r="AG25" i="25"/>
  <c r="AG14" i="15"/>
  <c r="AG15" i="15"/>
  <c r="AG16" i="15"/>
  <c r="AG22" i="15" s="1"/>
  <c r="AF21" i="15"/>
  <c r="AI12" i="15"/>
  <c r="AH13" i="15"/>
  <c r="AH22" i="25"/>
  <c r="AH26" i="25" s="1"/>
  <c r="AJ20" i="25"/>
  <c r="AI21" i="25"/>
  <c r="AI19" i="12"/>
  <c r="AJ15" i="12"/>
  <c r="AJ17" i="12"/>
  <c r="AJ18" i="12"/>
  <c r="AJ16" i="12"/>
  <c r="AK14" i="12"/>
  <c r="AK13" i="12"/>
  <c r="AL12" i="12"/>
  <c r="X11" i="22"/>
  <c r="X10" i="22"/>
  <c r="X9" i="22"/>
  <c r="Z7" i="22"/>
  <c r="Z8" i="22" s="1"/>
  <c r="AD8" i="28" l="1"/>
  <c r="AD9" i="28" s="1"/>
  <c r="AH25" i="25"/>
  <c r="AH14" i="15"/>
  <c r="AH15" i="15"/>
  <c r="AH16" i="15"/>
  <c r="AH22" i="15" s="1"/>
  <c r="AI13" i="15"/>
  <c r="AJ12" i="15"/>
  <c r="AG21" i="15"/>
  <c r="AI22" i="25"/>
  <c r="AI26" i="25" s="1"/>
  <c r="AK20" i="25"/>
  <c r="AJ21" i="25"/>
  <c r="AK18" i="12"/>
  <c r="AK15" i="12"/>
  <c r="AK17" i="12"/>
  <c r="AK16" i="12"/>
  <c r="AJ19" i="12"/>
  <c r="AL14" i="12"/>
  <c r="AM12" i="12"/>
  <c r="AL13" i="12"/>
  <c r="AA7" i="22"/>
  <c r="AA8" i="22" s="1"/>
  <c r="Y11" i="22"/>
  <c r="Y10" i="22"/>
  <c r="Y9" i="22"/>
  <c r="AE8" i="28" l="1"/>
  <c r="AE9" i="28" s="1"/>
  <c r="AI25" i="25"/>
  <c r="AI14" i="15"/>
  <c r="AI15" i="15"/>
  <c r="AI16" i="15"/>
  <c r="AI22" i="15" s="1"/>
  <c r="AH21" i="15"/>
  <c r="AK12" i="15"/>
  <c r="AJ13" i="15"/>
  <c r="AJ22" i="25"/>
  <c r="AJ26" i="25" s="1"/>
  <c r="AK21" i="25"/>
  <c r="AL20" i="25"/>
  <c r="AL18" i="12"/>
  <c r="AL15" i="12"/>
  <c r="AL17" i="12"/>
  <c r="AL16" i="12"/>
  <c r="AK19" i="12"/>
  <c r="AM14" i="12"/>
  <c r="AN12" i="12"/>
  <c r="AM13" i="12"/>
  <c r="AB7" i="22"/>
  <c r="AB8" i="22" s="1"/>
  <c r="Z10" i="22"/>
  <c r="Z11" i="22"/>
  <c r="Z9" i="22"/>
  <c r="AF8" i="28" l="1"/>
  <c r="AF9" i="28" s="1"/>
  <c r="AJ25" i="25"/>
  <c r="AJ14" i="15"/>
  <c r="AJ15" i="15"/>
  <c r="AJ16" i="15"/>
  <c r="AI21" i="15"/>
  <c r="AL12" i="15"/>
  <c r="AK13" i="15"/>
  <c r="AL21" i="25"/>
  <c r="AM20" i="25"/>
  <c r="AK22" i="25"/>
  <c r="AK26" i="25" s="1"/>
  <c r="AL19" i="12"/>
  <c r="AM17" i="12"/>
  <c r="AM15" i="12"/>
  <c r="AM18" i="12"/>
  <c r="AM16" i="12"/>
  <c r="AN14" i="12"/>
  <c r="AN13" i="12"/>
  <c r="AO12" i="12"/>
  <c r="AC7" i="22"/>
  <c r="AC8" i="22" s="1"/>
  <c r="AA9" i="22"/>
  <c r="AA11" i="22"/>
  <c r="AA10" i="22"/>
  <c r="AK25" i="25" l="1"/>
  <c r="AG8" i="28"/>
  <c r="AG9" i="28" s="1"/>
  <c r="AK14" i="15"/>
  <c r="AK15" i="15"/>
  <c r="AK16" i="15"/>
  <c r="AJ22" i="15"/>
  <c r="AJ21" i="15"/>
  <c r="AM12" i="15"/>
  <c r="AL13" i="15"/>
  <c r="AM21" i="25"/>
  <c r="AN20" i="25"/>
  <c r="AL22" i="25"/>
  <c r="AL26" i="25" s="1"/>
  <c r="AM19" i="12"/>
  <c r="AN17" i="12"/>
  <c r="AN15" i="12"/>
  <c r="AN18" i="12"/>
  <c r="AN16" i="12"/>
  <c r="AO14" i="12"/>
  <c r="AP12" i="12"/>
  <c r="AO13" i="12"/>
  <c r="AB11" i="22"/>
  <c r="AB10" i="22"/>
  <c r="AB9" i="22"/>
  <c r="AD7" i="22"/>
  <c r="AD8" i="22" s="1"/>
  <c r="AL25" i="25" l="1"/>
  <c r="AH8" i="28"/>
  <c r="AH9" i="28" s="1"/>
  <c r="AK22" i="15"/>
  <c r="AL14" i="15"/>
  <c r="AL15" i="15"/>
  <c r="AL16" i="15"/>
  <c r="AL22" i="15" s="1"/>
  <c r="AK21" i="15"/>
  <c r="AN12" i="15"/>
  <c r="AM13" i="15"/>
  <c r="AM22" i="25"/>
  <c r="AM26" i="25" s="1"/>
  <c r="AN21" i="25"/>
  <c r="AO20" i="25"/>
  <c r="AN19" i="12"/>
  <c r="AO18" i="12"/>
  <c r="AO17" i="12"/>
  <c r="AO15" i="12"/>
  <c r="AO16" i="12"/>
  <c r="AP14" i="12"/>
  <c r="AQ12" i="12"/>
  <c r="AP13" i="12"/>
  <c r="AC10" i="22"/>
  <c r="AC11" i="22"/>
  <c r="AC9" i="22"/>
  <c r="AE7" i="22"/>
  <c r="AE8" i="22" s="1"/>
  <c r="AI8" i="28" l="1"/>
  <c r="AI9" i="28" s="1"/>
  <c r="AM25" i="25"/>
  <c r="AM15" i="15"/>
  <c r="AM14" i="15"/>
  <c r="AM16" i="15"/>
  <c r="AL21" i="15"/>
  <c r="AO12" i="15"/>
  <c r="AN13" i="15"/>
  <c r="AP20" i="25"/>
  <c r="AO21" i="25"/>
  <c r="AN22" i="25"/>
  <c r="AN26" i="25" s="1"/>
  <c r="AP18" i="12"/>
  <c r="AP17" i="12"/>
  <c r="AP15" i="12"/>
  <c r="AP16" i="12"/>
  <c r="AO19" i="12"/>
  <c r="AQ14" i="12"/>
  <c r="AR12" i="12"/>
  <c r="AQ13" i="12"/>
  <c r="AF7" i="22"/>
  <c r="AF8" i="22" s="1"/>
  <c r="AD9" i="22"/>
  <c r="AD11" i="22"/>
  <c r="AD10" i="22"/>
  <c r="AN25" i="25" l="1"/>
  <c r="AJ8" i="28"/>
  <c r="AJ9" i="28" s="1"/>
  <c r="AN14" i="15"/>
  <c r="AN15" i="15"/>
  <c r="AN16" i="15"/>
  <c r="AN22" i="15" s="1"/>
  <c r="AM22" i="15"/>
  <c r="AM21" i="15"/>
  <c r="AP12" i="15"/>
  <c r="AO13" i="15"/>
  <c r="AO22" i="25"/>
  <c r="AO26" i="25" s="1"/>
  <c r="AQ20" i="25"/>
  <c r="AP21" i="25"/>
  <c r="AQ15" i="12"/>
  <c r="AQ18" i="12"/>
  <c r="AQ17" i="12"/>
  <c r="AQ16" i="12"/>
  <c r="AP19" i="12"/>
  <c r="AR14" i="12"/>
  <c r="AS12" i="12"/>
  <c r="AR13" i="12"/>
  <c r="AG7" i="22"/>
  <c r="AG8" i="22" s="1"/>
  <c r="AE9" i="22"/>
  <c r="AE11" i="22"/>
  <c r="AE10" i="22"/>
  <c r="AK8" i="28" l="1"/>
  <c r="AK9" i="28" s="1"/>
  <c r="AO25" i="25"/>
  <c r="AO14" i="15"/>
  <c r="AO15" i="15"/>
  <c r="AO16" i="15"/>
  <c r="AO22" i="15" s="1"/>
  <c r="AN21" i="15"/>
  <c r="AQ12" i="15"/>
  <c r="AP13" i="15"/>
  <c r="AR20" i="25"/>
  <c r="AQ21" i="25"/>
  <c r="AP22" i="25"/>
  <c r="AP26" i="25" s="1"/>
  <c r="AR18" i="12"/>
  <c r="AR15" i="12"/>
  <c r="AR17" i="12"/>
  <c r="AR16" i="12"/>
  <c r="AQ19" i="12"/>
  <c r="AS14" i="12"/>
  <c r="AS13" i="12"/>
  <c r="AT12" i="12"/>
  <c r="AH7" i="22"/>
  <c r="AH8" i="22" s="1"/>
  <c r="AF11" i="22"/>
  <c r="AF9" i="22"/>
  <c r="AF10" i="22"/>
  <c r="AL8" i="28" l="1"/>
  <c r="AL9" i="28" s="1"/>
  <c r="AP25" i="25"/>
  <c r="AP14" i="15"/>
  <c r="AP15" i="15"/>
  <c r="AP16" i="15"/>
  <c r="AP22" i="15" s="1"/>
  <c r="AQ13" i="15"/>
  <c r="AR12" i="15"/>
  <c r="AO21" i="15"/>
  <c r="AQ22" i="25"/>
  <c r="AQ26" i="25" s="1"/>
  <c r="AS20" i="25"/>
  <c r="AR21" i="25"/>
  <c r="AR19" i="12"/>
  <c r="AS18" i="12"/>
  <c r="AS15" i="12"/>
  <c r="AS17" i="12"/>
  <c r="AS16" i="12"/>
  <c r="AT14" i="12"/>
  <c r="AU12" i="12"/>
  <c r="AT13" i="12"/>
  <c r="AG11" i="22"/>
  <c r="AG10" i="22"/>
  <c r="AG9" i="22"/>
  <c r="AI7" i="22"/>
  <c r="AI8" i="22" s="1"/>
  <c r="AM8" i="28" l="1"/>
  <c r="AM9" i="28" s="1"/>
  <c r="AQ25" i="25"/>
  <c r="AQ14" i="15"/>
  <c r="AQ15" i="15"/>
  <c r="AQ16" i="15"/>
  <c r="AQ22" i="15" s="1"/>
  <c r="AP21" i="15"/>
  <c r="AS12" i="15"/>
  <c r="AR13" i="15"/>
  <c r="AS21" i="25"/>
  <c r="AT20" i="25"/>
  <c r="AR22" i="25"/>
  <c r="AR26" i="25" s="1"/>
  <c r="AS19" i="12"/>
  <c r="AT18" i="12"/>
  <c r="AT15" i="12"/>
  <c r="AT17" i="12"/>
  <c r="AT16" i="12"/>
  <c r="AU14" i="12"/>
  <c r="AV12" i="12"/>
  <c r="AU13" i="12"/>
  <c r="AJ7" i="22"/>
  <c r="AJ8" i="22" s="1"/>
  <c r="AH10" i="22"/>
  <c r="AH11" i="22"/>
  <c r="AH9" i="22"/>
  <c r="AN8" i="28" l="1"/>
  <c r="AN9" i="28" s="1"/>
  <c r="AR25" i="25"/>
  <c r="AR14" i="15"/>
  <c r="AR15" i="15"/>
  <c r="AR16" i="15"/>
  <c r="AR22" i="15" s="1"/>
  <c r="AQ21" i="15"/>
  <c r="AT12" i="15"/>
  <c r="AS13" i="15"/>
  <c r="AT21" i="25"/>
  <c r="AU20" i="25"/>
  <c r="AS22" i="25"/>
  <c r="AS26" i="25" s="1"/>
  <c r="AT19" i="12"/>
  <c r="AU17" i="12"/>
  <c r="AU15" i="12"/>
  <c r="AU18" i="12"/>
  <c r="AU16" i="12"/>
  <c r="AV14" i="12"/>
  <c r="AV13" i="12"/>
  <c r="AW12" i="12"/>
  <c r="AK7" i="22"/>
  <c r="AK8" i="22" s="1"/>
  <c r="AI9" i="22"/>
  <c r="AI11" i="22"/>
  <c r="AI10" i="22"/>
  <c r="AO8" i="28" l="1"/>
  <c r="AO9" i="28" s="1"/>
  <c r="AS25" i="25"/>
  <c r="AS14" i="15"/>
  <c r="AS15" i="15"/>
  <c r="AS16" i="15"/>
  <c r="AS22" i="15" s="1"/>
  <c r="AR21" i="15"/>
  <c r="AU12" i="15"/>
  <c r="AT13" i="15"/>
  <c r="AU21" i="25"/>
  <c r="AV20" i="25"/>
  <c r="AT22" i="25"/>
  <c r="AT26" i="25" s="1"/>
  <c r="AU19" i="12"/>
  <c r="AV15" i="12"/>
  <c r="AV17" i="12"/>
  <c r="AV18" i="12"/>
  <c r="AV16" i="12"/>
  <c r="AW14" i="12"/>
  <c r="AX12" i="12"/>
  <c r="AW13" i="12"/>
  <c r="AL7" i="22"/>
  <c r="AL8" i="22" s="1"/>
  <c r="AJ11" i="22"/>
  <c r="AJ10" i="22"/>
  <c r="AJ9" i="22"/>
  <c r="AT25" i="25" l="1"/>
  <c r="AP8" i="28"/>
  <c r="AP9" i="28" s="1"/>
  <c r="AT14" i="15"/>
  <c r="AT15" i="15"/>
  <c r="AT16" i="15"/>
  <c r="AT22" i="15" s="1"/>
  <c r="AS21" i="15"/>
  <c r="AV12" i="15"/>
  <c r="AU13" i="15"/>
  <c r="AV21" i="25"/>
  <c r="AW20" i="25"/>
  <c r="AU22" i="25"/>
  <c r="AU26" i="25" s="1"/>
  <c r="AW18" i="12"/>
  <c r="AW17" i="12"/>
  <c r="AW15" i="12"/>
  <c r="AW16" i="12"/>
  <c r="AV19" i="12"/>
  <c r="AX14" i="12"/>
  <c r="AY12" i="12"/>
  <c r="AX13" i="12"/>
  <c r="AK10" i="22"/>
  <c r="AK9" i="22"/>
  <c r="AK11" i="22"/>
  <c r="AM7" i="22"/>
  <c r="AM8" i="22" s="1"/>
  <c r="AW21" i="25" l="1"/>
  <c r="AU25" i="25"/>
  <c r="AQ8" i="28"/>
  <c r="AQ9" i="28" s="1"/>
  <c r="AU15" i="15"/>
  <c r="AU14" i="15"/>
  <c r="AU16" i="15"/>
  <c r="AU22" i="15" s="1"/>
  <c r="AT21" i="15"/>
  <c r="AW12" i="15"/>
  <c r="AV13" i="15"/>
  <c r="AW22" i="25"/>
  <c r="AW26" i="25" s="1"/>
  <c r="AV22" i="25"/>
  <c r="AV26" i="25" s="1"/>
  <c r="AW19" i="12"/>
  <c r="AX17" i="12"/>
  <c r="AX18" i="12"/>
  <c r="AX15" i="12"/>
  <c r="AX16" i="12"/>
  <c r="AY14" i="12"/>
  <c r="AZ12" i="12"/>
  <c r="AY13" i="12"/>
  <c r="AN7" i="22"/>
  <c r="AN8" i="22" s="1"/>
  <c r="AL11" i="22"/>
  <c r="AL9" i="22"/>
  <c r="AL10" i="22"/>
  <c r="AR8" i="28" l="1"/>
  <c r="AR9" i="28" s="1"/>
  <c r="AV25" i="25"/>
  <c r="AW25" i="25"/>
  <c r="AV14" i="15"/>
  <c r="AV15" i="15"/>
  <c r="AV16" i="15"/>
  <c r="AV22" i="15" s="1"/>
  <c r="AU21" i="15"/>
  <c r="AX12" i="15"/>
  <c r="AW13" i="15"/>
  <c r="AX19" i="12"/>
  <c r="AY15" i="12"/>
  <c r="AY17" i="12"/>
  <c r="AY18" i="12"/>
  <c r="AY16" i="12"/>
  <c r="AZ14" i="12"/>
  <c r="BA12" i="12"/>
  <c r="AZ13" i="12"/>
  <c r="AO7" i="22"/>
  <c r="AO8" i="22" s="1"/>
  <c r="AM9" i="22"/>
  <c r="AM10" i="22"/>
  <c r="AM11" i="22"/>
  <c r="AS8" i="28" l="1"/>
  <c r="AS9" i="28" s="1"/>
  <c r="AW14" i="15"/>
  <c r="AW15" i="15"/>
  <c r="AW16" i="15"/>
  <c r="AW22" i="15" s="1"/>
  <c r="AV21" i="15"/>
  <c r="AY12" i="15"/>
  <c r="AY13" i="15" s="1"/>
  <c r="AX13" i="15"/>
  <c r="AY19" i="12"/>
  <c r="AZ17" i="12"/>
  <c r="AZ15" i="12"/>
  <c r="AZ18" i="12"/>
  <c r="AZ16" i="12"/>
  <c r="BA14" i="12"/>
  <c r="BA13" i="12"/>
  <c r="BB12" i="12"/>
  <c r="AP7" i="22"/>
  <c r="AP8" i="22" s="1"/>
  <c r="AN11" i="22"/>
  <c r="AN10" i="22"/>
  <c r="AN9" i="22"/>
  <c r="AT8" i="28" l="1"/>
  <c r="AX14" i="15"/>
  <c r="AX15" i="15"/>
  <c r="AX16" i="15"/>
  <c r="AY14" i="15"/>
  <c r="AY15" i="15"/>
  <c r="AY16" i="15"/>
  <c r="AY22" i="15" s="1"/>
  <c r="AW21" i="15"/>
  <c r="AZ19" i="12"/>
  <c r="BA15" i="12"/>
  <c r="BA18" i="12"/>
  <c r="BA17" i="12"/>
  <c r="BA16" i="12"/>
  <c r="BB13" i="12"/>
  <c r="BB14" i="12"/>
  <c r="AQ7" i="22"/>
  <c r="AQ8" i="22" s="1"/>
  <c r="AO11" i="22"/>
  <c r="AO10" i="22"/>
  <c r="AO9" i="22"/>
  <c r="AT9" i="28" l="1"/>
  <c r="AX22" i="15"/>
  <c r="AX21" i="15"/>
  <c r="AY21" i="15"/>
  <c r="AD6" i="15" s="1"/>
  <c r="BB15" i="12"/>
  <c r="BB18" i="12"/>
  <c r="BB17" i="12"/>
  <c r="BB16" i="12"/>
  <c r="BA19" i="12"/>
  <c r="AR7" i="22"/>
  <c r="AR8" i="22" s="1"/>
  <c r="AP10" i="22"/>
  <c r="AP11" i="22"/>
  <c r="AP9" i="22"/>
  <c r="AC6" i="15" l="1"/>
  <c r="BB19" i="12"/>
  <c r="AS7" i="22"/>
  <c r="AS8" i="22" s="1"/>
  <c r="AQ9" i="22"/>
  <c r="AQ11" i="22"/>
  <c r="AQ10" i="22"/>
  <c r="Z5" i="28" l="1"/>
  <c r="AA5" i="28"/>
  <c r="AS11" i="22"/>
  <c r="AS10" i="22"/>
  <c r="AS9" i="22"/>
  <c r="AR11" i="22"/>
  <c r="AR10" i="22"/>
  <c r="AR9" i="22"/>
  <c r="W5" i="12"/>
  <c r="W6" i="12"/>
  <c r="W7" i="12" l="1"/>
  <c r="AA6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2" authorId="0" shapeId="0" xr:uid="{97F7A776-1182-419E-B3DA-6E3E2CD0FB09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3" authorId="0" shapeId="0" xr:uid="{3D6889FB-1A92-488F-B8F3-7F0A10EB7A0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<sst xmlns="http://schemas.openxmlformats.org/spreadsheetml/2006/main" count="929" uniqueCount="580">
  <si>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</si>
  <si>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</si>
  <si>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</si>
  <si>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</si>
  <si>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</si>
  <si>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</si>
  <si>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</si>
  <si>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</si>
  <si>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</si>
  <si>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</si>
  <si>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</si>
  <si>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</si>
  <si>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</si>
  <si>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</si>
  <si>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</si>
  <si>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</si>
  <si>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</si>
  <si>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</si>
  <si>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</si>
  <si>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</si>
  <si>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</si>
  <si>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</si>
  <si>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</si>
  <si>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</si>
  <si>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</si>
  <si>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</si>
  <si>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</si>
  <si>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</si>
  <si>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</si>
  <si>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</si>
  <si>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</si>
  <si>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</si>
  <si>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</si>
  <si>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</si>
  <si>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</si>
  <si>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</si>
  <si>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</si>
  <si>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</si>
  <si>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</si>
  <si>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</si>
  <si>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</si>
  <si>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</si>
  <si>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</si>
  <si>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</si>
  <si>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</si>
  <si>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</si>
  <si>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</si>
  <si>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</si>
  <si>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</si>
  <si>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</si>
  <si>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</si>
  <si>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</si>
  <si>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</si>
  <si>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</si>
  <si>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</si>
  <si>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</si>
  <si>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</si>
  <si>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</si>
  <si>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</si>
  <si>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</si>
  <si>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</si>
  <si>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</si>
  <si>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</si>
  <si>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</si>
  <si>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</si>
  <si>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</si>
  <si>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</si>
  <si>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</si>
  <si>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</si>
  <si>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</si>
  <si>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</si>
  <si>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</si>
  <si>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</si>
  <si>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</si>
  <si>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</si>
  <si>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</si>
  <si>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</si>
  <si>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</si>
  <si>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</si>
  <si>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</si>
  <si>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</si>
  <si>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</si>
  <si>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</si>
  <si>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</si>
  <si>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</si>
  <si>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</si>
  <si>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</si>
  <si>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</si>
  <si>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</si>
  <si>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</si>
  <si>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</si>
  <si>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</si>
  <si>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</si>
  <si>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</si>
  <si>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</si>
  <si>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</si>
  <si>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</si>
  <si>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</si>
  <si>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</si>
  <si>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</si>
  <si>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</si>
  <si>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</si>
  <si>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</si>
  <si>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</si>
  <si>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</si>
  <si>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</si>
  <si>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</si>
  <si>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</si>
  <si>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</si>
  <si>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</si>
  <si>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</si>
  <si>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</si>
  <si>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</si>
  <si>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</si>
  <si>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</si>
  <si>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</si>
  <si>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</si>
  <si>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</si>
  <si>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</si>
  <si>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</si>
  <si>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</si>
  <si>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</si>
  <si>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</si>
  <si>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</si>
  <si>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</si>
  <si>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</si>
  <si>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</si>
  <si>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</si>
  <si>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</si>
  <si>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</si>
  <si>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</si>
  <si>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</si>
  <si>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</si>
  <si>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</si>
  <si>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</si>
  <si>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</si>
  <si>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</si>
  <si>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</si>
  <si>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</si>
  <si>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</si>
  <si>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</si>
  <si>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</si>
  <si>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</si>
  <si>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</si>
  <si>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</si>
  <si>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</si>
  <si>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</si>
  <si>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</si>
  <si>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</si>
  <si>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</si>
  <si>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</si>
  <si>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</si>
  <si>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</si>
  <si>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</si>
  <si>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</si>
  <si>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</si>
  <si>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</si>
  <si>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</si>
  <si>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</si>
  <si>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</si>
  <si>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</si>
  <si>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</si>
  <si>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</si>
  <si>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</si>
  <si>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</si>
  <si>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</si>
  <si>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</si>
  <si>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</si>
  <si>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</si>
  <si>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</si>
  <si>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</si>
  <si>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</si>
  <si>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</si>
  <si>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</si>
  <si>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</si>
  <si>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</si>
  <si>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</si>
  <si>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</si>
  <si>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</si>
  <si>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</si>
  <si>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</si>
  <si>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</si>
  <si>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</si>
  <si>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</si>
  <si>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</si>
  <si>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</si>
  <si>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</si>
  <si>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</si>
  <si>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</si>
  <si>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</si>
  <si>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</si>
  <si>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</si>
  <si>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</si>
  <si>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</si>
  <si>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</si>
  <si>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</si>
  <si>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</si>
  <si>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</si>
  <si>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</si>
  <si>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</si>
  <si>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</si>
  <si>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</si>
  <si>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</si>
  <si>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</si>
  <si>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</si>
  <si>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</si>
  <si>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</si>
  <si>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</si>
  <si>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</si>
  <si>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</si>
  <si>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</si>
  <si>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</si>
  <si>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</si>
  <si>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</si>
  <si>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</si>
  <si>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</si>
  <si>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</si>
  <si>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</si>
  <si>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</si>
  <si>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</si>
  <si>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</si>
  <si>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</si>
  <si>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</si>
  <si>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</si>
  <si>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</si>
  <si>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</si>
  <si>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</si>
  <si>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</si>
  <si>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</si>
  <si>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</si>
  <si>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</si>
  <si>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</si>
  <si>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</si>
  <si>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</si>
  <si>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</si>
  <si>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</si>
  <si>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</si>
  <si>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</si>
  <si>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</si>
  <si>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</si>
  <si>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</si>
  <si>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</si>
  <si>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</si>
  <si>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</si>
  <si>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</si>
  <si>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</si>
  <si>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</si>
  <si>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</si>
  <si>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</si>
  <si>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</si>
  <si>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</si>
  <si>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</si>
  <si>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</si>
  <si>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</si>
  <si>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</si>
  <si>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</si>
  <si>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</si>
  <si>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</si>
  <si>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</si>
  <si>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</si>
  <si>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</si>
  <si>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</si>
  <si>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</si>
  <si>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</si>
  <si>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</si>
  <si>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</si>
  <si>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</si>
  <si>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</si>
  <si>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</si>
  <si>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</si>
  <si>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</si>
  <si>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</si>
  <si>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</si>
  <si>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</si>
  <si>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</si>
  <si>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</si>
  <si>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</si>
  <si>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</si>
  <si>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</si>
  <si>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</si>
  <si>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</si>
  <si>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</si>
  <si>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</si>
  <si>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</si>
  <si>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</si>
  <si>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</si>
  <si>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</si>
  <si>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</si>
  <si>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</si>
  <si>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</si>
  <si>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</si>
  <si>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</si>
  <si>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</si>
  <si>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</si>
  <si>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</si>
  <si>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</si>
  <si>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</si>
  <si>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</si>
  <si>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</si>
  <si>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</si>
  <si>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</si>
  <si>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</si>
  <si>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</si>
  <si>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</si>
  <si>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</si>
  <si>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</si>
  <si>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</si>
  <si>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</si>
  <si>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</si>
  <si>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</si>
  <si>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</si>
  <si>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</si>
  <si>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</si>
  <si>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</si>
  <si>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</si>
  <si>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</si>
  <si>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</si>
  <si>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</si>
  <si>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</si>
  <si>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</si>
  <si>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</si>
  <si>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</si>
  <si>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</si>
  <si>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</si>
  <si>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</si>
  <si>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</si>
  <si>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</si>
  <si>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</si>
  <si>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</si>
  <si>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</si>
  <si>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</si>
  <si>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</si>
  <si>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</si>
  <si>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</si>
  <si>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</si>
  <si>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</si>
  <si>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</si>
  <si>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</si>
  <si>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</si>
  <si>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</si>
  <si>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</si>
  <si>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</si>
  <si>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</si>
  <si>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</si>
  <si>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</si>
  <si>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</si>
  <si>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</si>
  <si>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</si>
  <si>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</si>
  <si>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</si>
  <si>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</si>
  <si>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</si>
  <si>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</si>
  <si>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</si>
  <si>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</si>
  <si>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</si>
  <si>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</si>
  <si>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</si>
  <si>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</si>
  <si>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</si>
  <si>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</si>
  <si>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</si>
  <si>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</si>
  <si>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</si>
  <si>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</si>
  <si>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</si>
  <si>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</si>
  <si>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</si>
  <si>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</si>
  <si>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</si>
  <si>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</si>
  <si>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</si>
  <si>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</si>
  <si>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</si>
  <si>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</si>
  <si>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</si>
  <si>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</si>
  <si>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</si>
  <si>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</si>
  <si>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</si>
  <si>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</si>
  <si>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</si>
  <si>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</si>
  <si>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</si>
  <si>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</si>
  <si>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</si>
  <si>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</si>
  <si>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</si>
  <si>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</si>
  <si>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</si>
  <si>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</si>
  <si>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</si>
  <si>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</si>
  <si>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</si>
  <si>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</si>
  <si>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</si>
  <si>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</si>
  <si>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</si>
  <si>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</si>
  <si>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</si>
  <si>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</si>
  <si>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</si>
  <si>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</si>
  <si>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</si>
  <si>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</si>
  <si>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</si>
  <si>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</si>
  <si>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</si>
  <si>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</si>
  <si>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</si>
  <si>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</si>
  <si>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</si>
  <si>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</si>
  <si>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</si>
  <si>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</si>
  <si>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</si>
  <si>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</si>
  <si>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</si>
  <si>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</si>
  <si>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</si>
  <si>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</si>
  <si>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</si>
  <si>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</si>
  <si>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</si>
  <si>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</si>
  <si>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</si>
  <si>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</si>
  <si>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</si>
  <si>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</si>
  <si>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</si>
  <si>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</si>
  <si>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</si>
  <si>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</si>
  <si>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</si>
  <si>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</si>
  <si>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</si>
  <si>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</si>
  <si>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</si>
  <si>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</si>
  <si>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</si>
  <si>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</si>
  <si>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</si>
  <si>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</si>
  <si>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</si>
  <si>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</si>
  <si>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</si>
  <si>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</si>
  <si>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2</t>
    </r>
  </si>
  <si>
    <t>T
Periodendauer [s]</t>
  </si>
  <si>
    <t xml:space="preserve">x = phi [°] = </t>
  </si>
  <si>
    <t xml:space="preserve">x = phi [rad] = </t>
  </si>
  <si>
    <t>ω
(2 * π * f )</t>
  </si>
  <si>
    <t>Grundfrequenz:</t>
  </si>
  <si>
    <t>Verhältnis zur
Grundfrequenz
Oberwelle</t>
  </si>
  <si>
    <t xml:space="preserve">t = </t>
  </si>
  <si>
    <t>y(t) = a * sin(2πf​* t + φ) =  a * sin(ω​* t + φ)</t>
  </si>
  <si>
    <t>L1</t>
  </si>
  <si>
    <t>L2</t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</si>
  <si>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</si>
  <si>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3-Phasenstrom (Verkettete Spannung)</t>
  </si>
  <si>
    <r>
      <t>L</t>
    </r>
    <r>
      <rPr>
        <vertAlign val="subscript"/>
        <sz val="9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</si>
  <si>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</si>
  <si>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Eingangsspannung:</t>
  </si>
  <si>
    <t>Strom:</t>
  </si>
  <si>
    <t>Momentanleistung:</t>
  </si>
  <si>
    <t>U(t)=Û⋅sin(ωt)</t>
  </si>
  <si>
    <t>I(t)=Î⋅sin(ωt+φ)</t>
  </si>
  <si>
    <t>P(t)=U(t)⋅I(t) = Û⋅sin(ωt) * Î⋅sin(ωt+φ)</t>
  </si>
  <si>
    <t>sin(a) * sin(b) = 1/2​[cos(a−b) − cos(a+b)]</t>
  </si>
  <si>
    <t>Additionstheoremen:</t>
  </si>
  <si>
    <t>Eingesetzt:</t>
  </si>
  <si>
    <t>cos(-φ) = cos(φ)</t>
  </si>
  <si>
    <r>
      <t>U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Û/Wurzel(2)</t>
    </r>
  </si>
  <si>
    <r>
      <t>I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Î/Wurzel(2)</t>
    </r>
  </si>
  <si>
    <r>
      <t xml:space="preserve">Die </t>
    </r>
    <r>
      <rPr>
        <b/>
        <sz val="11"/>
        <color theme="1"/>
        <rFont val="Calibri"/>
        <family val="2"/>
        <scheme val="minor"/>
      </rPr>
      <t>mittlere Leistung über eine Periode T</t>
    </r>
    <r>
      <rPr>
        <sz val="11"/>
        <color theme="1"/>
        <rFont val="Calibri"/>
        <family val="2"/>
        <scheme val="minor"/>
      </rPr>
      <t xml:space="preserve"> ergibt sich durch Mittelung von p(t):</t>
    </r>
  </si>
  <si>
    <r>
      <t>P(t) =U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I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[cos(φ) - cos(2ωt+φ)]</t>
    </r>
  </si>
  <si>
    <r>
      <t xml:space="preserve">Die zweite Komponente </t>
    </r>
    <r>
      <rPr>
        <b/>
        <sz val="11"/>
        <color theme="1"/>
        <rFont val="Calibri"/>
        <family val="2"/>
        <scheme val="minor"/>
      </rPr>
      <t xml:space="preserve">cos(2ωt+φ) </t>
    </r>
    <r>
      <rPr>
        <sz val="11"/>
        <color theme="1"/>
        <rFont val="Calibri"/>
        <family val="2"/>
        <scheme val="minor"/>
      </rPr>
      <t xml:space="preserve">hat über eine volle Periode den Mittelwert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</si>
  <si>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r>
      <t xml:space="preserve">P(t) = 1/2 *  Û* Î * [cos(ωt-ωt-φ) - cos(ωt+ωt+φ)] = 1/2 *  Û* Î * [cos(-φ) - cos(2ωt+φ)] = </t>
    </r>
    <r>
      <rPr>
        <sz val="14"/>
        <color theme="1"/>
        <rFont val="Calibri"/>
        <family val="2"/>
        <scheme val="minor"/>
      </rPr>
      <t>1/2 *  Û* Î * [cos(φ) - cos(2ωt+φ)]</t>
    </r>
  </si>
  <si>
    <t>Frequenz Strom und Spannung sind gleich</t>
  </si>
  <si>
    <t>Phasenlage Spannung wird als Referenz = 0 angenommen</t>
  </si>
  <si>
    <t>U</t>
  </si>
  <si>
    <t>Scheinleistung S [VA] - Blindleistung Q [var] - Wirkleistung P [W]</t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</si>
  <si>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phasen gleich mit U</t>
    </r>
  </si>
  <si>
    <r>
      <t>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90° gegen U</t>
    </r>
  </si>
  <si>
    <t xml:space="preserve">I = IP + IQ = </t>
  </si>
  <si>
    <t xml:space="preserve">Scheinleistung S = U *I = </t>
  </si>
  <si>
    <r>
      <t>Blindleistung Q = U *I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</t>
    </r>
  </si>
  <si>
    <r>
      <t>Wirkleistung P = U *I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</t>
    </r>
  </si>
  <si>
    <t>x-Achse:</t>
  </si>
  <si>
    <t>y-Achse:</t>
  </si>
  <si>
    <t>y = a * sin(x + c)</t>
  </si>
  <si>
    <t xml:space="preserve">cos(30°) = </t>
  </si>
  <si>
    <t xml:space="preserve">WURZEL(3)/2 = </t>
  </si>
  <si>
    <t xml:space="preserve">sin(60°) = </t>
  </si>
  <si>
    <t xml:space="preserve">cos(60°) = </t>
  </si>
  <si>
    <t xml:space="preserve">cos(45°) = </t>
  </si>
  <si>
    <t xml:space="preserve">1/WURZEL(2) = </t>
  </si>
  <si>
    <r>
      <t>Vertikale L</t>
    </r>
    <r>
      <rPr>
        <vertAlign val="subscript"/>
        <sz val="11"/>
        <color theme="1"/>
        <rFont val="Calibri"/>
        <family val="2"/>
        <scheme val="minor"/>
      </rPr>
      <t>2V</t>
    </r>
  </si>
  <si>
    <r>
      <t>Horizontale L2</t>
    </r>
    <r>
      <rPr>
        <vertAlign val="subscript"/>
        <sz val="11"/>
        <color theme="1"/>
        <rFont val="Calibri"/>
        <family val="2"/>
        <scheme val="minor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</si>
  <si>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L</t>
    </r>
    <r>
      <rPr>
        <vertAlign val="subscript"/>
        <sz val="11"/>
        <color theme="1"/>
        <rFont val="Calibri"/>
        <family val="2"/>
        <scheme val="minor"/>
      </rPr>
      <t>2H</t>
    </r>
    <r>
      <rPr>
        <sz val="11"/>
        <color theme="1"/>
        <rFont val="Calibri"/>
        <family val="2"/>
        <scheme val="minor"/>
      </rPr>
      <t xml:space="preserve"> = </t>
    </r>
  </si>
  <si>
    <r>
      <t>L</t>
    </r>
    <r>
      <rPr>
        <vertAlign val="subscript"/>
        <sz val="11"/>
        <color theme="1"/>
        <rFont val="Calibri"/>
        <family val="2"/>
        <scheme val="minor"/>
      </rPr>
      <t>2V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</si>
  <si>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  <r>
      <rPr>
        <sz val="11"/>
        <color theme="0" tint="-0.14999847407452621"/>
        <rFont val="Calibri"/>
        <family val="2"/>
        <scheme val="minor"/>
      </rPr>
      <t xml:space="preserve"> = </t>
    </r>
  </si>
  <si>
    <t>230 *(sin(x) - sin(x + 120°)</t>
  </si>
  <si>
    <t>Trigonometrischen Theoreme und Identitäten</t>
  </si>
  <si>
    <t>Polygone-Fläche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</si>
  <si>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</si>
  <si>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</si>
  <si>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-s</t>
    </r>
    <r>
      <rPr>
        <vertAlign val="subscript"/>
        <sz val="11"/>
        <color theme="1"/>
        <rFont val="Calibri"/>
        <family val="2"/>
        <scheme val="minor"/>
      </rPr>
      <t>2</t>
    </r>
  </si>
  <si>
    <t>Fläche</t>
  </si>
  <si>
    <t>P1</t>
  </si>
  <si>
    <t>P2</t>
  </si>
  <si>
    <t>P3</t>
  </si>
  <si>
    <t>P4</t>
  </si>
  <si>
    <t>Punkte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</si>
  <si>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</si>
  <si>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</si>
  <si>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</si>
  <si>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</si>
  <si>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</si>
  <si>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</si>
  <si>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</si>
  <si>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</si>
  <si>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</si>
  <si>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</si>
  <si>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r>
      <t>s</t>
    </r>
    <r>
      <rPr>
        <vertAlign val="subscript"/>
        <sz val="11"/>
        <color theme="1"/>
        <rFont val="Calibri"/>
        <family val="2"/>
        <scheme val="minor"/>
      </rPr>
      <t>1x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</si>
  <si>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s2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</si>
  <si>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t>def polygon_area_and_centroid(points):</t>
  </si>
  <si>
    <t xml:space="preserve">    """</t>
  </si>
  <si>
    <t xml:space="preserve">    Berechnet die Fläche und den Schwerpunkt eines Polygons.</t>
  </si>
  <si>
    <t xml:space="preserve">    </t>
  </si>
  <si>
    <t xml:space="preserve">    Parameter:</t>
  </si>
  <si>
    <t xml:space="preserve">        points (list of tuple): Liste von (x, y)-Koordinaten in Reihenfolge.</t>
  </si>
  <si>
    <t xml:space="preserve">        </t>
  </si>
  <si>
    <t xml:space="preserve">    Rückgabe:</t>
  </si>
  <si>
    <t xml:space="preserve">        area (float): Fläche des Polygons.</t>
  </si>
  <si>
    <t xml:space="preserve">        centroid (tuple): (x_s, y_s) - Koordinaten des Schwerpunkts.</t>
  </si>
  <si>
    <t xml:space="preserve">    n = len(points)</t>
  </si>
  <si>
    <t xml:space="preserve">    if n &lt; 3:</t>
  </si>
  <si>
    <t xml:space="preserve">        raise ValueError("Ein Polygon muss mindestens 3 Punkte haben.")</t>
  </si>
  <si>
    <t xml:space="preserve">    # Punkte schließen, d.h. ersten Punkt ans Ende hängen</t>
  </si>
  <si>
    <t xml:space="preserve">    points = points + [points[0]]</t>
  </si>
  <si>
    <t xml:space="preserve">    area = 0</t>
  </si>
  <si>
    <t xml:space="preserve">    cx = 0</t>
  </si>
  <si>
    <t xml:space="preserve">    cy = 0</t>
  </si>
  <si>
    <t xml:space="preserve">    for i in range(n):</t>
  </si>
  <si>
    <t xml:space="preserve">        x0, y0 = points[i]</t>
  </si>
  <si>
    <t xml:space="preserve">        x1, y1 = points[i + 1]</t>
  </si>
  <si>
    <t xml:space="preserve">        cross = x0 * y1 - x1 * y0</t>
  </si>
  <si>
    <t xml:space="preserve">        area += cross</t>
  </si>
  <si>
    <t xml:space="preserve">        cx += (x0 + x1) * cross</t>
  </si>
  <si>
    <t xml:space="preserve">        cy += (y0 + y1) * cross</t>
  </si>
  <si>
    <t xml:space="preserve">    area *= 0.5</t>
  </si>
  <si>
    <t xml:space="preserve">    if area == 0:</t>
  </si>
  <si>
    <t xml:space="preserve">        raise ValueError("Fläche ist 0 – evtl. liegen alle Punkte auf einer Linie?")</t>
  </si>
  <si>
    <t xml:space="preserve">    cx /= (6 * area)</t>
  </si>
  <si>
    <t xml:space="preserve">    cy /= (6 * area)</t>
  </si>
  <si>
    <t xml:space="preserve">    return abs(area), (cx, cy)</t>
  </si>
  <si>
    <t>punkte = [(0, 0), (4, 0), (2, 3)]</t>
  </si>
  <si>
    <t>fläche, schwerpunkt = polygon_area_and_centroid(punkte)</t>
  </si>
  <si>
    <t>print("Fläche:", fläche)</t>
  </si>
  <si>
    <t>print("Schwerpunkt:", schwerpunkt)</t>
  </si>
  <si>
    <t>Fläche: 6.0</t>
  </si>
  <si>
    <t>Schwerpunkt: (2.0, 1.0)</t>
  </si>
  <si>
    <t xml:space="preserve">Û = </t>
  </si>
  <si>
    <t xml:space="preserve">Î = </t>
  </si>
  <si>
    <r>
      <rPr>
        <sz val="11"/>
        <color theme="1"/>
        <rFont val="Aptos Narrow"/>
        <family val="2"/>
      </rPr>
      <t>φ</t>
    </r>
    <r>
      <rPr>
        <vertAlign val="subscript"/>
        <sz val="11"/>
        <color theme="1"/>
        <rFont val="Calibri"/>
        <family val="2"/>
      </rPr>
      <t>U</t>
    </r>
    <r>
      <rPr>
        <sz val="11"/>
        <color theme="1"/>
        <rFont val="Calibri"/>
        <family val="2"/>
      </rPr>
      <t xml:space="preserve"> = </t>
    </r>
  </si>
  <si>
    <t xml:space="preserve">°  = </t>
  </si>
  <si>
    <t>[V]</t>
  </si>
  <si>
    <t>[A]</t>
  </si>
  <si>
    <r>
      <rPr>
        <sz val="11"/>
        <color theme="1"/>
        <rFont val="Aptos Narrow"/>
        <family val="2"/>
      </rPr>
      <t>φ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= </t>
    </r>
  </si>
  <si>
    <t>[W]</t>
  </si>
  <si>
    <r>
      <t>U(t) = U</t>
    </r>
    <r>
      <rPr>
        <vertAlign val="subscript"/>
        <sz val="14"/>
        <color rgb="FF00B0F0"/>
        <rFont val="Calibri"/>
        <family val="2"/>
        <scheme val="minor"/>
      </rPr>
      <t>Momentan</t>
    </r>
    <r>
      <rPr>
        <sz val="14"/>
        <color rgb="FF00B0F0"/>
        <rFont val="Calibri"/>
        <family val="2"/>
        <scheme val="minor"/>
      </rPr>
      <t xml:space="preserve"> = </t>
    </r>
  </si>
  <si>
    <r>
      <t>I(t) = I</t>
    </r>
    <r>
      <rPr>
        <vertAlign val="subscript"/>
        <sz val="14"/>
        <color rgb="FFFF0000"/>
        <rFont val="Calibri"/>
        <family val="2"/>
        <scheme val="minor"/>
      </rPr>
      <t>Momentan</t>
    </r>
    <r>
      <rPr>
        <sz val="14"/>
        <color rgb="FFFF0000"/>
        <rFont val="Calibri"/>
        <family val="2"/>
        <scheme val="minor"/>
      </rPr>
      <t xml:space="preserve"> = </t>
    </r>
  </si>
  <si>
    <r>
      <t>Û * sin(x + φ</t>
    </r>
    <r>
      <rPr>
        <vertAlign val="subscript"/>
        <sz val="16"/>
        <color rgb="FF00B0F0"/>
        <rFont val="Calibri"/>
        <family val="2"/>
        <scheme val="minor"/>
      </rPr>
      <t>U</t>
    </r>
    <r>
      <rPr>
        <sz val="16"/>
        <color rgb="FF00B0F0"/>
        <rFont val="Calibri"/>
        <family val="2"/>
        <scheme val="minor"/>
      </rPr>
      <t>)</t>
    </r>
  </si>
  <si>
    <r>
      <t>Î * sin(x + φ</t>
    </r>
    <r>
      <rPr>
        <vertAlign val="subscript"/>
        <sz val="16"/>
        <color rgb="FFFF0000"/>
        <rFont val="Calibri"/>
        <family val="2"/>
        <scheme val="minor"/>
      </rPr>
      <t>I</t>
    </r>
    <r>
      <rPr>
        <sz val="16"/>
        <color rgb="FFFF0000"/>
        <rFont val="Calibri"/>
        <family val="2"/>
        <scheme val="minor"/>
      </rPr>
      <t>)</t>
    </r>
  </si>
  <si>
    <r>
      <t>P(t) = P</t>
    </r>
    <r>
      <rPr>
        <vertAlign val="subscript"/>
        <sz val="14"/>
        <color rgb="FFFFC000"/>
        <rFont val="Calibri"/>
        <family val="2"/>
        <scheme val="minor"/>
      </rPr>
      <t>Momentan</t>
    </r>
    <r>
      <rPr>
        <sz val="14"/>
        <color rgb="FFFFC000"/>
        <rFont val="Calibri"/>
        <family val="2"/>
        <scheme val="minor"/>
      </rPr>
      <t xml:space="preserve"> =</t>
    </r>
  </si>
  <si>
    <r>
      <rPr>
        <sz val="16"/>
        <color rgb="FF00B0F0"/>
        <rFont val="Calibri"/>
        <family val="2"/>
        <scheme val="minor"/>
      </rPr>
      <t>U(t)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*</t>
    </r>
    <r>
      <rPr>
        <sz val="16"/>
        <color rgb="FFFF0000"/>
        <rFont val="Calibri"/>
        <family val="2"/>
        <scheme val="minor"/>
      </rPr>
      <t xml:space="preserve"> I(t)</t>
    </r>
  </si>
  <si>
    <t>L3</t>
  </si>
  <si>
    <r>
      <t>L</t>
    </r>
    <r>
      <rPr>
        <vertAlign val="subscript"/>
        <sz val="9"/>
        <color theme="0"/>
        <rFont val="Calibri"/>
        <family val="2"/>
        <scheme val="minor"/>
      </rPr>
      <t>2</t>
    </r>
  </si>
  <si>
    <t>Begriffe und Leistung bei  ein-phasigem Wechselstrom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</si>
</sst>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  <numFmt numFmtId="169" formatCode="0.0000"/>
    <numFmt numFmtId="170" formatCode="0.00000"/>
  </numFmts>
  <fonts count="8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sz val="11"/>
      <color theme="1"/>
      <name val="Consolas"/>
      <family val="3"/>
    </font>
    <font>
      <vertAlign val="subscript"/>
      <sz val="11"/>
      <color theme="1"/>
      <name val="Calibri"/>
      <family val="2"/>
    </font>
    <font>
      <sz val="14"/>
      <color rgb="FF00B0F0"/>
      <name val="Calibri"/>
      <family val="2"/>
      <scheme val="minor"/>
    </font>
    <font>
      <vertAlign val="subscript"/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bscript"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6"/>
      <color rgb="FFFF0000"/>
      <name val="Calibri"/>
      <family val="2"/>
      <scheme val="minor"/>
    </font>
    <font>
      <sz val="14"/>
      <color rgb="FFFFC000"/>
      <name val="Calibri"/>
      <family val="2"/>
      <scheme val="minor"/>
    </font>
    <font>
      <vertAlign val="subscript"/>
      <sz val="14"/>
      <color rgb="FFFFC000"/>
      <name val="Calibri"/>
      <family val="2"/>
      <scheme val="minor"/>
    </font>
    <font>
      <sz val="16"/>
      <color rgb="FFFFC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vertAlign val="subscript"/>
      <sz val="9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40" fillId="0" borderId="0" xfId="0" applyFont="1"/>
    <xf numFmtId="0" fontId="40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right"/>
    </xf>
    <xf numFmtId="0" fontId="47" fillId="0" borderId="16" xfId="0" applyFont="1" applyBorder="1" applyAlignment="1">
      <alignment horizontal="right"/>
    </xf>
    <xf numFmtId="0" fontId="40" fillId="0" borderId="2" xfId="0" quotePrefix="1" applyFont="1" applyBorder="1" applyAlignment="1">
      <alignment horizontal="center"/>
    </xf>
    <xf numFmtId="0" fontId="55" fillId="0" borderId="2" xfId="0" applyFont="1" applyBorder="1" applyAlignment="1">
      <alignment horizontal="right"/>
    </xf>
    <xf numFmtId="0" fontId="57" fillId="0" borderId="2" xfId="0" applyFont="1" applyBorder="1" applyAlignment="1">
      <alignment horizontal="right"/>
    </xf>
    <xf numFmtId="0" fontId="55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0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5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7" fillId="3" borderId="2" xfId="0" applyFont="1" applyFill="1" applyBorder="1" applyAlignment="1">
      <alignment horizontal="right"/>
    </xf>
    <xf numFmtId="0" fontId="47" fillId="3" borderId="2" xfId="0" applyFont="1" applyFill="1" applyBorder="1"/>
    <xf numFmtId="0" fontId="3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4" fillId="0" borderId="2" xfId="0" applyFont="1" applyBorder="1" applyAlignment="1">
      <alignment horizontal="right"/>
    </xf>
    <xf numFmtId="0" fontId="44" fillId="3" borderId="2" xfId="0" applyFont="1" applyFill="1" applyBorder="1" applyAlignment="1">
      <alignment horizontal="right"/>
    </xf>
    <xf numFmtId="0" fontId="44" fillId="3" borderId="2" xfId="0" applyFont="1" applyFill="1" applyBorder="1"/>
    <xf numFmtId="0" fontId="49" fillId="0" borderId="2" xfId="0" applyFont="1" applyBorder="1" applyAlignment="1">
      <alignment horizontal="right"/>
    </xf>
    <xf numFmtId="0" fontId="44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62" fillId="0" borderId="0" xfId="0" applyFont="1" applyAlignment="1">
      <alignment horizontal="right"/>
    </xf>
    <xf numFmtId="0" fontId="62" fillId="0" borderId="0" xfId="0" applyFont="1" applyAlignment="1">
      <alignment horizontal="center"/>
    </xf>
    <xf numFmtId="0" fontId="49" fillId="3" borderId="2" xfId="0" applyFont="1" applyFill="1" applyBorder="1" applyAlignment="1">
      <alignment horizontal="right"/>
    </xf>
    <xf numFmtId="0" fontId="49" fillId="3" borderId="2" xfId="0" applyFont="1" applyFill="1" applyBorder="1"/>
    <xf numFmtId="0" fontId="47" fillId="0" borderId="0" xfId="0" applyFont="1" applyAlignment="1">
      <alignment horizontal="left"/>
    </xf>
    <xf numFmtId="0" fontId="1" fillId="0" borderId="0" xfId="0" applyFont="1"/>
    <xf numFmtId="0" fontId="62" fillId="0" borderId="0" xfId="0" applyFont="1"/>
    <xf numFmtId="0" fontId="63" fillId="3" borderId="2" xfId="0" applyFont="1" applyFill="1" applyBorder="1" applyAlignment="1">
      <alignment horizontal="right"/>
    </xf>
    <xf numFmtId="0" fontId="65" fillId="3" borderId="2" xfId="0" quotePrefix="1" applyFont="1" applyFill="1" applyBorder="1" applyAlignment="1">
      <alignment horizontal="center"/>
    </xf>
    <xf numFmtId="0" fontId="65" fillId="3" borderId="2" xfId="0" applyFont="1" applyFill="1" applyBorder="1"/>
    <xf numFmtId="0" fontId="62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0" fillId="0" borderId="2" xfId="0" applyFont="1" applyBorder="1" applyAlignment="1">
      <alignment horizontal="left"/>
    </xf>
    <xf numFmtId="0" fontId="65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7" fillId="0" borderId="2" xfId="0" applyFont="1" applyBorder="1" applyAlignment="1">
      <alignment horizontal="left"/>
    </xf>
    <xf numFmtId="0" fontId="47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center"/>
    </xf>
    <xf numFmtId="0" fontId="40" fillId="3" borderId="2" xfId="0" applyFont="1" applyFill="1" applyBorder="1" applyAlignment="1">
      <alignment horizontal="left"/>
    </xf>
    <xf numFmtId="0" fontId="44" fillId="0" borderId="0" xfId="0" applyFont="1" applyAlignment="1">
      <alignment horizontal="right"/>
    </xf>
    <xf numFmtId="0" fontId="44" fillId="0" borderId="0" xfId="0" applyFont="1"/>
    <xf numFmtId="0" fontId="62" fillId="3" borderId="2" xfId="0" applyFont="1" applyFill="1" applyBorder="1"/>
    <xf numFmtId="0" fontId="54" fillId="0" borderId="2" xfId="0" applyFont="1" applyBorder="1"/>
    <xf numFmtId="0" fontId="49" fillId="0" borderId="2" xfId="0" applyFont="1" applyBorder="1"/>
    <xf numFmtId="0" fontId="4" fillId="0" borderId="2" xfId="0" applyFont="1" applyBorder="1"/>
    <xf numFmtId="0" fontId="44" fillId="0" borderId="2" xfId="0" applyFont="1" applyBorder="1"/>
    <xf numFmtId="0" fontId="51" fillId="0" borderId="2" xfId="0" applyFont="1" applyBorder="1"/>
    <xf numFmtId="0" fontId="62" fillId="3" borderId="2" xfId="0" applyFont="1" applyFill="1" applyBorder="1" applyAlignment="1">
      <alignment horizontal="center" vertical="center"/>
    </xf>
    <xf numFmtId="0" fontId="40" fillId="0" borderId="2" xfId="0" quotePrefix="1" applyFont="1" applyBorder="1" applyAlignment="1">
      <alignment horizontal="center" vertical="center"/>
    </xf>
    <xf numFmtId="0" fontId="40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0" fillId="0" borderId="0" xfId="0" quotePrefix="1" applyFont="1" applyAlignment="1">
      <alignment horizontal="center" vertical="center"/>
    </xf>
    <xf numFmtId="0" fontId="59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6" fillId="17" borderId="2" xfId="0" applyFont="1" applyFill="1" applyBorder="1"/>
    <xf numFmtId="0" fontId="66" fillId="13" borderId="2" xfId="0" applyFont="1" applyFill="1" applyBorder="1" applyAlignment="1">
      <alignment horizontal="right"/>
    </xf>
    <xf numFmtId="0" fontId="66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0" fillId="18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2" fontId="0" fillId="2" borderId="37" xfId="0" applyNumberFormat="1" applyFill="1" applyBorder="1" applyAlignment="1">
      <alignment horizontal="center"/>
    </xf>
    <xf numFmtId="0" fontId="0" fillId="0" borderId="1" xfId="0" applyBorder="1"/>
    <xf numFmtId="2" fontId="0" fillId="0" borderId="41" xfId="0" applyNumberFormat="1" applyBorder="1"/>
    <xf numFmtId="0" fontId="0" fillId="0" borderId="41" xfId="0" applyBorder="1"/>
    <xf numFmtId="0" fontId="0" fillId="0" borderId="43" xfId="0" applyBorder="1"/>
    <xf numFmtId="170" fontId="38" fillId="10" borderId="15" xfId="0" applyNumberFormat="1" applyFont="1" applyFill="1" applyBorder="1" applyAlignment="1">
      <alignment vertical="center"/>
    </xf>
    <xf numFmtId="170" fontId="38" fillId="10" borderId="15" xfId="0" applyNumberFormat="1" applyFont="1" applyFill="1" applyBorder="1" applyAlignment="1">
      <alignment horizontal="center" vertical="center"/>
    </xf>
    <xf numFmtId="169" fontId="0" fillId="16" borderId="2" xfId="0" applyNumberFormat="1" applyFill="1" applyBorder="1" applyAlignment="1">
      <alignment horizontal="center"/>
    </xf>
    <xf numFmtId="169" fontId="0" fillId="16" borderId="37" xfId="0" applyNumberFormat="1" applyFill="1" applyBorder="1" applyAlignment="1">
      <alignment horizontal="center"/>
    </xf>
    <xf numFmtId="169" fontId="0" fillId="16" borderId="42" xfId="0" applyNumberFormat="1" applyFill="1" applyBorder="1" applyAlignment="1">
      <alignment horizontal="center"/>
    </xf>
    <xf numFmtId="2" fontId="0" fillId="16" borderId="2" xfId="0" applyNumberFormat="1" applyFill="1" applyBorder="1" applyAlignment="1">
      <alignment horizontal="center"/>
    </xf>
    <xf numFmtId="2" fontId="0" fillId="16" borderId="37" xfId="0" applyNumberFormat="1" applyFill="1" applyBorder="1" applyAlignment="1">
      <alignment horizontal="center"/>
    </xf>
    <xf numFmtId="169" fontId="0" fillId="9" borderId="15" xfId="0" applyNumberFormat="1" applyFill="1" applyBorder="1" applyAlignment="1">
      <alignment horizontal="center" vertical="center"/>
    </xf>
    <xf numFmtId="169" fontId="0" fillId="8" borderId="15" xfId="0" applyNumberFormat="1" applyFill="1" applyBorder="1" applyAlignment="1">
      <alignment horizontal="center" vertical="center"/>
    </xf>
    <xf numFmtId="169" fontId="0" fillId="7" borderId="15" xfId="0" applyNumberFormat="1" applyFill="1" applyBorder="1" applyAlignment="1">
      <alignment horizontal="center" vertical="center"/>
    </xf>
    <xf numFmtId="169" fontId="0" fillId="6" borderId="15" xfId="0" applyNumberFormat="1" applyFill="1" applyBorder="1" applyAlignment="1">
      <alignment horizontal="center" vertical="center"/>
    </xf>
    <xf numFmtId="169" fontId="0" fillId="5" borderId="2" xfId="0" applyNumberFormat="1" applyFill="1" applyBorder="1" applyAlignment="1">
      <alignment horizontal="center" vertical="center"/>
    </xf>
    <xf numFmtId="169" fontId="0" fillId="0" borderId="2" xfId="0" applyNumberFormat="1" applyBorder="1"/>
    <xf numFmtId="0" fontId="36" fillId="0" borderId="0" xfId="0" applyFont="1"/>
    <xf numFmtId="0" fontId="55" fillId="0" borderId="0" xfId="0" applyFont="1"/>
    <xf numFmtId="2" fontId="0" fillId="3" borderId="2" xfId="0" applyNumberFormat="1" applyFill="1" applyBorder="1" applyAlignment="1">
      <alignment horizontal="center"/>
    </xf>
    <xf numFmtId="0" fontId="35" fillId="3" borderId="1" xfId="0" applyFont="1" applyFill="1" applyBorder="1"/>
    <xf numFmtId="0" fontId="0" fillId="3" borderId="41" xfId="0" applyFill="1" applyBorder="1"/>
    <xf numFmtId="0" fontId="0" fillId="3" borderId="43" xfId="0" applyFill="1" applyBorder="1"/>
    <xf numFmtId="0" fontId="31" fillId="19" borderId="2" xfId="0" applyFont="1" applyFill="1" applyBorder="1" applyAlignment="1">
      <alignment horizontal="right" vertical="center"/>
    </xf>
    <xf numFmtId="2" fontId="31" fillId="19" borderId="15" xfId="0" applyNumberFormat="1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0" fillId="18" borderId="21" xfId="0" applyFont="1" applyFill="1" applyBorder="1" applyAlignment="1">
      <alignment horizontal="right"/>
    </xf>
    <xf numFmtId="0" fontId="0" fillId="0" borderId="11" xfId="0" applyBorder="1"/>
    <xf numFmtId="0" fontId="0" fillId="0" borderId="1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35" fillId="0" borderId="13" xfId="0" applyFont="1" applyBorder="1" applyAlignment="1">
      <alignment horizontal="right"/>
    </xf>
    <xf numFmtId="0" fontId="35" fillId="0" borderId="20" xfId="0" applyFont="1" applyBorder="1"/>
    <xf numFmtId="0" fontId="35" fillId="0" borderId="14" xfId="0" applyFont="1" applyBorder="1"/>
    <xf numFmtId="0" fontId="0" fillId="3" borderId="28" xfId="0" applyFill="1" applyBorder="1"/>
    <xf numFmtId="0" fontId="0" fillId="4" borderId="0" xfId="0" applyFill="1"/>
    <xf numFmtId="0" fontId="73" fillId="4" borderId="0" xfId="0" applyFont="1" applyFill="1"/>
    <xf numFmtId="0" fontId="32" fillId="0" borderId="0" xfId="0" applyFont="1"/>
    <xf numFmtId="0" fontId="32" fillId="0" borderId="2" xfId="0" applyFont="1" applyBorder="1" applyAlignment="1">
      <alignment horizontal="right"/>
    </xf>
    <xf numFmtId="0" fontId="75" fillId="0" borderId="2" xfId="0" applyFont="1" applyBorder="1" applyAlignment="1">
      <alignment horizontal="right"/>
    </xf>
    <xf numFmtId="0" fontId="75" fillId="0" borderId="2" xfId="0" applyFont="1" applyBorder="1" applyAlignment="1">
      <alignment horizontal="center"/>
    </xf>
    <xf numFmtId="0" fontId="77" fillId="0" borderId="2" xfId="0" applyFont="1" applyBorder="1" applyAlignment="1">
      <alignment horizontal="right"/>
    </xf>
    <xf numFmtId="0" fontId="77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79" fillId="0" borderId="2" xfId="0" applyFont="1" applyBorder="1" applyAlignment="1">
      <alignment horizontal="center"/>
    </xf>
    <xf numFmtId="0" fontId="81" fillId="0" borderId="2" xfId="0" applyFont="1" applyBorder="1" applyAlignment="1">
      <alignment horizontal="right"/>
    </xf>
    <xf numFmtId="0" fontId="83" fillId="0" borderId="2" xfId="0" applyFont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84" fillId="20" borderId="1" xfId="0" applyFont="1" applyFill="1" applyBorder="1"/>
    <xf numFmtId="0" fontId="0" fillId="20" borderId="41" xfId="0" applyFill="1" applyBorder="1"/>
    <xf numFmtId="0" fontId="0" fillId="20" borderId="43" xfId="0" applyFill="1" applyBorder="1"/>
    <xf numFmtId="0" fontId="66" fillId="7" borderId="2" xfId="0" applyFont="1" applyFill="1" applyBorder="1" applyAlignment="1">
      <alignment horizontal="right"/>
    </xf>
    <xf numFmtId="0" fontId="85" fillId="21" borderId="2" xfId="0" applyFont="1" applyFill="1" applyBorder="1" applyAlignment="1">
      <alignment horizontal="right"/>
    </xf>
    <xf numFmtId="0" fontId="66" fillId="10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41579532087145E-2"/>
          <c:y val="2.1212121672244021E-2"/>
          <c:w val="0.89009129359281547"/>
          <c:h val="0.92825474346011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'Leistung bei Wechselstrom'!$D$10</c:f>
              <c:strCache>
                <c:ptCount val="1"/>
                <c:pt idx="0">
                  <c:v>Û * sin(x + φU)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Wechselstrom'!$F$10:$AT$10</c:f>
              <c:numCache>
                <c:formatCode>#,##0.00</c:formatCode>
                <c:ptCount val="41"/>
                <c:pt idx="0">
                  <c:v>0.86602540378443871</c:v>
                </c:pt>
                <c:pt idx="1">
                  <c:v>0.76604444311897835</c:v>
                </c:pt>
                <c:pt idx="2">
                  <c:v>0.64278760968653947</c:v>
                </c:pt>
                <c:pt idx="3">
                  <c:v>0.50000000000000033</c:v>
                </c:pt>
                <c:pt idx="4">
                  <c:v>0.34202014332566888</c:v>
                </c:pt>
                <c:pt idx="5">
                  <c:v>0.17364817766693069</c:v>
                </c:pt>
                <c:pt idx="6">
                  <c:v>1.22514845490862E-16</c:v>
                </c:pt>
                <c:pt idx="7">
                  <c:v>-0.17364817766693003</c:v>
                </c:pt>
                <c:pt idx="8">
                  <c:v>-0.34202014332566821</c:v>
                </c:pt>
                <c:pt idx="9">
                  <c:v>-0.49999999999999972</c:v>
                </c:pt>
                <c:pt idx="10">
                  <c:v>-0.64278760968653925</c:v>
                </c:pt>
                <c:pt idx="11">
                  <c:v>-0.7660444431189779</c:v>
                </c:pt>
                <c:pt idx="12">
                  <c:v>-0.86602540378443837</c:v>
                </c:pt>
                <c:pt idx="13">
                  <c:v>-0.93969262078590843</c:v>
                </c:pt>
                <c:pt idx="14">
                  <c:v>-0.98480775301220802</c:v>
                </c:pt>
                <c:pt idx="15">
                  <c:v>-1</c:v>
                </c:pt>
                <c:pt idx="16">
                  <c:v>-0.98480775301220813</c:v>
                </c:pt>
                <c:pt idx="17">
                  <c:v>-0.93969262078590854</c:v>
                </c:pt>
                <c:pt idx="18">
                  <c:v>-0.86602540378443904</c:v>
                </c:pt>
                <c:pt idx="19">
                  <c:v>-0.76604444311897812</c:v>
                </c:pt>
                <c:pt idx="20">
                  <c:v>-0.64278760968653958</c:v>
                </c:pt>
                <c:pt idx="21">
                  <c:v>-0.49999999999999967</c:v>
                </c:pt>
                <c:pt idx="22">
                  <c:v>-0.3420201433256686</c:v>
                </c:pt>
                <c:pt idx="23">
                  <c:v>-0.17364817766693039</c:v>
                </c:pt>
                <c:pt idx="24">
                  <c:v>-2.45029690981724E-16</c:v>
                </c:pt>
                <c:pt idx="25">
                  <c:v>0.17364817766692991</c:v>
                </c:pt>
                <c:pt idx="26">
                  <c:v>0.3420201433256681</c:v>
                </c:pt>
                <c:pt idx="27">
                  <c:v>0.49999999999999928</c:v>
                </c:pt>
                <c:pt idx="28">
                  <c:v>0.64278760968653847</c:v>
                </c:pt>
                <c:pt idx="29">
                  <c:v>0.76604444311897724</c:v>
                </c:pt>
                <c:pt idx="30">
                  <c:v>0.86602540378443882</c:v>
                </c:pt>
                <c:pt idx="31">
                  <c:v>0.93969262078590843</c:v>
                </c:pt>
                <c:pt idx="32">
                  <c:v>0.98480775301220802</c:v>
                </c:pt>
                <c:pt idx="33">
                  <c:v>1</c:v>
                </c:pt>
                <c:pt idx="34">
                  <c:v>0.98480775301220813</c:v>
                </c:pt>
                <c:pt idx="35">
                  <c:v>0.93969262078590865</c:v>
                </c:pt>
                <c:pt idx="36">
                  <c:v>0.86602540378443915</c:v>
                </c:pt>
                <c:pt idx="37">
                  <c:v>0.76604444311897879</c:v>
                </c:pt>
                <c:pt idx="38">
                  <c:v>0.64278760968653903</c:v>
                </c:pt>
                <c:pt idx="39">
                  <c:v>0.50000000000000133</c:v>
                </c:pt>
                <c:pt idx="40">
                  <c:v>0.34202014332566871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0-41F0-8B94-FEB68C71545A}"/>
            </c:ext>
          </c:extLst>
        </c:ser>
        <c:ser>
          <c:idx val="1"/>
          <c:order val="1"/>
          <c:tx>
            <c:strRef>
              <c:f>'Leistung bei Wechselstrom'!$D$11</c:f>
              <c:strCache>
                <c:ptCount val="1"/>
                <c:pt idx="0">
                  <c:v>Î * sin(x + φI)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Wechselstrom'!$F$11:$AT$11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0-41F0-8B94-FEB68C71545A}"/>
            </c:ext>
          </c:extLst>
        </c:ser>
        <c:ser>
          <c:idx val="2"/>
          <c:order val="2"/>
          <c:tx>
            <c:strRef>
              <c:f>'Leistung bei Wechselstrom'!$D$12</c:f>
              <c:strCache>
                <c:ptCount val="1"/>
                <c:pt idx="0">
                  <c:v>Nicht gleichphasig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Wechselstrom'!$F$12:$AT$12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D0-41F0-8B94-FEB68C71545A}"/>
            </c:ext>
          </c:extLst>
        </c:ser>
        <c:ser>
          <c:idx val="3"/>
          <c:order val="3"/>
          <c:tx>
            <c:strRef>
              <c:f>'Leistung bei Wechselstrom'!$D$13</c:f>
              <c:strCache>
                <c:ptCount val="1"/>
                <c:pt idx="0">
                  <c:v>U(t) *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Wechselstrom'!$F$13:$AT$13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D0-41F0-8B94-FEB68C71545A}"/>
            </c:ext>
          </c:extLst>
        </c:ser>
        <c:ser>
          <c:idx val="4"/>
          <c:order val="4"/>
          <c:tx>
            <c:strRef>
              <c:f>'Leistung bei Wechselstrom'!$T$4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'Leistung bei Wechselstrom'!$U$4:$V$4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'Leistung bei Wechselstrom'!$U$5:$V$5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D0-41F0-8B94-FEB68C71545A}"/>
            </c:ext>
          </c:extLst>
        </c:ser>
        <c:ser>
          <c:idx val="5"/>
          <c:order val="5"/>
          <c:tx>
            <c:strRef>
              <c:f>'Leistung bei Wechselstrom'!$Y$4</c:f>
              <c:strCache>
                <c:ptCount val="1"/>
                <c:pt idx="0">
                  <c:v>y-Achse: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'Leistung bei Wechselstrom'!$Z$4:$AA$4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'Leistung bei Wechselstrom'!$Z$5:$AA$5</c:f>
              <c:numCache>
                <c:formatCode>#,##0.00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D0-41F0-8B94-FEB68C71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72687"/>
        <c:axId val="2111662607"/>
      </c:scatterChart>
      <c:valAx>
        <c:axId val="21116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662607"/>
        <c:crosses val="autoZero"/>
        <c:crossBetween val="midCat"/>
      </c:valAx>
      <c:valAx>
        <c:axId val="21116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67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Fourierreihe!$M$15</c:f>
              <c:strCache>
                <c:ptCount val="1"/>
                <c:pt idx="0">
                  <c:v>y0 =  sin(2*pi * 50Hz * t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Fourierreihe!$P$15:$BB$15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0.93969262078590843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0.93969262078590832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0.64278760968653914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-0.34202014332566905</c:v>
                </c:pt>
                <c:pt idx="21">
                  <c:v>-0.50000000000000011</c:v>
                </c:pt>
                <c:pt idx="22">
                  <c:v>-0.64278760968653958</c:v>
                </c:pt>
                <c:pt idx="23">
                  <c:v>-0.76604444311897846</c:v>
                </c:pt>
                <c:pt idx="24">
                  <c:v>-0.86602540378443837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-0.49999999999999967</c:v>
                </c:pt>
                <c:pt idx="34">
                  <c:v>-0.3420201433256686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0.17364817766693078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Fourierreihe!$M$16</c:f>
              <c:strCache>
                <c:ptCount val="1"/>
                <c:pt idx="0">
                  <c:v>y1 = 0.33 * sin(2*pi * 150Hz * t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Fourierreihe!$P$16:$BB$16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1.8886801844697487E-16</c:v>
                </c:pt>
                <c:pt idx="7">
                  <c:v>-0.16666666666666669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-3.7773603689394974E-16</c:v>
                </c:pt>
                <c:pt idx="13">
                  <c:v>0.16666666666666666</c:v>
                </c:pt>
                <c:pt idx="14">
                  <c:v>0.28867513459481292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-0.16666666666666638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-7.5547207378789949E-16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0.28867513459481275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-0.16666666666666669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Fourierreihe!$M$17</c:f>
              <c:strCache>
                <c:ptCount val="1"/>
                <c:pt idx="0">
                  <c:v>y2 = 0.2 * sin(2*pi * 250Hz * t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Fourierreihe!$P$17:$BB$17</c:f>
              <c:numCache>
                <c:formatCode>0.00</c:formatCode>
                <c:ptCount val="39"/>
                <c:pt idx="0">
                  <c:v>0</c:v>
                </c:pt>
                <c:pt idx="1">
                  <c:v>0.15320888862379559</c:v>
                </c:pt>
                <c:pt idx="2">
                  <c:v>0.19696155060244164</c:v>
                </c:pt>
                <c:pt idx="3">
                  <c:v>0.10000000000000007</c:v>
                </c:pt>
                <c:pt idx="4">
                  <c:v>-6.8404028665133648E-2</c:v>
                </c:pt>
                <c:pt idx="5">
                  <c:v>-0.18793852415718165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0.12855752193730771</c:v>
                </c:pt>
                <c:pt idx="9">
                  <c:v>0.2</c:v>
                </c:pt>
                <c:pt idx="10">
                  <c:v>0.12855752193730807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-0.18793852415718174</c:v>
                </c:pt>
                <c:pt idx="14">
                  <c:v>-6.8404028665133773E-2</c:v>
                </c:pt>
                <c:pt idx="15">
                  <c:v>9.9999999999999811E-2</c:v>
                </c:pt>
                <c:pt idx="16">
                  <c:v>0.19696155060244155</c:v>
                </c:pt>
                <c:pt idx="17">
                  <c:v>0.15320888862379578</c:v>
                </c:pt>
                <c:pt idx="18">
                  <c:v>1.22514845490862E-16</c:v>
                </c:pt>
                <c:pt idx="19">
                  <c:v>-0.15320888862379542</c:v>
                </c:pt>
                <c:pt idx="20">
                  <c:v>-0.19696155060244172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-0.1285575219373076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0.17320508075688754</c:v>
                </c:pt>
                <c:pt idx="31">
                  <c:v>0.18793852415718193</c:v>
                </c:pt>
                <c:pt idx="32">
                  <c:v>6.840402866513455E-2</c:v>
                </c:pt>
                <c:pt idx="33">
                  <c:v>-9.99999999999997E-2</c:v>
                </c:pt>
                <c:pt idx="34">
                  <c:v>-0.19696155060244153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0.15320888862379489</c:v>
                </c:pt>
                <c:pt idx="38">
                  <c:v>0.19696155060244172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Fourierreihe!$M$18</c:f>
              <c:strCache>
                <c:ptCount val="1"/>
                <c:pt idx="0">
                  <c:v>y3 = 0.14 * sin(2*pi * 350Hz * t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Fourierreihe!$P$18:$BB$18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-7.1428571428571341E-2</c:v>
                </c:pt>
                <c:pt idx="4">
                  <c:v>-0.14068682185888687</c:v>
                </c:pt>
                <c:pt idx="5">
                  <c:v>-2.4806882523847322E-2</c:v>
                </c:pt>
                <c:pt idx="6">
                  <c:v>0.12371791482634827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-4.8860020475095779E-2</c:v>
                </c:pt>
                <c:pt idx="11">
                  <c:v>0.10943492044556814</c:v>
                </c:pt>
                <c:pt idx="12">
                  <c:v>0.12371791482634859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-7.1428571428571883E-2</c:v>
                </c:pt>
                <c:pt idx="16">
                  <c:v>9.1826801383791151E-2</c:v>
                </c:pt>
                <c:pt idx="17">
                  <c:v>0.13424180296941562</c:v>
                </c:pt>
                <c:pt idx="18">
                  <c:v>1.22514845490862E-16</c:v>
                </c:pt>
                <c:pt idx="19">
                  <c:v>-0.13424180296941537</c:v>
                </c:pt>
                <c:pt idx="20">
                  <c:v>-9.1826801383791734E-2</c:v>
                </c:pt>
                <c:pt idx="21">
                  <c:v>7.142857142857123E-2</c:v>
                </c:pt>
                <c:pt idx="22">
                  <c:v>0.14068682185888692</c:v>
                </c:pt>
                <c:pt idx="23">
                  <c:v>2.4806882523847319E-2</c:v>
                </c:pt>
                <c:pt idx="24">
                  <c:v>-0.12371791482634795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-0.1237179148263489</c:v>
                </c:pt>
                <c:pt idx="31">
                  <c:v>2.4806882523846455E-2</c:v>
                </c:pt>
                <c:pt idx="32">
                  <c:v>0.14068682185888678</c:v>
                </c:pt>
                <c:pt idx="33">
                  <c:v>7.1428571428572424E-2</c:v>
                </c:pt>
                <c:pt idx="34">
                  <c:v>-9.1826801383790679E-2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Fourierreihe!$M$19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Fourierreihe!$P$19:$BB$19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0.81653823785389934</c:v>
                </c:pt>
                <c:pt idx="7">
                  <c:v>0.847731239031424</c:v>
                </c:pt>
                <c:pt idx="8">
                  <c:v>0.77583011987960759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</c:v>
                </c:pt>
                <c:pt idx="12">
                  <c:v>0.81653823785389945</c:v>
                </c:pt>
                <c:pt idx="13">
                  <c:v>0.71996570310461583</c:v>
                </c:pt>
                <c:pt idx="14">
                  <c:v>0.72237189375733157</c:v>
                </c:pt>
                <c:pt idx="15">
                  <c:v>0.86190476190476129</c:v>
                </c:pt>
                <c:pt idx="16">
                  <c:v>0.91948362990671473</c:v>
                </c:pt>
                <c:pt idx="17">
                  <c:v>0.62776553592680817</c:v>
                </c:pt>
                <c:pt idx="18">
                  <c:v>4.90059381963448E-16</c:v>
                </c:pt>
                <c:pt idx="19">
                  <c:v>-0.62776553592680762</c:v>
                </c:pt>
                <c:pt idx="20">
                  <c:v>-0.91948362990671539</c:v>
                </c:pt>
                <c:pt idx="21">
                  <c:v>-0.8619047619047624</c:v>
                </c:pt>
                <c:pt idx="22">
                  <c:v>-0.72237189375733191</c:v>
                </c:pt>
                <c:pt idx="23">
                  <c:v>-0.71996570310461616</c:v>
                </c:pt>
                <c:pt idx="24">
                  <c:v>-0.81653823785389912</c:v>
                </c:pt>
                <c:pt idx="25">
                  <c:v>-0.84773123903142378</c:v>
                </c:pt>
                <c:pt idx="26">
                  <c:v>-0.77583011987960748</c:v>
                </c:pt>
                <c:pt idx="27">
                  <c:v>-0.7238095238095239</c:v>
                </c:pt>
                <c:pt idx="28">
                  <c:v>-0.77583011987960693</c:v>
                </c:pt>
                <c:pt idx="29">
                  <c:v>-0.847731239031424</c:v>
                </c:pt>
                <c:pt idx="30">
                  <c:v>-0.81653823785389967</c:v>
                </c:pt>
                <c:pt idx="31">
                  <c:v>-0.71996570310461605</c:v>
                </c:pt>
                <c:pt idx="32">
                  <c:v>-0.7223718937573308</c:v>
                </c:pt>
                <c:pt idx="33">
                  <c:v>-0.86190476190476029</c:v>
                </c:pt>
                <c:pt idx="34">
                  <c:v>-0.91948362990671351</c:v>
                </c:pt>
                <c:pt idx="35">
                  <c:v>-0.62776553592680884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Fourierreihe!$V$4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Fourierreihe!$Z$5:$AA$5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Fourierreihe!$Z$6:$AA$6</c:f>
              <c:numCache>
                <c:formatCode>General</c:formatCode>
                <c:ptCount val="2"/>
                <c:pt idx="0">
                  <c:v>0</c:v>
                </c:pt>
                <c:pt idx="1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 sin(x 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sin(x  + -60°)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-0.70710678118654746</c:v>
                </c:pt>
                <c:pt idx="2">
                  <c:v>-0.49999999999999994</c:v>
                </c:pt>
                <c:pt idx="3">
                  <c:v>-0.25881904510252068</c:v>
                </c:pt>
                <c:pt idx="4">
                  <c:v>0</c:v>
                </c:pt>
                <c:pt idx="5">
                  <c:v>0.25881904510252091</c:v>
                </c:pt>
                <c:pt idx="6">
                  <c:v>0.5</c:v>
                </c:pt>
                <c:pt idx="7">
                  <c:v>0.70710678118654768</c:v>
                </c:pt>
                <c:pt idx="8">
                  <c:v>0.8660254037844386</c:v>
                </c:pt>
                <c:pt idx="9">
                  <c:v>0.96592582628906831</c:v>
                </c:pt>
                <c:pt idx="10">
                  <c:v>1</c:v>
                </c:pt>
                <c:pt idx="11">
                  <c:v>0.96592582628906831</c:v>
                </c:pt>
                <c:pt idx="12">
                  <c:v>0.86602540378443849</c:v>
                </c:pt>
                <c:pt idx="13">
                  <c:v>0.70710678118654757</c:v>
                </c:pt>
                <c:pt idx="14">
                  <c:v>0.49999999999999956</c:v>
                </c:pt>
                <c:pt idx="15">
                  <c:v>0.25881904510252057</c:v>
                </c:pt>
                <c:pt idx="16">
                  <c:v>1.22514845490862E-16</c:v>
                </c:pt>
                <c:pt idx="17">
                  <c:v>-0.25881904510252118</c:v>
                </c:pt>
                <c:pt idx="18">
                  <c:v>-0.50000000000000011</c:v>
                </c:pt>
                <c:pt idx="19">
                  <c:v>-0.70710678118654802</c:v>
                </c:pt>
                <c:pt idx="20">
                  <c:v>-0.86602540378443882</c:v>
                </c:pt>
                <c:pt idx="21">
                  <c:v>-0.96592582628906831</c:v>
                </c:pt>
                <c:pt idx="22">
                  <c:v>-1</c:v>
                </c:pt>
                <c:pt idx="23">
                  <c:v>-0.9659258262890682</c:v>
                </c:pt>
                <c:pt idx="24">
                  <c:v>-0.8660254037844386</c:v>
                </c:pt>
                <c:pt idx="25">
                  <c:v>-0.70710678118654768</c:v>
                </c:pt>
                <c:pt idx="26">
                  <c:v>-0.50000000000000044</c:v>
                </c:pt>
                <c:pt idx="27">
                  <c:v>-0.25881904510252157</c:v>
                </c:pt>
                <c:pt idx="28">
                  <c:v>6.4314872871840123E-16</c:v>
                </c:pt>
                <c:pt idx="29">
                  <c:v>0.25881904510252107</c:v>
                </c:pt>
                <c:pt idx="30">
                  <c:v>0.5</c:v>
                </c:pt>
                <c:pt idx="31">
                  <c:v>0.70710678118654735</c:v>
                </c:pt>
                <c:pt idx="32">
                  <c:v>0.86602540378443837</c:v>
                </c:pt>
                <c:pt idx="33">
                  <c:v>0.96592582628906853</c:v>
                </c:pt>
                <c:pt idx="34">
                  <c:v>1</c:v>
                </c:pt>
                <c:pt idx="35">
                  <c:v>0.96592582628906842</c:v>
                </c:pt>
                <c:pt idx="36">
                  <c:v>0.86602540378443915</c:v>
                </c:pt>
                <c:pt idx="37">
                  <c:v>0.70710678118654713</c:v>
                </c:pt>
                <c:pt idx="38">
                  <c:v>0.49999999999999978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Scheinleistung!$J$21</c:f>
              <c:strCache>
                <c:ptCount val="1"/>
                <c:pt idx="0">
                  <c:v>Scheinleistung S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Scheinleistung!$M$21:$AY$21</c:f>
              <c:numCache>
                <c:formatCode>0.00</c:formatCode>
                <c:ptCount val="39"/>
                <c:pt idx="0">
                  <c:v>0</c:v>
                </c:pt>
                <c:pt idx="1">
                  <c:v>-0.1830127018922193</c:v>
                </c:pt>
                <c:pt idx="2">
                  <c:v>-0.24999999999999994</c:v>
                </c:pt>
                <c:pt idx="3">
                  <c:v>-0.18301270189221924</c:v>
                </c:pt>
                <c:pt idx="4">
                  <c:v>0</c:v>
                </c:pt>
                <c:pt idx="5">
                  <c:v>0.25000000000000017</c:v>
                </c:pt>
                <c:pt idx="6">
                  <c:v>0.5</c:v>
                </c:pt>
                <c:pt idx="7">
                  <c:v>0.68301270189221952</c:v>
                </c:pt>
                <c:pt idx="8">
                  <c:v>0.75</c:v>
                </c:pt>
                <c:pt idx="9">
                  <c:v>0.68301270189221941</c:v>
                </c:pt>
                <c:pt idx="10">
                  <c:v>0.49999999999999994</c:v>
                </c:pt>
                <c:pt idx="11">
                  <c:v>0.25000000000000028</c:v>
                </c:pt>
                <c:pt idx="12">
                  <c:v>1.0610096853581185E-16</c:v>
                </c:pt>
                <c:pt idx="13">
                  <c:v>-0.18301270189221905</c:v>
                </c:pt>
                <c:pt idx="14">
                  <c:v>-0.24999999999999983</c:v>
                </c:pt>
                <c:pt idx="15">
                  <c:v>-0.18301270189221916</c:v>
                </c:pt>
                <c:pt idx="16">
                  <c:v>-1.0610096853581184E-16</c:v>
                </c:pt>
                <c:pt idx="17">
                  <c:v>0.25000000000000039</c:v>
                </c:pt>
                <c:pt idx="18">
                  <c:v>0.50000000000000011</c:v>
                </c:pt>
                <c:pt idx="19">
                  <c:v>0.68301270189221974</c:v>
                </c:pt>
                <c:pt idx="20">
                  <c:v>0.75000000000000011</c:v>
                </c:pt>
                <c:pt idx="21">
                  <c:v>0.68301270189221952</c:v>
                </c:pt>
                <c:pt idx="22">
                  <c:v>0.50000000000000044</c:v>
                </c:pt>
                <c:pt idx="23">
                  <c:v>0.24999999999999989</c:v>
                </c:pt>
                <c:pt idx="24">
                  <c:v>2.1220193707162375E-16</c:v>
                </c:pt>
                <c:pt idx="25">
                  <c:v>-0.18301270189221899</c:v>
                </c:pt>
                <c:pt idx="26">
                  <c:v>-0.24999999999999986</c:v>
                </c:pt>
                <c:pt idx="27">
                  <c:v>-0.18301270189221969</c:v>
                </c:pt>
                <c:pt idx="28">
                  <c:v>5.5698313748180192E-16</c:v>
                </c:pt>
                <c:pt idx="29">
                  <c:v>0.25000000000000033</c:v>
                </c:pt>
                <c:pt idx="30">
                  <c:v>0.5</c:v>
                </c:pt>
                <c:pt idx="31">
                  <c:v>0.6830127018922193</c:v>
                </c:pt>
                <c:pt idx="32">
                  <c:v>0.75000000000000022</c:v>
                </c:pt>
                <c:pt idx="33">
                  <c:v>0.68301270189221908</c:v>
                </c:pt>
                <c:pt idx="34">
                  <c:v>0.49999999999999978</c:v>
                </c:pt>
                <c:pt idx="35">
                  <c:v>0.25000000000000006</c:v>
                </c:pt>
                <c:pt idx="36">
                  <c:v>3.183029056074358E-16</c:v>
                </c:pt>
                <c:pt idx="37">
                  <c:v>-0.18301270189221999</c:v>
                </c:pt>
                <c:pt idx="38">
                  <c:v>-0.25000000000000022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-0.43301270189221958</c:v>
                </c:pt>
                <c:pt idx="1">
                  <c:v>0.8660254037844386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ser>
          <c:idx val="4"/>
          <c:order val="4"/>
          <c:tx>
            <c:strRef>
              <c:f>Scheinleistung!$J$16</c:f>
              <c:strCache>
                <c:ptCount val="1"/>
                <c:pt idx="0">
                  <c:v>IP = 0.5 * sin(x 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Scheinleistung!$M$16:$AY$16</c:f>
              <c:numCache>
                <c:formatCode>0.00</c:formatCode>
                <c:ptCount val="39"/>
                <c:pt idx="0">
                  <c:v>0</c:v>
                </c:pt>
                <c:pt idx="1">
                  <c:v>0.1294095225512604</c:v>
                </c:pt>
                <c:pt idx="2">
                  <c:v>0.25</c:v>
                </c:pt>
                <c:pt idx="3">
                  <c:v>0.35355339059327379</c:v>
                </c:pt>
                <c:pt idx="4">
                  <c:v>0.43301270189221941</c:v>
                </c:pt>
                <c:pt idx="5">
                  <c:v>0.48296291314453427</c:v>
                </c:pt>
                <c:pt idx="6">
                  <c:v>0.50000000000000011</c:v>
                </c:pt>
                <c:pt idx="7">
                  <c:v>0.48296291314453427</c:v>
                </c:pt>
                <c:pt idx="8">
                  <c:v>0.43301270189221946</c:v>
                </c:pt>
                <c:pt idx="9">
                  <c:v>0.35355339059327384</c:v>
                </c:pt>
                <c:pt idx="10">
                  <c:v>0.25</c:v>
                </c:pt>
                <c:pt idx="11">
                  <c:v>0.12940952255126054</c:v>
                </c:pt>
                <c:pt idx="12">
                  <c:v>6.1257422745431013E-17</c:v>
                </c:pt>
                <c:pt idx="13">
                  <c:v>-0.1294095225512602</c:v>
                </c:pt>
                <c:pt idx="14">
                  <c:v>-0.25000000000000011</c:v>
                </c:pt>
                <c:pt idx="15">
                  <c:v>-0.35355339059327379</c:v>
                </c:pt>
                <c:pt idx="16">
                  <c:v>-0.4330127018922193</c:v>
                </c:pt>
                <c:pt idx="17">
                  <c:v>-0.48296291314453427</c:v>
                </c:pt>
                <c:pt idx="18">
                  <c:v>-0.50000000000000011</c:v>
                </c:pt>
                <c:pt idx="19">
                  <c:v>-0.48296291314453421</c:v>
                </c:pt>
                <c:pt idx="20">
                  <c:v>-0.43301270189221941</c:v>
                </c:pt>
                <c:pt idx="21">
                  <c:v>-0.3535533905932739</c:v>
                </c:pt>
                <c:pt idx="22">
                  <c:v>-0.25000000000000028</c:v>
                </c:pt>
                <c:pt idx="23">
                  <c:v>-0.12940952255126037</c:v>
                </c:pt>
                <c:pt idx="24">
                  <c:v>-1.2251484549086203E-16</c:v>
                </c:pt>
                <c:pt idx="25">
                  <c:v>0.12940952255126015</c:v>
                </c:pt>
                <c:pt idx="26">
                  <c:v>0.24999999999999969</c:v>
                </c:pt>
                <c:pt idx="27">
                  <c:v>0.3535533905932734</c:v>
                </c:pt>
                <c:pt idx="28">
                  <c:v>0.43301270189221952</c:v>
                </c:pt>
                <c:pt idx="29">
                  <c:v>0.48296291314453427</c:v>
                </c:pt>
                <c:pt idx="30">
                  <c:v>0.50000000000000011</c:v>
                </c:pt>
                <c:pt idx="31">
                  <c:v>0.48296291314453432</c:v>
                </c:pt>
                <c:pt idx="32">
                  <c:v>0.43301270189221969</c:v>
                </c:pt>
                <c:pt idx="33">
                  <c:v>0.35355339059327362</c:v>
                </c:pt>
                <c:pt idx="34">
                  <c:v>0.24999999999999994</c:v>
                </c:pt>
                <c:pt idx="35">
                  <c:v>0.12940952255126043</c:v>
                </c:pt>
                <c:pt idx="36">
                  <c:v>1.8377226823629305E-16</c:v>
                </c:pt>
                <c:pt idx="37">
                  <c:v>-0.12940952255126095</c:v>
                </c:pt>
                <c:pt idx="38">
                  <c:v>-0.25000000000000039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4BFE-BDB8-3E859255A479}"/>
            </c:ext>
          </c:extLst>
        </c:ser>
        <c:ser>
          <c:idx val="5"/>
          <c:order val="5"/>
          <c:tx>
            <c:strRef>
              <c:f>Scheinleistung!$J$17</c:f>
              <c:strCache>
                <c:ptCount val="1"/>
                <c:pt idx="0">
                  <c:v>IQ = -0.87 * sin(x  + 90°)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Scheinleistung!$M$17:$AY$17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-0.83651630373780783</c:v>
                </c:pt>
                <c:pt idx="2">
                  <c:v>-0.75</c:v>
                </c:pt>
                <c:pt idx="3">
                  <c:v>-0.61237243569579458</c:v>
                </c:pt>
                <c:pt idx="4">
                  <c:v>-0.43301270189221958</c:v>
                </c:pt>
                <c:pt idx="5">
                  <c:v>-0.22414386804201319</c:v>
                </c:pt>
                <c:pt idx="6">
                  <c:v>-1.0610096853581188E-16</c:v>
                </c:pt>
                <c:pt idx="7">
                  <c:v>0.22414386804201339</c:v>
                </c:pt>
                <c:pt idx="8">
                  <c:v>0.43301270189221908</c:v>
                </c:pt>
                <c:pt idx="9">
                  <c:v>0.61237243569579447</c:v>
                </c:pt>
                <c:pt idx="10">
                  <c:v>0.75000000000000011</c:v>
                </c:pt>
                <c:pt idx="11">
                  <c:v>0.83651630373780783</c:v>
                </c:pt>
                <c:pt idx="12">
                  <c:v>0.8660254037844386</c:v>
                </c:pt>
                <c:pt idx="13">
                  <c:v>0.83651630373780794</c:v>
                </c:pt>
                <c:pt idx="14">
                  <c:v>0.74999999999999989</c:v>
                </c:pt>
                <c:pt idx="15">
                  <c:v>0.61237243569579458</c:v>
                </c:pt>
                <c:pt idx="16">
                  <c:v>0.43301270189221969</c:v>
                </c:pt>
                <c:pt idx="17">
                  <c:v>0.22414386804201331</c:v>
                </c:pt>
                <c:pt idx="18">
                  <c:v>2.1220193707162375E-16</c:v>
                </c:pt>
                <c:pt idx="19">
                  <c:v>-0.22414386804201364</c:v>
                </c:pt>
                <c:pt idx="20">
                  <c:v>-0.4330127018922193</c:v>
                </c:pt>
                <c:pt idx="21">
                  <c:v>-0.61237243569579436</c:v>
                </c:pt>
                <c:pt idx="22">
                  <c:v>-0.74999999999999967</c:v>
                </c:pt>
                <c:pt idx="23">
                  <c:v>-0.83651630373780783</c:v>
                </c:pt>
                <c:pt idx="24">
                  <c:v>-0.8660254037844386</c:v>
                </c:pt>
                <c:pt idx="25">
                  <c:v>-0.83651630373780794</c:v>
                </c:pt>
                <c:pt idx="26">
                  <c:v>-0.75000000000000044</c:v>
                </c:pt>
                <c:pt idx="27">
                  <c:v>-0.61237243569579525</c:v>
                </c:pt>
                <c:pt idx="28">
                  <c:v>-0.43301270189221913</c:v>
                </c:pt>
                <c:pt idx="29">
                  <c:v>-0.22414386804201339</c:v>
                </c:pt>
                <c:pt idx="30">
                  <c:v>-3.183029056074356E-16</c:v>
                </c:pt>
                <c:pt idx="31">
                  <c:v>0.22414386804201281</c:v>
                </c:pt>
                <c:pt idx="32">
                  <c:v>0.43301270189221858</c:v>
                </c:pt>
                <c:pt idx="33">
                  <c:v>0.6123724356957948</c:v>
                </c:pt>
                <c:pt idx="34">
                  <c:v>0.75</c:v>
                </c:pt>
                <c:pt idx="35">
                  <c:v>0.83651630373780783</c:v>
                </c:pt>
                <c:pt idx="36">
                  <c:v>0.8660254037844386</c:v>
                </c:pt>
                <c:pt idx="37">
                  <c:v>0.83651630373780761</c:v>
                </c:pt>
                <c:pt idx="38">
                  <c:v>0.74999999999999967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B-4BFE-BDB8-3E859255A479}"/>
            </c:ext>
          </c:extLst>
        </c:ser>
        <c:ser>
          <c:idx val="6"/>
          <c:order val="6"/>
          <c:tx>
            <c:strRef>
              <c:f>Scheinleistung!$J$18</c:f>
              <c:strCache>
                <c:ptCount val="1"/>
                <c:pt idx="0">
                  <c:v>I = IP + IQ = 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B-4BFE-BDB8-3E859255A479}"/>
            </c:ext>
          </c:extLst>
        </c:ser>
        <c:ser>
          <c:idx val="7"/>
          <c:order val="7"/>
          <c:tx>
            <c:strRef>
              <c:f>Scheinleistung!$J$22</c:f>
              <c:strCache>
                <c:ptCount val="1"/>
                <c:pt idx="0">
                  <c:v>Wirkleistung P = U *IP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Scheinleistung!$M$22:$AY$22</c:f>
              <c:numCache>
                <c:formatCode>0.00</c:formatCode>
                <c:ptCount val="39"/>
                <c:pt idx="0">
                  <c:v>0</c:v>
                </c:pt>
                <c:pt idx="1">
                  <c:v>3.3493649053890337E-2</c:v>
                </c:pt>
                <c:pt idx="2">
                  <c:v>0.12499999999999999</c:v>
                </c:pt>
                <c:pt idx="3">
                  <c:v>0.25</c:v>
                </c:pt>
                <c:pt idx="4">
                  <c:v>0.37500000000000006</c:v>
                </c:pt>
                <c:pt idx="5">
                  <c:v>0.46650635094610982</c:v>
                </c:pt>
                <c:pt idx="6">
                  <c:v>0.50000000000000011</c:v>
                </c:pt>
                <c:pt idx="7">
                  <c:v>0.46650635094610982</c:v>
                </c:pt>
                <c:pt idx="8">
                  <c:v>0.37500000000000017</c:v>
                </c:pt>
                <c:pt idx="9">
                  <c:v>0.25000000000000006</c:v>
                </c:pt>
                <c:pt idx="10">
                  <c:v>0.12499999999999999</c:v>
                </c:pt>
                <c:pt idx="11">
                  <c:v>3.3493649053890413E-2</c:v>
                </c:pt>
                <c:pt idx="12">
                  <c:v>7.504943682824896E-33</c:v>
                </c:pt>
                <c:pt idx="13">
                  <c:v>3.349364905389024E-2</c:v>
                </c:pt>
                <c:pt idx="14">
                  <c:v>0.12500000000000008</c:v>
                </c:pt>
                <c:pt idx="15">
                  <c:v>0.25</c:v>
                </c:pt>
                <c:pt idx="16">
                  <c:v>0.37499999999999983</c:v>
                </c:pt>
                <c:pt idx="17">
                  <c:v>0.46650635094610982</c:v>
                </c:pt>
                <c:pt idx="18">
                  <c:v>0.50000000000000011</c:v>
                </c:pt>
                <c:pt idx="19">
                  <c:v>0.4665063509461097</c:v>
                </c:pt>
                <c:pt idx="20">
                  <c:v>0.37500000000000006</c:v>
                </c:pt>
                <c:pt idx="21">
                  <c:v>0.25000000000000017</c:v>
                </c:pt>
                <c:pt idx="22">
                  <c:v>0.12500000000000025</c:v>
                </c:pt>
                <c:pt idx="23">
                  <c:v>3.3493649053890323E-2</c:v>
                </c:pt>
                <c:pt idx="24">
                  <c:v>3.0019774731299584E-32</c:v>
                </c:pt>
                <c:pt idx="25">
                  <c:v>3.3493649053890212E-2</c:v>
                </c:pt>
                <c:pt idx="26">
                  <c:v>0.12499999999999967</c:v>
                </c:pt>
                <c:pt idx="27">
                  <c:v>0.24999999999999944</c:v>
                </c:pt>
                <c:pt idx="28">
                  <c:v>0.37500000000000022</c:v>
                </c:pt>
                <c:pt idx="29">
                  <c:v>0.46650635094610982</c:v>
                </c:pt>
                <c:pt idx="30">
                  <c:v>0.50000000000000011</c:v>
                </c:pt>
                <c:pt idx="31">
                  <c:v>0.46650635094610993</c:v>
                </c:pt>
                <c:pt idx="32">
                  <c:v>0.37500000000000056</c:v>
                </c:pt>
                <c:pt idx="33">
                  <c:v>0.24999999999999975</c:v>
                </c:pt>
                <c:pt idx="34">
                  <c:v>0.12499999999999992</c:v>
                </c:pt>
                <c:pt idx="35">
                  <c:v>3.3493649053890351E-2</c:v>
                </c:pt>
                <c:pt idx="36">
                  <c:v>6.7544493145424073E-32</c:v>
                </c:pt>
                <c:pt idx="37">
                  <c:v>3.3493649053890628E-2</c:v>
                </c:pt>
                <c:pt idx="38">
                  <c:v>0.12500000000000036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B-4BFE-BDB8-3E859255A479}"/>
            </c:ext>
          </c:extLst>
        </c:ser>
        <c:ser>
          <c:idx val="8"/>
          <c:order val="8"/>
          <c:tx>
            <c:strRef>
              <c:f>Scheinleistung!$J$23</c:f>
              <c:strCache>
                <c:ptCount val="1"/>
                <c:pt idx="0">
                  <c:v>Blindleistung Q = U *IQ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Scheinleistung!$M$23:$AY$23</c:f>
              <c:numCache>
                <c:formatCode>0.00</c:formatCode>
                <c:ptCount val="39"/>
                <c:pt idx="0">
                  <c:v>0</c:v>
                </c:pt>
                <c:pt idx="1">
                  <c:v>-0.21650635094610962</c:v>
                </c:pt>
                <c:pt idx="2">
                  <c:v>-0.37499999999999994</c:v>
                </c:pt>
                <c:pt idx="3">
                  <c:v>-0.4330127018922193</c:v>
                </c:pt>
                <c:pt idx="4">
                  <c:v>-0.37500000000000022</c:v>
                </c:pt>
                <c:pt idx="5">
                  <c:v>-0.21650635094610948</c:v>
                </c:pt>
                <c:pt idx="6">
                  <c:v>-1.0610096853581188E-16</c:v>
                </c:pt>
                <c:pt idx="7">
                  <c:v>0.21650635094610968</c:v>
                </c:pt>
                <c:pt idx="8">
                  <c:v>0.37499999999999983</c:v>
                </c:pt>
                <c:pt idx="9">
                  <c:v>0.4330127018922193</c:v>
                </c:pt>
                <c:pt idx="10">
                  <c:v>0.375</c:v>
                </c:pt>
                <c:pt idx="11">
                  <c:v>0.21650635094610984</c:v>
                </c:pt>
                <c:pt idx="12">
                  <c:v>1.0610096853581188E-16</c:v>
                </c:pt>
                <c:pt idx="13">
                  <c:v>-0.21650635094610932</c:v>
                </c:pt>
                <c:pt idx="14">
                  <c:v>-0.375</c:v>
                </c:pt>
                <c:pt idx="15">
                  <c:v>-0.4330127018922193</c:v>
                </c:pt>
                <c:pt idx="16">
                  <c:v>-0.37500000000000022</c:v>
                </c:pt>
                <c:pt idx="17">
                  <c:v>-0.21650635094610959</c:v>
                </c:pt>
                <c:pt idx="18">
                  <c:v>-2.1220193707162375E-16</c:v>
                </c:pt>
                <c:pt idx="19">
                  <c:v>0.2165063509461099</c:v>
                </c:pt>
                <c:pt idx="20">
                  <c:v>0.37499999999999994</c:v>
                </c:pt>
                <c:pt idx="21">
                  <c:v>0.4330127018922193</c:v>
                </c:pt>
                <c:pt idx="22">
                  <c:v>0.37500000000000017</c:v>
                </c:pt>
                <c:pt idx="23">
                  <c:v>0.21650635094610957</c:v>
                </c:pt>
                <c:pt idx="24">
                  <c:v>2.1220193707162375E-16</c:v>
                </c:pt>
                <c:pt idx="25">
                  <c:v>-0.21650635094610923</c:v>
                </c:pt>
                <c:pt idx="26">
                  <c:v>-0.37499999999999967</c:v>
                </c:pt>
                <c:pt idx="27">
                  <c:v>-0.4330127018922193</c:v>
                </c:pt>
                <c:pt idx="28">
                  <c:v>-0.37499999999999989</c:v>
                </c:pt>
                <c:pt idx="29">
                  <c:v>-0.21650635094610968</c:v>
                </c:pt>
                <c:pt idx="30">
                  <c:v>-3.183029056074356E-16</c:v>
                </c:pt>
                <c:pt idx="31">
                  <c:v>0.21650635094610915</c:v>
                </c:pt>
                <c:pt idx="32">
                  <c:v>0.37499999999999956</c:v>
                </c:pt>
                <c:pt idx="33">
                  <c:v>0.4330127018922193</c:v>
                </c:pt>
                <c:pt idx="34">
                  <c:v>0.37499999999999983</c:v>
                </c:pt>
                <c:pt idx="35">
                  <c:v>0.21650635094610968</c:v>
                </c:pt>
                <c:pt idx="36">
                  <c:v>3.183029056074356E-16</c:v>
                </c:pt>
                <c:pt idx="37">
                  <c:v>-0.21650635094611048</c:v>
                </c:pt>
                <c:pt idx="38">
                  <c:v>-0.37500000000000033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4B-4BFE-BDB8-3E859255A479}"/>
            </c:ext>
          </c:extLst>
        </c:ser>
        <c:ser>
          <c:idx val="9"/>
          <c:order val="9"/>
          <c:tx>
            <c:strRef>
              <c:f>Scheinleistung!$Z$4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Scheinleistung!$Z$5:$AA$5</c:f>
              <c:numCache>
                <c:formatCode>General</c:formatCode>
                <c:ptCount val="2"/>
                <c:pt idx="0">
                  <c:v>0</c:v>
                </c:pt>
                <c:pt idx="1">
                  <c:v>570</c:v>
                </c:pt>
              </c:numCache>
            </c:numRef>
          </c:xVal>
          <c:yVal>
            <c:numRef>
              <c:f>Scheinleistung!$Z$6:$AA$6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4B-4BFE-BDB8-3E859255A479}"/>
            </c:ext>
          </c:extLst>
        </c:ser>
        <c:ser>
          <c:idx val="10"/>
          <c:order val="10"/>
          <c:tx>
            <c:strRef>
              <c:f>Scheinleistung!$AC$4</c:f>
              <c:strCache>
                <c:ptCount val="1"/>
                <c:pt idx="0">
                  <c:v>y-Achse: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Scheinleistung!$AC$5:$AD$5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Scheinleistung!$AC$6:$AD$6</c:f>
              <c:numCache>
                <c:formatCode>0.00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4B-4BFE-BDB8-3E859255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rgbClr val="00B0F0"/>
                    </a:solidFill>
                  </a:rPr>
                  <a:t>Spannung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0000"/>
                    </a:solidFill>
                  </a:rPr>
                  <a:t>Stromstärke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C000"/>
                    </a:solidFill>
                  </a:rPr>
                  <a:t>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6"/>
        <c:delete val="1"/>
      </c:legendEntry>
      <c:legendEntry>
        <c:idx val="9"/>
        <c:delete val="1"/>
      </c:legendEntry>
      <c:layout>
        <c:manualLayout>
          <c:xMode val="edge"/>
          <c:yMode val="edge"/>
          <c:x val="5.898518426161177E-2"/>
          <c:y val="0.84164438344576964"/>
          <c:w val="0.77190440883160338"/>
          <c:h val="0.15835557119784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57301282007805E-2"/>
          <c:y val="3.3732357816931936E-2"/>
          <c:w val="0.89301102557668788"/>
          <c:h val="0.9325352336794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'3-Phasenstrom'!$Q$9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'3-Phasenstrom'!$R$11:$U$11</c:f>
              <c:numCache>
                <c:formatCode>#,##0.00</c:formatCode>
                <c:ptCount val="4"/>
                <c:pt idx="0">
                  <c:v>357.79603128039309</c:v>
                </c:pt>
                <c:pt idx="1">
                  <c:v>0</c:v>
                </c:pt>
                <c:pt idx="2">
                  <c:v>-357.79603128039309</c:v>
                </c:pt>
                <c:pt idx="3">
                  <c:v>0</c:v>
                </c:pt>
              </c:numCache>
            </c:numRef>
          </c:xVal>
          <c:yVal>
            <c:numRef>
              <c:f>'3-Phasenstrom'!$R$12:$U$12</c:f>
              <c:numCache>
                <c:formatCode>#,##0.00</c:formatCode>
                <c:ptCount val="4"/>
                <c:pt idx="0">
                  <c:v>0</c:v>
                </c:pt>
                <c:pt idx="1">
                  <c:v>357.79603128039309</c:v>
                </c:pt>
                <c:pt idx="2">
                  <c:v>0</c:v>
                </c:pt>
                <c:pt idx="3">
                  <c:v>-357.79603128039309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7-4F94-8E75-33D0B3E188C6}"/>
            </c:ext>
          </c:extLst>
        </c:ser>
        <c:ser>
          <c:idx val="1"/>
          <c:order val="1"/>
          <c:tx>
            <c:strRef>
              <c:f>'3-Phasenstrom'!$B$11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'3-Phasenstrom'!$L$11:$M$11</c:f>
              <c:numCache>
                <c:formatCode>#,##0.00</c:formatCode>
                <c:ptCount val="2"/>
                <c:pt idx="0">
                  <c:v>0</c:v>
                </c:pt>
                <c:pt idx="1">
                  <c:v>325.26911934581187</c:v>
                </c:pt>
              </c:numCache>
            </c:numRef>
          </c:xVal>
          <c:yVal>
            <c:numRef>
              <c:f>'3-Phasenstrom'!$N$11:$O$11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7-4F94-8E75-33D0B3E188C6}"/>
            </c:ext>
          </c:extLst>
        </c:ser>
        <c:ser>
          <c:idx val="2"/>
          <c:order val="2"/>
          <c:tx>
            <c:strRef>
              <c:f>'3-Phasenstrom'!$B$12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solidFill>
                <a:schemeClr val="tx1">
                  <a:lumMod val="95000"/>
                  <a:lumOff val="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'3-Phasenstrom'!$L$12:$M$12</c:f>
              <c:numCache>
                <c:formatCode>#,##0.00</c:formatCode>
                <c:ptCount val="2"/>
                <c:pt idx="0">
                  <c:v>0</c:v>
                </c:pt>
                <c:pt idx="1">
                  <c:v>-162.63455967290585</c:v>
                </c:pt>
              </c:numCache>
            </c:numRef>
          </c:xVal>
          <c:yVal>
            <c:numRef>
              <c:f>'3-Phasenstrom'!$N$12:$O$12</c:f>
              <c:numCache>
                <c:formatCode>#,##0.00</c:formatCode>
                <c:ptCount val="2"/>
                <c:pt idx="0">
                  <c:v>0</c:v>
                </c:pt>
                <c:pt idx="1">
                  <c:v>281.69132042006549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7-4F94-8E75-33D0B3E188C6}"/>
            </c:ext>
          </c:extLst>
        </c:ser>
        <c:ser>
          <c:idx val="6"/>
          <c:order val="3"/>
          <c:tx>
            <c:strRef>
              <c:f>'3-Phasenstrom'!$B$13</c:f>
              <c:strCache>
                <c:ptCount val="1"/>
                <c:pt idx="0">
                  <c:v>L3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'3-Phasenstrom'!$L$13:$M$13</c:f>
              <c:numCache>
                <c:formatCode>#,##0.00</c:formatCode>
                <c:ptCount val="2"/>
                <c:pt idx="0">
                  <c:v>0</c:v>
                </c:pt>
                <c:pt idx="1">
                  <c:v>-162.63455967290608</c:v>
                </c:pt>
              </c:numCache>
            </c:numRef>
          </c:xVal>
          <c:yVal>
            <c:numRef>
              <c:f>'3-Phasenstrom'!$N$13:$O$13</c:f>
              <c:numCache>
                <c:formatCode>#,##0.00</c:formatCode>
                <c:ptCount val="2"/>
                <c:pt idx="0">
                  <c:v>0</c:v>
                </c:pt>
                <c:pt idx="1">
                  <c:v>-281.69132042006538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E-45B9-8F1E-B96AB731D0ED}"/>
            </c:ext>
          </c:extLst>
        </c:ser>
        <c:ser>
          <c:idx val="3"/>
          <c:order val="4"/>
          <c:tx>
            <c:strRef>
              <c:f>'3-Phasenstrom'!$B$14</c:f>
              <c:strCache>
                <c:ptCount val="1"/>
                <c:pt idx="0">
                  <c:v>L1 - L2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'3-Phasenstrom'!$L$14:$M$14</c:f>
              <c:numCache>
                <c:formatCode>#,##0.00</c:formatCode>
                <c:ptCount val="2"/>
                <c:pt idx="0">
                  <c:v>325.26911934581187</c:v>
                </c:pt>
                <c:pt idx="1">
                  <c:v>-162.63455967290585</c:v>
                </c:pt>
              </c:numCache>
            </c:numRef>
          </c:xVal>
          <c:yVal>
            <c:numRef>
              <c:f>'3-Phasenstrom'!$N$14:$O$14</c:f>
              <c:numCache>
                <c:formatCode>#,##0.00</c:formatCode>
                <c:ptCount val="2"/>
                <c:pt idx="0">
                  <c:v>0</c:v>
                </c:pt>
                <c:pt idx="1">
                  <c:v>281.69132042006549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7-4F94-8E75-33D0B3E188C6}"/>
            </c:ext>
          </c:extLst>
        </c:ser>
        <c:ser>
          <c:idx val="4"/>
          <c:order val="5"/>
          <c:tx>
            <c:strRef>
              <c:f>'3-Phasenstrom'!$W$9</c:f>
              <c:strCache>
                <c:ptCount val="1"/>
                <c:pt idx="0">
                  <c:v>Horizontale L2H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'3-Phasenstrom'!$W$10:$X$10</c:f>
              <c:numCache>
                <c:formatCode>General</c:formatCode>
                <c:ptCount val="2"/>
                <c:pt idx="0">
                  <c:v>0</c:v>
                </c:pt>
                <c:pt idx="1">
                  <c:v>-162.63455967290585</c:v>
                </c:pt>
              </c:numCache>
            </c:numRef>
          </c:xVal>
          <c:yVal>
            <c:numRef>
              <c:f>'3-Phasenstrom'!$W$11:$X$11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7A4-9968-E92710E7BD37}"/>
            </c:ext>
          </c:extLst>
        </c:ser>
        <c:ser>
          <c:idx val="5"/>
          <c:order val="6"/>
          <c:tx>
            <c:strRef>
              <c:f>'3-Phasenstrom'!$Z$9</c:f>
              <c:strCache>
                <c:ptCount val="1"/>
                <c:pt idx="0">
                  <c:v>Vertikale L2V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'3-Phasenstrom'!$Z$10:$AA$10</c:f>
              <c:numCache>
                <c:formatCode>General</c:formatCode>
                <c:ptCount val="2"/>
                <c:pt idx="0">
                  <c:v>-162.63455967290585</c:v>
                </c:pt>
                <c:pt idx="1">
                  <c:v>-162.63455967290585</c:v>
                </c:pt>
              </c:numCache>
            </c:numRef>
          </c:xVal>
          <c:yVal>
            <c:numRef>
              <c:f>'3-Phasenstrom'!$Z$11:$AA$11</c:f>
              <c:numCache>
                <c:formatCode>General</c:formatCode>
                <c:ptCount val="2"/>
                <c:pt idx="0">
                  <c:v>0</c:v>
                </c:pt>
                <c:pt idx="1">
                  <c:v>281.69132042006549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8-49F0-ABDA-D2D27E06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'3-Phasenstrom'!$L$22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'3-Phasenstrom'!$M$20:$AW$20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'3-Phasenstrom'!$M$22:$AW$22</c:f>
              <c:numCache>
                <c:formatCode>General</c:formatCode>
                <c:ptCount val="37"/>
                <c:pt idx="0">
                  <c:v>0</c:v>
                </c:pt>
                <c:pt idx="1">
                  <c:v>56.482389825727509</c:v>
                </c:pt>
                <c:pt idx="2">
                  <c:v>111.24859081806862</c:v>
                </c:pt>
                <c:pt idx="3">
                  <c:v>162.63455967290591</c:v>
                </c:pt>
                <c:pt idx="4">
                  <c:v>209.07895972914008</c:v>
                </c:pt>
                <c:pt idx="5">
                  <c:v>249.17060139306287</c:v>
                </c:pt>
                <c:pt idx="6">
                  <c:v>281.69132042006549</c:v>
                </c:pt>
                <c:pt idx="7">
                  <c:v>305.65299121879036</c:v>
                </c:pt>
                <c:pt idx="8">
                  <c:v>320.32755054720872</c:v>
                </c:pt>
                <c:pt idx="9">
                  <c:v>325.26911934581187</c:v>
                </c:pt>
                <c:pt idx="10">
                  <c:v>320.32755054720872</c:v>
                </c:pt>
                <c:pt idx="11">
                  <c:v>305.65299121879036</c:v>
                </c:pt>
                <c:pt idx="12">
                  <c:v>281.69132042006549</c:v>
                </c:pt>
                <c:pt idx="13">
                  <c:v>249.17060139306287</c:v>
                </c:pt>
                <c:pt idx="14">
                  <c:v>209.07895972914014</c:v>
                </c:pt>
                <c:pt idx="15">
                  <c:v>162.63455967290591</c:v>
                </c:pt>
                <c:pt idx="16">
                  <c:v>111.24859081806868</c:v>
                </c:pt>
                <c:pt idx="17">
                  <c:v>56.482389825727488</c:v>
                </c:pt>
                <c:pt idx="18">
                  <c:v>3.9850295899600895E-14</c:v>
                </c:pt>
                <c:pt idx="19">
                  <c:v>-56.482389825727552</c:v>
                </c:pt>
                <c:pt idx="20">
                  <c:v>-111.24859081806861</c:v>
                </c:pt>
                <c:pt idx="21">
                  <c:v>-162.63455967290597</c:v>
                </c:pt>
                <c:pt idx="22">
                  <c:v>-209.07895972914008</c:v>
                </c:pt>
                <c:pt idx="23">
                  <c:v>-249.17060139306281</c:v>
                </c:pt>
                <c:pt idx="24">
                  <c:v>-281.69132042006538</c:v>
                </c:pt>
                <c:pt idx="25">
                  <c:v>-305.65299121879031</c:v>
                </c:pt>
                <c:pt idx="26">
                  <c:v>-320.32755054720872</c:v>
                </c:pt>
                <c:pt idx="27">
                  <c:v>-325.26911934581187</c:v>
                </c:pt>
                <c:pt idx="28">
                  <c:v>-320.32755054720877</c:v>
                </c:pt>
                <c:pt idx="29">
                  <c:v>-305.65299121879042</c:v>
                </c:pt>
                <c:pt idx="30">
                  <c:v>-281.69132042006549</c:v>
                </c:pt>
                <c:pt idx="31">
                  <c:v>-249.1706013930629</c:v>
                </c:pt>
                <c:pt idx="32">
                  <c:v>-209.07895972914019</c:v>
                </c:pt>
                <c:pt idx="33">
                  <c:v>-162.63455967290608</c:v>
                </c:pt>
                <c:pt idx="34">
                  <c:v>-111.24859081806858</c:v>
                </c:pt>
                <c:pt idx="35">
                  <c:v>-56.482389825727815</c:v>
                </c:pt>
                <c:pt idx="36">
                  <c:v>-7.9700591799201791E-14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0-4BE0-900A-AB7A282E3B42}"/>
            </c:ext>
          </c:extLst>
        </c:ser>
        <c:ser>
          <c:idx val="1"/>
          <c:order val="1"/>
          <c:tx>
            <c:strRef>
              <c:f>'3-Phasenstrom'!$L$23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'3-Phasenstrom'!$M$20:$AW$20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'3-Phasenstrom'!$M$23:$AW$23</c:f>
              <c:numCache>
                <c:formatCode>General</c:formatCode>
                <c:ptCount val="37"/>
                <c:pt idx="0">
                  <c:v>281.69132042006549</c:v>
                </c:pt>
                <c:pt idx="1">
                  <c:v>249.17060139306295</c:v>
                </c:pt>
                <c:pt idx="2">
                  <c:v>209.07895972914014</c:v>
                </c:pt>
                <c:pt idx="3">
                  <c:v>162.63455967290605</c:v>
                </c:pt>
                <c:pt idx="4">
                  <c:v>111.24859081806868</c:v>
                </c:pt>
                <c:pt idx="5">
                  <c:v>56.482389825727623</c:v>
                </c:pt>
                <c:pt idx="6">
                  <c:v>3.9850295899600895E-14</c:v>
                </c:pt>
                <c:pt idx="7">
                  <c:v>-56.48238982572741</c:v>
                </c:pt>
                <c:pt idx="8">
                  <c:v>-111.24859081806845</c:v>
                </c:pt>
                <c:pt idx="9">
                  <c:v>-162.63455967290585</c:v>
                </c:pt>
                <c:pt idx="10">
                  <c:v>-209.07895972914008</c:v>
                </c:pt>
                <c:pt idx="11">
                  <c:v>-249.17060139306281</c:v>
                </c:pt>
                <c:pt idx="12">
                  <c:v>-281.69132042006538</c:v>
                </c:pt>
                <c:pt idx="13">
                  <c:v>-305.65299121879036</c:v>
                </c:pt>
                <c:pt idx="14">
                  <c:v>-320.32755054720872</c:v>
                </c:pt>
                <c:pt idx="15">
                  <c:v>-325.26911934581187</c:v>
                </c:pt>
                <c:pt idx="16">
                  <c:v>-320.32755054720877</c:v>
                </c:pt>
                <c:pt idx="17">
                  <c:v>-305.65299121879042</c:v>
                </c:pt>
                <c:pt idx="18">
                  <c:v>-281.69132042006561</c:v>
                </c:pt>
                <c:pt idx="19">
                  <c:v>-249.1706013930629</c:v>
                </c:pt>
                <c:pt idx="20">
                  <c:v>-209.07895972914019</c:v>
                </c:pt>
                <c:pt idx="21">
                  <c:v>-162.63455967290582</c:v>
                </c:pt>
                <c:pt idx="22">
                  <c:v>-111.24859081806858</c:v>
                </c:pt>
                <c:pt idx="23">
                  <c:v>-56.482389825727523</c:v>
                </c:pt>
                <c:pt idx="24">
                  <c:v>-7.9700591799201791E-14</c:v>
                </c:pt>
                <c:pt idx="25">
                  <c:v>56.482389825727374</c:v>
                </c:pt>
                <c:pt idx="26">
                  <c:v>111.24859081806842</c:v>
                </c:pt>
                <c:pt idx="27">
                  <c:v>162.63455967290571</c:v>
                </c:pt>
                <c:pt idx="28">
                  <c:v>209.07895972913983</c:v>
                </c:pt>
                <c:pt idx="29">
                  <c:v>249.17060139306261</c:v>
                </c:pt>
                <c:pt idx="30">
                  <c:v>281.69132042006555</c:v>
                </c:pt>
                <c:pt idx="31">
                  <c:v>305.65299121879036</c:v>
                </c:pt>
                <c:pt idx="32">
                  <c:v>320.32755054720872</c:v>
                </c:pt>
                <c:pt idx="33">
                  <c:v>325.26911934581187</c:v>
                </c:pt>
                <c:pt idx="34">
                  <c:v>320.32755054720877</c:v>
                </c:pt>
                <c:pt idx="35">
                  <c:v>305.65299121879048</c:v>
                </c:pt>
                <c:pt idx="36">
                  <c:v>281.69132042006567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0-4BE0-900A-AB7A282E3B42}"/>
            </c:ext>
          </c:extLst>
        </c:ser>
        <c:ser>
          <c:idx val="2"/>
          <c:order val="2"/>
          <c:tx>
            <c:strRef>
              <c:f>'3-Phasenstrom'!$L$25</c:f>
              <c:strCache>
                <c:ptCount val="1"/>
                <c:pt idx="0">
                  <c:v>L1 - L2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'3-Phasenstrom'!$M$20:$AW$20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'3-Phasenstrom'!$M$25:$AW$25</c:f>
            </c:numRef>
          </c:yVal>
          <c:smooth val="1"/>
          <c:extLst>
            <c:ext xmlns:c16="http://schemas.microsoft.com/office/drawing/2014/chart" uri="{C3380CC4-5D6E-409C-BE32-E72D297353CC}">
              <c16:uniqueId val="{00000002-1280-4BE0-900A-AB7A282E3B42}"/>
            </c:ext>
          </c:extLst>
        </c:ser>
        <c:ser>
          <c:idx val="3"/>
          <c:order val="3"/>
          <c:tx>
            <c:strRef>
              <c:f>'3-Phasenstrom'!$L$24</c:f>
              <c:strCache>
                <c:ptCount val="1"/>
                <c:pt idx="0">
                  <c:v>L3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'3-Phasenstrom'!$M$20:$AW$20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'3-Phasenstrom'!$M$24:$AW$24</c:f>
              <c:numCache>
                <c:formatCode>General</c:formatCode>
                <c:ptCount val="37"/>
                <c:pt idx="0">
                  <c:v>-281.69132042006538</c:v>
                </c:pt>
                <c:pt idx="1">
                  <c:v>-305.65299121879031</c:v>
                </c:pt>
                <c:pt idx="2">
                  <c:v>-320.32755054720866</c:v>
                </c:pt>
                <c:pt idx="3">
                  <c:v>-325.26911934581187</c:v>
                </c:pt>
                <c:pt idx="4">
                  <c:v>-320.32755054720877</c:v>
                </c:pt>
                <c:pt idx="5">
                  <c:v>-305.65299121879042</c:v>
                </c:pt>
                <c:pt idx="6">
                  <c:v>-281.69132042006561</c:v>
                </c:pt>
                <c:pt idx="7">
                  <c:v>-249.17060139306307</c:v>
                </c:pt>
                <c:pt idx="8">
                  <c:v>-209.07895972914019</c:v>
                </c:pt>
                <c:pt idx="9">
                  <c:v>-162.63455967290608</c:v>
                </c:pt>
                <c:pt idx="10">
                  <c:v>-111.24859081806885</c:v>
                </c:pt>
                <c:pt idx="11">
                  <c:v>-56.482389825727523</c:v>
                </c:pt>
                <c:pt idx="12">
                  <c:v>-7.9700591799201791E-14</c:v>
                </c:pt>
                <c:pt idx="13">
                  <c:v>56.482389825727374</c:v>
                </c:pt>
                <c:pt idx="14">
                  <c:v>111.24859081806842</c:v>
                </c:pt>
                <c:pt idx="15">
                  <c:v>162.63455967290571</c:v>
                </c:pt>
                <c:pt idx="16">
                  <c:v>209.07895972913983</c:v>
                </c:pt>
                <c:pt idx="17">
                  <c:v>249.17060139306278</c:v>
                </c:pt>
                <c:pt idx="18">
                  <c:v>281.69132042006538</c:v>
                </c:pt>
                <c:pt idx="19">
                  <c:v>305.65299121879036</c:v>
                </c:pt>
                <c:pt idx="20">
                  <c:v>320.32755054720872</c:v>
                </c:pt>
                <c:pt idx="21">
                  <c:v>325.26911934581187</c:v>
                </c:pt>
                <c:pt idx="22">
                  <c:v>320.32755054720877</c:v>
                </c:pt>
                <c:pt idx="23">
                  <c:v>305.65299121879048</c:v>
                </c:pt>
                <c:pt idx="24">
                  <c:v>281.69132042006567</c:v>
                </c:pt>
                <c:pt idx="25">
                  <c:v>249.17060139306309</c:v>
                </c:pt>
                <c:pt idx="26">
                  <c:v>209.07895972914</c:v>
                </c:pt>
                <c:pt idx="27">
                  <c:v>162.63455967290585</c:v>
                </c:pt>
                <c:pt idx="28">
                  <c:v>111.24859081806862</c:v>
                </c:pt>
                <c:pt idx="29">
                  <c:v>56.482389825727559</c:v>
                </c:pt>
                <c:pt idx="30">
                  <c:v>1.1955088769880268E-13</c:v>
                </c:pt>
                <c:pt idx="31">
                  <c:v>-56.482389825727324</c:v>
                </c:pt>
                <c:pt idx="32">
                  <c:v>-111.24859081806838</c:v>
                </c:pt>
                <c:pt idx="33">
                  <c:v>-162.63455967290565</c:v>
                </c:pt>
                <c:pt idx="34">
                  <c:v>-209.0789597291398</c:v>
                </c:pt>
                <c:pt idx="35">
                  <c:v>-249.17060139306255</c:v>
                </c:pt>
                <c:pt idx="36">
                  <c:v>-281.69132042006521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1-4066-8236-E0D183FFA540}"/>
            </c:ext>
          </c:extLst>
        </c:ser>
        <c:ser>
          <c:idx val="4"/>
          <c:order val="4"/>
          <c:tx>
            <c:strRef>
              <c:f>'3-Phasenstrom'!$L$26</c:f>
              <c:strCache>
                <c:ptCount val="1"/>
                <c:pt idx="0">
                  <c:v>L1 - L2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'3-Phasenstrom'!$M$20:$AW$20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'3-Phasenstrom'!$M$26:$AW$26</c:f>
              <c:numCache>
                <c:formatCode>General</c:formatCode>
                <c:ptCount val="37"/>
                <c:pt idx="0">
                  <c:v>-281.69132042006549</c:v>
                </c:pt>
                <c:pt idx="1">
                  <c:v>-192.68821156733543</c:v>
                </c:pt>
                <c:pt idx="2">
                  <c:v>-97.830368911071517</c:v>
                </c:pt>
                <c:pt idx="3">
                  <c:v>0</c:v>
                </c:pt>
                <c:pt idx="4">
                  <c:v>97.830368911071403</c:v>
                </c:pt>
                <c:pt idx="5">
                  <c:v>192.68821156733526</c:v>
                </c:pt>
                <c:pt idx="6">
                  <c:v>281.69132042006544</c:v>
                </c:pt>
                <c:pt idx="7">
                  <c:v>362.13538104451777</c:v>
                </c:pt>
                <c:pt idx="8">
                  <c:v>431.57614136527718</c:v>
                </c:pt>
                <c:pt idx="9">
                  <c:v>487.90367901871775</c:v>
                </c:pt>
                <c:pt idx="10">
                  <c:v>529.40651027634885</c:v>
                </c:pt>
                <c:pt idx="11">
                  <c:v>554.8235926118532</c:v>
                </c:pt>
                <c:pt idx="12">
                  <c:v>563.38264084013088</c:v>
                </c:pt>
                <c:pt idx="13">
                  <c:v>554.8235926118532</c:v>
                </c:pt>
                <c:pt idx="14">
                  <c:v>529.40651027634885</c:v>
                </c:pt>
                <c:pt idx="15">
                  <c:v>487.90367901871775</c:v>
                </c:pt>
                <c:pt idx="16">
                  <c:v>431.57614136527746</c:v>
                </c:pt>
                <c:pt idx="17">
                  <c:v>362.13538104451789</c:v>
                </c:pt>
                <c:pt idx="18">
                  <c:v>281.69132042006567</c:v>
                </c:pt>
                <c:pt idx="19">
                  <c:v>192.68821156733534</c:v>
                </c:pt>
                <c:pt idx="20">
                  <c:v>97.830368911071588</c:v>
                </c:pt>
                <c:pt idx="21">
                  <c:v>0</c:v>
                </c:pt>
                <c:pt idx="22">
                  <c:v>-97.830368911071503</c:v>
                </c:pt>
                <c:pt idx="23">
                  <c:v>-192.68821156733529</c:v>
                </c:pt>
                <c:pt idx="24">
                  <c:v>-281.69132042006532</c:v>
                </c:pt>
                <c:pt idx="25">
                  <c:v>-362.13538104451766</c:v>
                </c:pt>
                <c:pt idx="26">
                  <c:v>-431.57614136527712</c:v>
                </c:pt>
                <c:pt idx="27">
                  <c:v>-487.90367901871758</c:v>
                </c:pt>
                <c:pt idx="28">
                  <c:v>-529.40651027634863</c:v>
                </c:pt>
                <c:pt idx="29">
                  <c:v>-554.82359261185297</c:v>
                </c:pt>
                <c:pt idx="30">
                  <c:v>-563.38264084013099</c:v>
                </c:pt>
                <c:pt idx="31">
                  <c:v>-554.8235926118532</c:v>
                </c:pt>
                <c:pt idx="32">
                  <c:v>-529.40651027634885</c:v>
                </c:pt>
                <c:pt idx="33">
                  <c:v>-487.90367901871798</c:v>
                </c:pt>
                <c:pt idx="34">
                  <c:v>-431.57614136527735</c:v>
                </c:pt>
                <c:pt idx="35">
                  <c:v>-362.13538104451828</c:v>
                </c:pt>
                <c:pt idx="36">
                  <c:v>-281.69132042006572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2-469D-A603-4C1FD6D5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Polygone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'Fläche eines Polygones'!$D$23:$D$36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'Fläche eines Polygones'!$E$23:$E$36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4-464B-B01F-A5D60F4C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21375"/>
        <c:axId val="570809855"/>
      </c:scatterChart>
      <c:valAx>
        <c:axId val="57082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09855"/>
        <c:crosses val="autoZero"/>
        <c:crossBetween val="midCat"/>
      </c:valAx>
      <c:valAx>
        <c:axId val="570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2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15.400000000000002</c:v>
                </c:pt>
                <c:pt idx="1">
                  <c:v>0</c:v>
                </c:pt>
                <c:pt idx="2">
                  <c:v>-15.400000000000002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15.400000000000002</c:v>
                </c:pt>
                <c:pt idx="2">
                  <c:v>0</c:v>
                </c:pt>
                <c:pt idx="3">
                  <c:v>-15.400000000000002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-14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Vektor!$L$23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Vektor!$M$23:$AW$23</c:f>
              <c:numCache>
                <c:formatCode>General</c:formatCode>
                <c:ptCount val="37"/>
                <c:pt idx="0">
                  <c:v>1.22514845490862E-15</c:v>
                </c:pt>
                <c:pt idx="1">
                  <c:v>-1.7364817766693004</c:v>
                </c:pt>
                <c:pt idx="2">
                  <c:v>-3.4202014332566866</c:v>
                </c:pt>
                <c:pt idx="3">
                  <c:v>-4.9999999999999973</c:v>
                </c:pt>
                <c:pt idx="4">
                  <c:v>-6.4278760968653925</c:v>
                </c:pt>
                <c:pt idx="5">
                  <c:v>-7.660444431189779</c:v>
                </c:pt>
                <c:pt idx="6">
                  <c:v>-8.6602540378443837</c:v>
                </c:pt>
                <c:pt idx="7">
                  <c:v>-9.3969262078590852</c:v>
                </c:pt>
                <c:pt idx="8">
                  <c:v>-9.8480775301220795</c:v>
                </c:pt>
                <c:pt idx="9">
                  <c:v>-10</c:v>
                </c:pt>
                <c:pt idx="10">
                  <c:v>-9.8480775301220813</c:v>
                </c:pt>
                <c:pt idx="11">
                  <c:v>-9.3969262078590852</c:v>
                </c:pt>
                <c:pt idx="12">
                  <c:v>-8.6602540378443909</c:v>
                </c:pt>
                <c:pt idx="13">
                  <c:v>-7.6604444311897808</c:v>
                </c:pt>
                <c:pt idx="14">
                  <c:v>-6.4278760968653961</c:v>
                </c:pt>
                <c:pt idx="15">
                  <c:v>-4.9999999999999964</c:v>
                </c:pt>
                <c:pt idx="16">
                  <c:v>-3.4202014332566861</c:v>
                </c:pt>
                <c:pt idx="17">
                  <c:v>-1.7364817766693039</c:v>
                </c:pt>
                <c:pt idx="18">
                  <c:v>-2.45029690981724E-15</c:v>
                </c:pt>
                <c:pt idx="19">
                  <c:v>1.736481776669299</c:v>
                </c:pt>
                <c:pt idx="20">
                  <c:v>3.4202014332566808</c:v>
                </c:pt>
                <c:pt idx="21">
                  <c:v>5</c:v>
                </c:pt>
                <c:pt idx="22">
                  <c:v>6.4278760968653916</c:v>
                </c:pt>
                <c:pt idx="23">
                  <c:v>7.6604444311897781</c:v>
                </c:pt>
                <c:pt idx="24">
                  <c:v>8.6602540378443837</c:v>
                </c:pt>
                <c:pt idx="25">
                  <c:v>9.3969262078590816</c:v>
                </c:pt>
                <c:pt idx="26">
                  <c:v>9.8480775301220795</c:v>
                </c:pt>
                <c:pt idx="27">
                  <c:v>10</c:v>
                </c:pt>
                <c:pt idx="28">
                  <c:v>9.8480775301220813</c:v>
                </c:pt>
                <c:pt idx="29">
                  <c:v>9.3969262078590869</c:v>
                </c:pt>
                <c:pt idx="30">
                  <c:v>8.660254037844382</c:v>
                </c:pt>
                <c:pt idx="31">
                  <c:v>7.6604444311897755</c:v>
                </c:pt>
                <c:pt idx="32">
                  <c:v>6.4278760968653899</c:v>
                </c:pt>
                <c:pt idx="33">
                  <c:v>4.9999999999999982</c:v>
                </c:pt>
                <c:pt idx="34">
                  <c:v>3.420201433256687</c:v>
                </c:pt>
                <c:pt idx="35">
                  <c:v>1.736481776669305</c:v>
                </c:pt>
                <c:pt idx="36">
                  <c:v>3.67544536472586E-15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5-4A5F-8259-FAA7631A2C0C}"/>
            </c:ext>
          </c:extLst>
        </c:ser>
        <c:ser>
          <c:idx val="1"/>
          <c:order val="1"/>
          <c:tx>
            <c:strRef>
              <c:f>Vektor!$L$24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Vektor!$M$24:$AW$24</c:f>
              <c:numCache>
                <c:formatCode>General</c:formatCode>
                <c:ptCount val="37"/>
                <c:pt idx="0">
                  <c:v>5.0000000000000009</c:v>
                </c:pt>
                <c:pt idx="1">
                  <c:v>4.2294460543933212</c:v>
                </c:pt>
                <c:pt idx="2">
                  <c:v>3.330382530626868</c:v>
                </c:pt>
                <c:pt idx="3">
                  <c:v>2.3301270189221959</c:v>
                </c:pt>
                <c:pt idx="4">
                  <c:v>1.2590717768487343</c:v>
                </c:pt>
                <c:pt idx="5">
                  <c:v>0.14976027595678734</c:v>
                </c:pt>
                <c:pt idx="6">
                  <c:v>-0.9641016151377505</c:v>
                </c:pt>
                <c:pt idx="7">
                  <c:v>-2.0486697665152875</c:v>
                </c:pt>
                <c:pt idx="8">
                  <c:v>-3.0709901237141795</c:v>
                </c:pt>
                <c:pt idx="9">
                  <c:v>-3.9999999999999978</c:v>
                </c:pt>
                <c:pt idx="10">
                  <c:v>-4.807471900383482</c:v>
                </c:pt>
                <c:pt idx="11">
                  <c:v>-5.4688711997719741</c:v>
                </c:pt>
                <c:pt idx="12">
                  <c:v>-5.9641016151377517</c:v>
                </c:pt>
                <c:pt idx="13">
                  <c:v>-6.2781158209086083</c:v>
                </c:pt>
                <c:pt idx="14">
                  <c:v>-6.4013726543410474</c:v>
                </c:pt>
                <c:pt idx="15">
                  <c:v>-6.3301270189221928</c:v>
                </c:pt>
                <c:pt idx="16">
                  <c:v>-6.0665436772322172</c:v>
                </c:pt>
                <c:pt idx="17">
                  <c:v>-5.6186314757287628</c:v>
                </c:pt>
                <c:pt idx="18">
                  <c:v>-5.0000000000000018</c:v>
                </c:pt>
                <c:pt idx="19">
                  <c:v>-4.2294460543933221</c:v>
                </c:pt>
                <c:pt idx="20">
                  <c:v>-3.3303825306268715</c:v>
                </c:pt>
                <c:pt idx="21">
                  <c:v>-2.3301270189221941</c:v>
                </c:pt>
                <c:pt idx="22">
                  <c:v>-1.2590717768487352</c:v>
                </c:pt>
                <c:pt idx="23">
                  <c:v>-0.14976027595678815</c:v>
                </c:pt>
                <c:pt idx="24">
                  <c:v>0.96410161513774961</c:v>
                </c:pt>
                <c:pt idx="25">
                  <c:v>2.048669766515284</c:v>
                </c:pt>
                <c:pt idx="26">
                  <c:v>3.070990123714179</c:v>
                </c:pt>
                <c:pt idx="27">
                  <c:v>3.9999999999999973</c:v>
                </c:pt>
                <c:pt idx="28">
                  <c:v>4.8074719003834812</c:v>
                </c:pt>
                <c:pt idx="29">
                  <c:v>5.4688711997719741</c:v>
                </c:pt>
                <c:pt idx="30">
                  <c:v>5.9641016151377544</c:v>
                </c:pt>
                <c:pt idx="31">
                  <c:v>6.2781158209086083</c:v>
                </c:pt>
                <c:pt idx="32">
                  <c:v>6.4013726543410474</c:v>
                </c:pt>
                <c:pt idx="33">
                  <c:v>6.3301270189221928</c:v>
                </c:pt>
                <c:pt idx="34">
                  <c:v>6.0665436772322172</c:v>
                </c:pt>
                <c:pt idx="35">
                  <c:v>5.6186314757287628</c:v>
                </c:pt>
                <c:pt idx="36">
                  <c:v>5.0000000000000027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5-4A5F-8259-FAA7631A2C0C}"/>
            </c:ext>
          </c:extLst>
        </c:ser>
        <c:ser>
          <c:idx val="2"/>
          <c:order val="2"/>
          <c:tx>
            <c:strRef>
              <c:f>Vektor!$L$25</c:f>
              <c:strCache>
                <c:ptCount val="1"/>
                <c:pt idx="0">
                  <c:v>V1 + V2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Vektor!$M$25:$AW$25</c:f>
              <c:numCache>
                <c:formatCode>General</c:formatCode>
                <c:ptCount val="37"/>
                <c:pt idx="0">
                  <c:v>5.0000000000000018</c:v>
                </c:pt>
                <c:pt idx="1">
                  <c:v>2.4929642777240208</c:v>
                </c:pt>
                <c:pt idx="2">
                  <c:v>-8.981890262981862E-2</c:v>
                </c:pt>
                <c:pt idx="3">
                  <c:v>-2.6698729810778015</c:v>
                </c:pt>
                <c:pt idx="4">
                  <c:v>-5.1688043200166582</c:v>
                </c:pt>
                <c:pt idx="5">
                  <c:v>-7.5106841552329913</c:v>
                </c:pt>
                <c:pt idx="6">
                  <c:v>-9.6243556529821337</c:v>
                </c:pt>
                <c:pt idx="7">
                  <c:v>-11.445595974374372</c:v>
                </c:pt>
                <c:pt idx="8">
                  <c:v>-12.919067653836258</c:v>
                </c:pt>
                <c:pt idx="9">
                  <c:v>-13.999999999999998</c:v>
                </c:pt>
                <c:pt idx="10">
                  <c:v>-14.655549430505562</c:v>
                </c:pt>
                <c:pt idx="11">
                  <c:v>-14.86579740763106</c:v>
                </c:pt>
                <c:pt idx="12">
                  <c:v>-14.624355652982143</c:v>
                </c:pt>
                <c:pt idx="13">
                  <c:v>-13.938560252098389</c:v>
                </c:pt>
                <c:pt idx="14">
                  <c:v>-12.829248751206443</c:v>
                </c:pt>
                <c:pt idx="15">
                  <c:v>-11.330127018922189</c:v>
                </c:pt>
                <c:pt idx="16">
                  <c:v>-9.4867451104889042</c:v>
                </c:pt>
                <c:pt idx="17">
                  <c:v>-7.3551132523980662</c:v>
                </c:pt>
                <c:pt idx="18">
                  <c:v>-5.0000000000000044</c:v>
                </c:pt>
                <c:pt idx="19">
                  <c:v>-2.4929642777240231</c:v>
                </c:pt>
                <c:pt idx="20">
                  <c:v>8.9818902629809294E-2</c:v>
                </c:pt>
                <c:pt idx="21">
                  <c:v>2.6698729810778059</c:v>
                </c:pt>
                <c:pt idx="22">
                  <c:v>5.1688043200166565</c:v>
                </c:pt>
                <c:pt idx="23">
                  <c:v>7.5106841552329904</c:v>
                </c:pt>
                <c:pt idx="24">
                  <c:v>9.6243556529821337</c:v>
                </c:pt>
                <c:pt idx="25">
                  <c:v>11.445595974374365</c:v>
                </c:pt>
                <c:pt idx="26">
                  <c:v>12.919067653836258</c:v>
                </c:pt>
                <c:pt idx="27">
                  <c:v>13.999999999999996</c:v>
                </c:pt>
                <c:pt idx="28">
                  <c:v>14.655549430505562</c:v>
                </c:pt>
                <c:pt idx="29">
                  <c:v>14.86579740763106</c:v>
                </c:pt>
                <c:pt idx="30">
                  <c:v>14.624355652982135</c:v>
                </c:pt>
                <c:pt idx="31">
                  <c:v>13.938560252098384</c:v>
                </c:pt>
                <c:pt idx="32">
                  <c:v>12.829248751206437</c:v>
                </c:pt>
                <c:pt idx="33">
                  <c:v>11.330127018922191</c:v>
                </c:pt>
                <c:pt idx="34">
                  <c:v>9.4867451104889042</c:v>
                </c:pt>
                <c:pt idx="35">
                  <c:v>7.355113252398068</c:v>
                </c:pt>
                <c:pt idx="36">
                  <c:v>5.0000000000000062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5-4A5F-8259-FAA7631A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2.xml"/><Relationship Id="rId1" Type="http://schemas.openxmlformats.org/officeDocument/2006/relationships/hyperlink" Target="#TOC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hyperlink" Target="#TOC!A1"/><Relationship Id="rId4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hyperlink" Target="#TOC!A1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hyperlink" Target="#TOC!A1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</xdr:row>
      <xdr:rowOff>177800</xdr:rowOff>
    </xdr:from>
    <xdr:to>
      <xdr:col>1</xdr:col>
      <xdr:colOff>152400</xdr:colOff>
      <xdr:row>4</xdr:row>
      <xdr:rowOff>25400</xdr:rowOff>
    </xdr:to>
    <xdr:sp macro="" textlink="">
      <xdr:nvSpPr>
        <xdr:cNvPr id="20" name="Pfeil: nach rechts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236F7-CC34-DA43-74A7-C94D598CA5F2}"/>
            </a:ext>
          </a:extLst>
        </xdr:cNvPr>
        <xdr:cNvSpPr/>
      </xdr:nvSpPr>
      <xdr:spPr>
        <a:xfrm rot="10800000">
          <a:off x="311150" y="361950"/>
          <a:ext cx="603250" cy="4000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</xdr:colOff>
      <xdr:row>20</xdr:row>
      <xdr:rowOff>95250</xdr:rowOff>
    </xdr:from>
    <xdr:to>
      <xdr:col>24</xdr:col>
      <xdr:colOff>666750</xdr:colOff>
      <xdr:row>56</xdr:row>
      <xdr:rowOff>149678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7EF283-81AA-0DF2-6AC7-CCE8490BE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34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711929</xdr:colOff>
      <xdr:row>23</xdr:row>
      <xdr:rowOff>156578</xdr:rowOff>
    </xdr:from>
    <xdr:to>
      <xdr:col>53</xdr:col>
      <xdr:colOff>403677</xdr:colOff>
      <xdr:row>69</xdr:row>
      <xdr:rowOff>131535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387802</xdr:colOff>
      <xdr:row>0</xdr:row>
      <xdr:rowOff>197303</xdr:rowOff>
    </xdr:from>
    <xdr:to>
      <xdr:col>1</xdr:col>
      <xdr:colOff>299355</xdr:colOff>
      <xdr:row>2</xdr:row>
      <xdr:rowOff>68036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387802" y="197303"/>
          <a:ext cx="659946" cy="48305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37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630330</xdr:colOff>
      <xdr:row>1</xdr:row>
      <xdr:rowOff>14007</xdr:rowOff>
    </xdr:from>
    <xdr:to>
      <xdr:col>1</xdr:col>
      <xdr:colOff>422648</xdr:colOff>
      <xdr:row>2</xdr:row>
      <xdr:rowOff>75265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30330" y="294154"/>
          <a:ext cx="543112" cy="39743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123826</xdr:colOff>
      <xdr:row>24</xdr:row>
      <xdr:rowOff>57148</xdr:rowOff>
    </xdr:from>
    <xdr:to>
      <xdr:col>35</xdr:col>
      <xdr:colOff>381000</xdr:colOff>
      <xdr:row>57</xdr:row>
      <xdr:rowOff>56029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67</xdr:row>
      <xdr:rowOff>149412</xdr:rowOff>
    </xdr:from>
    <xdr:to>
      <xdr:col>4</xdr:col>
      <xdr:colOff>625644</xdr:colOff>
      <xdr:row>72</xdr:row>
      <xdr:rowOff>88833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2529E24-4EA3-8CE1-3F02-2922B6B6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059" y="12595412"/>
          <a:ext cx="2553056" cy="8668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4</xdr:col>
      <xdr:colOff>101696</xdr:colOff>
      <xdr:row>78</xdr:row>
      <xdr:rowOff>8698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363711C-B497-54D6-6FA9-23EB02FB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9059" y="13850471"/>
          <a:ext cx="2029108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283882</xdr:colOff>
      <xdr:row>73</xdr:row>
      <xdr:rowOff>186764</xdr:rowOff>
    </xdr:from>
    <xdr:to>
      <xdr:col>9</xdr:col>
      <xdr:colOff>905672</xdr:colOff>
      <xdr:row>78</xdr:row>
      <xdr:rowOff>7470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47D7197-D01B-7223-5D6E-A77C00022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20353" y="13895293"/>
          <a:ext cx="3237616" cy="7545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201908</xdr:colOff>
      <xdr:row>1</xdr:row>
      <xdr:rowOff>21213</xdr:rowOff>
    </xdr:from>
    <xdr:to>
      <xdr:col>1</xdr:col>
      <xdr:colOff>467701</xdr:colOff>
      <xdr:row>2</xdr:row>
      <xdr:rowOff>46159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B0008-BA79-49D0-8318-F995486845EA}"/>
            </a:ext>
          </a:extLst>
        </xdr:cNvPr>
        <xdr:cNvSpPr/>
      </xdr:nvSpPr>
      <xdr:spPr>
        <a:xfrm rot="10800000">
          <a:off x="201908" y="526038"/>
          <a:ext cx="4943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18</xdr:row>
      <xdr:rowOff>52755</xdr:rowOff>
    </xdr:from>
    <xdr:to>
      <xdr:col>8</xdr:col>
      <xdr:colOff>527051</xdr:colOff>
      <xdr:row>41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5D90BB-E955-493B-BF6D-80DDB5B3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130174</xdr:colOff>
      <xdr:row>18</xdr:row>
      <xdr:rowOff>92074</xdr:rowOff>
    </xdr:from>
    <xdr:to>
      <xdr:col>27</xdr:col>
      <xdr:colOff>381000</xdr:colOff>
      <xdr:row>41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AC1B8F-7006-4D2B-9BCE-6B906BC2A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51</xdr:row>
      <xdr:rowOff>0</xdr:rowOff>
    </xdr:from>
    <xdr:to>
      <xdr:col>7</xdr:col>
      <xdr:colOff>495997</xdr:colOff>
      <xdr:row>80</xdr:row>
      <xdr:rowOff>67417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B5EAD2E-7202-0193-5701-740E465B7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8934450"/>
          <a:ext cx="4991797" cy="531569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</xdr:row>
      <xdr:rowOff>0</xdr:rowOff>
    </xdr:from>
    <xdr:to>
      <xdr:col>1</xdr:col>
      <xdr:colOff>427718</xdr:colOff>
      <xdr:row>2</xdr:row>
      <xdr:rowOff>28121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38383C-683F-4257-A285-727C47CFC1A7}"/>
            </a:ext>
          </a:extLst>
        </xdr:cNvPr>
        <xdr:cNvSpPr/>
      </xdr:nvSpPr>
      <xdr:spPr>
        <a:xfrm rot="10800000">
          <a:off x="695325" y="180975"/>
          <a:ext cx="494393" cy="32339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1</xdr:col>
      <xdr:colOff>19050</xdr:colOff>
      <xdr:row>4</xdr:row>
      <xdr:rowOff>47625</xdr:rowOff>
    </xdr:from>
    <xdr:to>
      <xdr:col>6</xdr:col>
      <xdr:colOff>673724</xdr:colOff>
      <xdr:row>16</xdr:row>
      <xdr:rowOff>19349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36F08A4-2431-D356-B9AC-1D148959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885825"/>
          <a:ext cx="4464674" cy="21434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9</xdr:col>
      <xdr:colOff>73026</xdr:colOff>
      <xdr:row>3</xdr:row>
      <xdr:rowOff>171450</xdr:rowOff>
    </xdr:from>
    <xdr:to>
      <xdr:col>11</xdr:col>
      <xdr:colOff>396876</xdr:colOff>
      <xdr:row>8</xdr:row>
      <xdr:rowOff>178987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F38F032-46A6-601B-947A-5BEEDDD3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1026" y="828675"/>
          <a:ext cx="1847850" cy="91241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733425</xdr:colOff>
      <xdr:row>3</xdr:row>
      <xdr:rowOff>161925</xdr:rowOff>
    </xdr:from>
    <xdr:to>
      <xdr:col>19</xdr:col>
      <xdr:colOff>530835</xdr:colOff>
      <xdr:row>16</xdr:row>
      <xdr:rowOff>140026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5A55D28-7221-786A-3D88-0C8DF7998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39425" y="819150"/>
          <a:ext cx="4369410" cy="23307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28575</xdr:colOff>
      <xdr:row>21</xdr:row>
      <xdr:rowOff>0</xdr:rowOff>
    </xdr:from>
    <xdr:to>
      <xdr:col>7</xdr:col>
      <xdr:colOff>130828</xdr:colOff>
      <xdr:row>36</xdr:row>
      <xdr:rowOff>121046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3EED871-1370-6BFA-ED4C-4B7D4879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3914775"/>
          <a:ext cx="4674253" cy="283567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13</xdr:col>
      <xdr:colOff>257743</xdr:colOff>
      <xdr:row>30</xdr:row>
      <xdr:rowOff>143122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BBAD87-5EC9-35F1-D732-2D1E21BC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3914775"/>
          <a:ext cx="4067743" cy="17718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19</xdr:col>
      <xdr:colOff>419690</xdr:colOff>
      <xdr:row>34</xdr:row>
      <xdr:rowOff>19381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2D9BAF9-EBF4-68DE-BFF9-8E2410E9C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00" y="3914775"/>
          <a:ext cx="4229690" cy="237205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39</xdr:row>
      <xdr:rowOff>66675</xdr:rowOff>
    </xdr:from>
    <xdr:to>
      <xdr:col>8</xdr:col>
      <xdr:colOff>191271</xdr:colOff>
      <xdr:row>52</xdr:row>
      <xdr:rowOff>73355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8C7D199-0D9B-BAC0-6FE5-23593063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7239000"/>
          <a:ext cx="5525271" cy="23593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0</xdr:rowOff>
    </xdr:from>
    <xdr:to>
      <xdr:col>1</xdr:col>
      <xdr:colOff>408668</xdr:colOff>
      <xdr:row>2</xdr:row>
      <xdr:rowOff>31296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4DC7C4-FB0B-4B50-9D5E-05677DA8BD77}"/>
            </a:ext>
          </a:extLst>
        </xdr:cNvPr>
        <xdr:cNvSpPr/>
      </xdr:nvSpPr>
      <xdr:spPr>
        <a:xfrm rot="10800000">
          <a:off x="676275" y="180975"/>
          <a:ext cx="494393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2</xdr:col>
      <xdr:colOff>9525</xdr:colOff>
      <xdr:row>3</xdr:row>
      <xdr:rowOff>161925</xdr:rowOff>
    </xdr:from>
    <xdr:to>
      <xdr:col>9</xdr:col>
      <xdr:colOff>416727</xdr:colOff>
      <xdr:row>18</xdr:row>
      <xdr:rowOff>76567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F77A1F2-DBBE-4173-DA96-C6E5AA87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819150"/>
          <a:ext cx="5741202" cy="26292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18</xdr:col>
      <xdr:colOff>153166</xdr:colOff>
      <xdr:row>13</xdr:row>
      <xdr:rowOff>38358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C4659E2-25C9-A809-DB69-BA2DB6F30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657225"/>
          <a:ext cx="5487166" cy="1848108"/>
        </a:xfrm>
        <a:prstGeom prst="rect">
          <a:avLst/>
        </a:prstGeom>
      </xdr:spPr>
    </xdr:pic>
    <xdr:clientData/>
  </xdr:twoCellAnchor>
  <xdr:twoCellAnchor>
    <xdr:from>
      <xdr:col>16</xdr:col>
      <xdr:colOff>15875</xdr:colOff>
      <xdr:row>19</xdr:row>
      <xdr:rowOff>173037</xdr:rowOff>
    </xdr:from>
    <xdr:to>
      <xdr:col>22</xdr:col>
      <xdr:colOff>15875</xdr:colOff>
      <xdr:row>34</xdr:row>
      <xdr:rowOff>173037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7A400EA-A412-F7DD-0749-B7F7BE59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19</xdr:row>
      <xdr:rowOff>52755</xdr:rowOff>
    </xdr:from>
    <xdr:to>
      <xdr:col>8</xdr:col>
      <xdr:colOff>527051</xdr:colOff>
      <xdr:row>41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193674</xdr:colOff>
      <xdr:row>19</xdr:row>
      <xdr:rowOff>73024</xdr:rowOff>
    </xdr:from>
    <xdr:to>
      <xdr:col>20</xdr:col>
      <xdr:colOff>298450</xdr:colOff>
      <xdr:row>41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965B8F-72B4-4C1A-3372-3A9BFDCB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27241</xdr:colOff>
      <xdr:row>1</xdr:row>
      <xdr:rowOff>28095</xdr:rowOff>
    </xdr:from>
    <xdr:to>
      <xdr:col>1</xdr:col>
      <xdr:colOff>798419</xdr:colOff>
      <xdr:row>2</xdr:row>
      <xdr:rowOff>18490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789241" y="532360"/>
          <a:ext cx="771178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21"/>
  <sheetViews>
    <sheetView topLeftCell="A6" workbookViewId="0">
      <selection activeCell="C21" sqref="C21"/>
    </sheetView>
  </sheetViews>
  <sheetFormatPr baseColWidth="10" defaultRowHeight="14.5" x14ac:dyDescent="0.35"/>
  <cols>
    <col min="2" max="2" width="12.6328125" customWidth="1"/>
    <col min="3" max="3" width="55.81640625" customWidth="1"/>
  </cols>
  <sheetData>
    <row r="2" spans="2:4" ht="21" x14ac:dyDescent="0.5">
      <c r="B2" s="84" t="s">
        <v>105</v>
      </c>
    </row>
    <row r="5" spans="2:4" x14ac:dyDescent="0.35">
      <c r="B5" s="85">
        <v>45695</v>
      </c>
      <c r="C5" s="86" t="s">
        <v>106</v>
      </c>
    </row>
    <row r="6" spans="2:4" x14ac:dyDescent="0.35">
      <c r="B6" s="85">
        <v>45701</v>
      </c>
      <c r="C6" s="86" t="s">
        <v>107</v>
      </c>
    </row>
    <row r="7" spans="2:4" x14ac:dyDescent="0.35">
      <c r="B7" s="85">
        <v>45701</v>
      </c>
      <c r="C7" s="86" t="s">
        <v>108</v>
      </c>
    </row>
    <row r="8" spans="2:4" x14ac:dyDescent="0.35">
      <c r="B8" s="85">
        <v>45870</v>
      </c>
      <c r="C8" s="86" t="s">
        <v>109</v>
      </c>
    </row>
    <row r="9" spans="2:4" x14ac:dyDescent="0.35">
      <c r="B9" s="85">
        <v>45730</v>
      </c>
      <c r="C9" s="86" t="s">
        <v>110</v>
      </c>
      <c r="D9" s="85"/>
    </row>
    <row r="10" spans="2:4" x14ac:dyDescent="0.35">
      <c r="B10" s="85">
        <v>45873</v>
      </c>
      <c r="C10" s="86" t="str">
        <f>Scheinleistung!C2</f>
        <v>Scheinleistung S [VA] - Blindleistung Q [var] - Wirkleistung P [W]</v>
      </c>
      <c r="D10" s="85"/>
    </row>
    <row r="11" spans="2:4" x14ac:dyDescent="0.35">
      <c r="B11" s="85">
        <v>45750</v>
      </c>
      <c r="C11" s="104" t="s">
        <v>134</v>
      </c>
    </row>
    <row r="12" spans="2:4" x14ac:dyDescent="0.35">
      <c r="B12" s="85">
        <v>45758</v>
      </c>
      <c r="C12" s="86" t="str">
        <f ca="1">Geburtstagsliste!C2</f>
        <v>Geburtstagsliste für 2025</v>
      </c>
    </row>
    <row r="13" spans="2:4" x14ac:dyDescent="0.35">
      <c r="B13" s="85">
        <v>45772</v>
      </c>
      <c r="C13" s="86" t="s">
        <v>345</v>
      </c>
    </row>
    <row r="14" spans="2:4" x14ac:dyDescent="0.35">
      <c r="B14" s="85">
        <v>45870</v>
      </c>
      <c r="C14" s="86" t="s">
        <v>343</v>
      </c>
    </row>
    <row r="15" spans="2:4" x14ac:dyDescent="0.35">
      <c r="B15" s="85">
        <v>45786</v>
      </c>
      <c r="C15" s="86" t="s">
        <v>247</v>
      </c>
    </row>
    <row r="16" spans="2:4" x14ac:dyDescent="0.35">
      <c r="B16" s="85">
        <v>45788</v>
      </c>
      <c r="C16" s="86" t="s">
        <v>324</v>
      </c>
    </row>
    <row r="17" spans="2:3" x14ac:dyDescent="0.35">
      <c r="B17" s="85">
        <v>45799</v>
      </c>
      <c r="C17" s="86" t="s">
        <v>335</v>
      </c>
    </row>
    <row r="18" spans="2:3" x14ac:dyDescent="0.35">
      <c r="B18" s="85">
        <v>45901</v>
      </c>
      <c r="C18" s="86" t="str">
        <f>'3-Phasenstrom'!C2</f>
        <v>3-Phasenstrom (Verkettete Spannung)</v>
      </c>
    </row>
    <row r="19" spans="2:3" x14ac:dyDescent="0.35">
      <c r="B19" s="85">
        <v>45873</v>
      </c>
      <c r="C19" s="86" t="str">
        <f>Theoreme!$C$2</f>
        <v>Trigonometrischen Theoreme und Identitäten</v>
      </c>
    </row>
    <row r="20" spans="2:3" x14ac:dyDescent="0.35">
      <c r="B20" s="85">
        <v>45873</v>
      </c>
      <c r="C20" s="86" t="str">
        <f>'Fläche eines Polygones'!C2</f>
        <v>Polygone-Fläche</v>
      </c>
    </row>
    <row r="21" spans="2:3" x14ac:dyDescent="0.35">
      <c r="B21" s="85">
        <v>45908</v>
      </c>
      <c r="C21" s="86" t="str">
        <f>'Leistung bei Wechselstrom'!C2</f>
        <v>Begriffe und Leistung bei  ein-phasigem Wechselstrom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  <hyperlink ref="C18" location="'3-Phasenstrom'!A1" display="Verkettete Spannung (3-Phasenstrom)" xr:uid="{F0D6490D-D7FD-40F5-9193-AEF7266C201A}"/>
    <hyperlink ref="C19" location="Theoreme!A1" display="Theoreme!A1" xr:uid="{0BE171A1-EFB5-45EC-AE54-5B69665FAB10}"/>
    <hyperlink ref="C20" location="'Fläche eines Polygones'!A1" display="'Fläche eines Polygones'!A1" xr:uid="{FA6D782C-8632-4E5B-97A4-90B6A18392EC}"/>
    <hyperlink ref="C21" location="'Leistung bei Wechselstrom'!A1" display="'Leistung bei Wechselstrom'!A1" xr:uid="{77978076-EEC0-461A-8111-26B1D9FA8228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110</v>
      </c>
      <c r="C2" s="44"/>
    </row>
    <row r="5" spans="2:11" ht="18.5" x14ac:dyDescent="0.45">
      <c r="B5" s="87" t="s">
        <v>111</v>
      </c>
      <c r="C5" s="87"/>
      <c r="G5" s="87" t="s">
        <v>112</v>
      </c>
      <c r="H5" s="87"/>
      <c r="I5" s="87"/>
    </row>
    <row r="6" spans="2:11" ht="16.5" x14ac:dyDescent="0.35">
      <c r="B6" s="88" t="s">
        <v>113</v>
      </c>
      <c r="C6" s="88" t="s">
        <v>114</v>
      </c>
      <c r="D6" s="88" t="s">
        <v>115</v>
      </c>
      <c r="E6" s="88" t="s">
        <v>116</v>
      </c>
      <c r="G6" s="88" t="s">
        <v>117</v>
      </c>
      <c r="H6" s="88" t="s">
        <v>118</v>
      </c>
      <c r="I6" s="88" t="s">
        <v>114</v>
      </c>
      <c r="J6" s="88" t="s">
        <v>115</v>
      </c>
      <c r="K6" s="88" t="s">
        <v>116</v>
      </c>
    </row>
    <row r="7" spans="2:11" x14ac:dyDescent="0.35">
      <c r="B7" s="90">
        <v>10</v>
      </c>
      <c r="C7" s="99">
        <f>SQRT(2) * B7</f>
        <v>14.142135623730951</v>
      </c>
      <c r="D7" s="89">
        <f>B7^2</f>
        <v>100</v>
      </c>
      <c r="E7" s="89">
        <f>4*B7</f>
        <v>40</v>
      </c>
      <c r="G7" s="90">
        <v>2</v>
      </c>
      <c r="H7" s="90">
        <v>3</v>
      </c>
      <c r="I7" s="91">
        <f>SQRT(G7^2 + H7^2)</f>
        <v>3.6055512754639891</v>
      </c>
      <c r="J7" s="89">
        <f>G7*H7</f>
        <v>6</v>
      </c>
      <c r="K7" s="89">
        <f>2*(G7+H7)</f>
        <v>10</v>
      </c>
    </row>
    <row r="8" spans="2:11" x14ac:dyDescent="0.35">
      <c r="B8" s="89">
        <f>C8/SQRT(2)</f>
        <v>10.000000000190246</v>
      </c>
      <c r="C8" s="90">
        <v>14.142135624</v>
      </c>
      <c r="D8" s="89">
        <f>C8^2 / 2</f>
        <v>100.00000000380493</v>
      </c>
      <c r="E8" s="89">
        <f>4*B8</f>
        <v>40.000000000760984</v>
      </c>
      <c r="G8" s="90">
        <v>2</v>
      </c>
      <c r="H8" s="89">
        <f>SQRT(I8^2-G8^2)</f>
        <v>3.0000000054516063</v>
      </c>
      <c r="I8" s="90">
        <v>3.6055512799999998</v>
      </c>
      <c r="J8" s="89">
        <f>G8*H8</f>
        <v>6.0000000109032126</v>
      </c>
      <c r="K8" s="89">
        <f>2*(G8+H8)</f>
        <v>10.000000010903213</v>
      </c>
    </row>
    <row r="9" spans="2:11" x14ac:dyDescent="0.35">
      <c r="B9" s="89">
        <f>SQRT(D9)</f>
        <v>10</v>
      </c>
      <c r="C9" s="89">
        <f>SQRT(2) * B9</f>
        <v>14.142135623730951</v>
      </c>
      <c r="D9" s="90">
        <v>100</v>
      </c>
      <c r="E9" s="89">
        <f>4*B9</f>
        <v>40</v>
      </c>
      <c r="G9" s="90">
        <v>2</v>
      </c>
      <c r="H9" s="89">
        <f>J9/G9</f>
        <v>3</v>
      </c>
      <c r="I9" s="89">
        <f>SQRT(G9^2 + H9^2)</f>
        <v>3.6055512754639891</v>
      </c>
      <c r="J9" s="90">
        <v>6</v>
      </c>
      <c r="K9" s="89">
        <f>2*(G9+H9)</f>
        <v>10</v>
      </c>
    </row>
    <row r="10" spans="2:11" x14ac:dyDescent="0.35">
      <c r="B10" s="89">
        <f>E10/4</f>
        <v>10</v>
      </c>
      <c r="C10" s="89">
        <f>SQRT(2) * B10</f>
        <v>14.142135623730951</v>
      </c>
      <c r="D10" s="89">
        <f>B10^2</f>
        <v>100</v>
      </c>
      <c r="E10" s="90">
        <v>40</v>
      </c>
      <c r="G10" s="90">
        <v>2</v>
      </c>
      <c r="H10" s="89">
        <f>(K10/2)-G10</f>
        <v>3</v>
      </c>
      <c r="I10" s="89">
        <f>SQRT(G10^2 + H10^2)</f>
        <v>3.6055512754639891</v>
      </c>
      <c r="J10" s="89">
        <f>G10*H10</f>
        <v>6</v>
      </c>
      <c r="K10" s="90">
        <v>10</v>
      </c>
    </row>
    <row r="11" spans="2:11" x14ac:dyDescent="0.35">
      <c r="G11" s="89">
        <f>SQRT((I11^2 - SQRT(I11^4 - 4*J11^2))/2)</f>
        <v>1.9936428724026451</v>
      </c>
      <c r="H11" s="89">
        <f>J11/G11</f>
        <v>3.0095660978483476</v>
      </c>
      <c r="I11" s="90">
        <v>3.61</v>
      </c>
      <c r="J11" s="90">
        <v>6</v>
      </c>
      <c r="K11" s="89">
        <f>2*(G11+H11)</f>
        <v>10.006417940501986</v>
      </c>
    </row>
    <row r="12" spans="2:11" x14ac:dyDescent="0.35">
      <c r="G12" s="89">
        <f>SQRT(I12^2 - H12^2)</f>
        <v>1.9841996510276481</v>
      </c>
      <c r="H12" s="89">
        <f>(K12+SQRT(8*I12^2 - K12^2))/4</f>
        <v>3.0158003489723519</v>
      </c>
      <c r="I12" s="90">
        <v>3.61</v>
      </c>
      <c r="J12" s="89">
        <f>G12*H12</f>
        <v>5.9839500000000001</v>
      </c>
      <c r="K12" s="90">
        <v>10</v>
      </c>
    </row>
    <row r="16" spans="2:11" ht="18.5" x14ac:dyDescent="0.45">
      <c r="B16" s="87" t="s">
        <v>119</v>
      </c>
    </row>
    <row r="17" spans="2:8" ht="16.5" x14ac:dyDescent="0.45">
      <c r="B17" s="88" t="s">
        <v>120</v>
      </c>
      <c r="C17" s="88" t="s">
        <v>121</v>
      </c>
      <c r="D17" s="88" t="s">
        <v>122</v>
      </c>
      <c r="E17" s="88" t="s">
        <v>124</v>
      </c>
      <c r="F17" s="88" t="s">
        <v>125</v>
      </c>
      <c r="G17" s="88" t="s">
        <v>126</v>
      </c>
      <c r="H17" s="88" t="s">
        <v>123</v>
      </c>
    </row>
    <row r="18" spans="2:8" x14ac:dyDescent="0.35">
      <c r="B18" s="90">
        <v>10</v>
      </c>
      <c r="C18" s="90">
        <v>180</v>
      </c>
      <c r="D18" s="89">
        <f>2*B18</f>
        <v>20</v>
      </c>
      <c r="E18" s="92">
        <f>B18^2*PI()</f>
        <v>314.15926535897933</v>
      </c>
      <c r="F18" s="92">
        <f>2*B18*PI()</f>
        <v>62.831853071795862</v>
      </c>
      <c r="G18" s="92">
        <f t="shared" ref="G18:G23" si="0">E18*C18/360</f>
        <v>157.07963267948966</v>
      </c>
      <c r="H18" s="92">
        <f>F18*C18/360</f>
        <v>31.415926535897931</v>
      </c>
    </row>
    <row r="19" spans="2:8" x14ac:dyDescent="0.35">
      <c r="B19" s="89">
        <f>D19/2</f>
        <v>10</v>
      </c>
      <c r="C19" s="90">
        <v>180</v>
      </c>
      <c r="D19" s="90">
        <v>20</v>
      </c>
      <c r="E19" s="89">
        <f>B19^2*PI()</f>
        <v>314.15926535897933</v>
      </c>
      <c r="F19" s="89">
        <f>2*B19*PI()</f>
        <v>62.831853071795862</v>
      </c>
      <c r="G19" s="89">
        <f t="shared" si="0"/>
        <v>157.07963267948966</v>
      </c>
      <c r="H19" s="89">
        <f>F19*C19/360</f>
        <v>31.415926535897931</v>
      </c>
    </row>
    <row r="20" spans="2:8" x14ac:dyDescent="0.35">
      <c r="B20" s="89">
        <f>SQRT(E20/PI())</f>
        <v>10.000000000652864</v>
      </c>
      <c r="C20" s="90">
        <v>180</v>
      </c>
      <c r="D20" s="89">
        <f>2*B20</f>
        <v>20.000000001305729</v>
      </c>
      <c r="E20" s="90">
        <v>314.15926539999998</v>
      </c>
      <c r="F20" s="89">
        <f>2*B20*PI()</f>
        <v>62.831853075897932</v>
      </c>
      <c r="G20" s="89">
        <f t="shared" si="0"/>
        <v>157.07963269999999</v>
      </c>
      <c r="H20" s="89">
        <f>F20*C20/360</f>
        <v>31.415926537948966</v>
      </c>
    </row>
    <row r="21" spans="2:8" x14ac:dyDescent="0.35">
      <c r="B21" s="89">
        <f>D21/2</f>
        <v>9.9999999997141806</v>
      </c>
      <c r="C21" s="90">
        <v>180</v>
      </c>
      <c r="D21" s="89">
        <f>F21/PI()</f>
        <v>19.999999999428361</v>
      </c>
      <c r="E21" s="89">
        <f>B21^2*PI()</f>
        <v>314.15926534102073</v>
      </c>
      <c r="F21" s="90">
        <v>62.831853070000001</v>
      </c>
      <c r="G21" s="89">
        <f t="shared" si="0"/>
        <v>157.07963267051036</v>
      </c>
      <c r="H21" s="89">
        <f>F21*C21/360</f>
        <v>31.415926535000001</v>
      </c>
    </row>
    <row r="22" spans="2:8" x14ac:dyDescent="0.35">
      <c r="B22" s="90">
        <v>10</v>
      </c>
      <c r="C22" s="89">
        <f>360/(F22/H22)</f>
        <v>179.99999999485524</v>
      </c>
      <c r="D22" s="89">
        <f>2*B22</f>
        <v>20</v>
      </c>
      <c r="E22" s="89">
        <f>B22^2*PI()</f>
        <v>314.15926535897933</v>
      </c>
      <c r="F22" s="89">
        <f>2*B22*PI()</f>
        <v>62.831853071795862</v>
      </c>
      <c r="G22" s="89">
        <f t="shared" si="0"/>
        <v>157.07963267500003</v>
      </c>
      <c r="H22" s="90">
        <v>31.415926535000001</v>
      </c>
    </row>
    <row r="23" spans="2:8" x14ac:dyDescent="0.35">
      <c r="B23" s="89">
        <f>D23/2</f>
        <v>10</v>
      </c>
      <c r="C23" s="89">
        <f>360/(F23/H23)</f>
        <v>179.99999999485524</v>
      </c>
      <c r="D23" s="90">
        <v>20</v>
      </c>
      <c r="E23" s="89">
        <f>B23^2*PI()</f>
        <v>314.15926535897933</v>
      </c>
      <c r="F23" s="89">
        <f>2*B23*PI()</f>
        <v>62.831853071795862</v>
      </c>
      <c r="G23" s="89">
        <f t="shared" si="0"/>
        <v>157.07963267500003</v>
      </c>
      <c r="H23" s="90">
        <v>31.415926535000001</v>
      </c>
    </row>
    <row r="24" spans="2:8" x14ac:dyDescent="0.35">
      <c r="B24" s="90">
        <v>10</v>
      </c>
      <c r="C24" s="89">
        <f>360/(E24/G24)</f>
        <v>179.99999999485527</v>
      </c>
      <c r="D24" s="89">
        <f>2*B24</f>
        <v>20</v>
      </c>
      <c r="E24" s="89">
        <f>B24^2*PI()</f>
        <v>314.15926535897933</v>
      </c>
      <c r="F24" s="89">
        <f>2*B24*PI()</f>
        <v>62.831853071795862</v>
      </c>
      <c r="G24" s="90">
        <v>157.07963267500003</v>
      </c>
      <c r="H24" s="89">
        <f>F24*C24/360</f>
        <v>31.415926535000008</v>
      </c>
    </row>
    <row r="25" spans="2:8" x14ac:dyDescent="0.35">
      <c r="B25" s="89">
        <f>D25/2</f>
        <v>10</v>
      </c>
      <c r="C25" s="89">
        <f>360/(E25/G25)</f>
        <v>179.99999999485527</v>
      </c>
      <c r="D25" s="90">
        <v>20</v>
      </c>
      <c r="E25" s="89">
        <f>B25^2*PI()</f>
        <v>314.15926535897933</v>
      </c>
      <c r="F25" s="89">
        <f>2*B25*PI()</f>
        <v>62.831853071795862</v>
      </c>
      <c r="G25" s="90">
        <v>157.07963267500003</v>
      </c>
      <c r="H25" s="89">
        <f>F25*C25/360</f>
        <v>31.415926535000008</v>
      </c>
    </row>
    <row r="29" spans="2:8" ht="18.5" x14ac:dyDescent="0.45">
      <c r="B29" s="87" t="s">
        <v>127</v>
      </c>
    </row>
    <row r="30" spans="2:8" x14ac:dyDescent="0.35">
      <c r="B30" s="88" t="s">
        <v>132</v>
      </c>
      <c r="C30" s="88" t="s">
        <v>131</v>
      </c>
      <c r="D30" s="88" t="s">
        <v>128</v>
      </c>
      <c r="E30" s="100" t="s">
        <v>129</v>
      </c>
      <c r="F30" s="101" t="s">
        <v>130</v>
      </c>
      <c r="G30" s="100" t="s">
        <v>133</v>
      </c>
    </row>
    <row r="31" spans="2:8" x14ac:dyDescent="0.35">
      <c r="B31" s="90"/>
      <c r="C31" s="90"/>
      <c r="D31" s="102"/>
      <c r="E31" s="102"/>
      <c r="F31" s="102"/>
      <c r="G31" s="102"/>
    </row>
    <row r="32" spans="2:8" x14ac:dyDescent="0.35">
      <c r="B32" s="90"/>
      <c r="C32" s="89"/>
      <c r="D32" s="90"/>
      <c r="E32" s="89"/>
      <c r="F32" s="89"/>
      <c r="G32" s="89"/>
    </row>
    <row r="33" spans="2:7" x14ac:dyDescent="0.35">
      <c r="B33" s="90"/>
      <c r="C33" s="89"/>
      <c r="D33" s="89"/>
      <c r="E33" s="90"/>
      <c r="F33" s="89"/>
      <c r="G33" s="89"/>
    </row>
    <row r="34" spans="2:7" x14ac:dyDescent="0.35">
      <c r="B34" s="90"/>
      <c r="C34" s="89"/>
      <c r="D34" s="89"/>
      <c r="E34" s="89"/>
      <c r="F34" s="90"/>
      <c r="G34" s="89"/>
    </row>
    <row r="35" spans="2:7" x14ac:dyDescent="0.35">
      <c r="B35" s="90"/>
      <c r="C35" s="89"/>
      <c r="D35" s="89"/>
      <c r="E35" s="89"/>
      <c r="F35" s="89"/>
      <c r="G35" s="90"/>
    </row>
    <row r="36" spans="2:7" x14ac:dyDescent="0.35">
      <c r="B36" s="89"/>
      <c r="C36" s="90"/>
      <c r="D36" s="90"/>
      <c r="E36" s="89"/>
      <c r="F36" s="89"/>
      <c r="G36" s="89"/>
    </row>
    <row r="37" spans="2:7" x14ac:dyDescent="0.35">
      <c r="B37" s="89"/>
      <c r="C37" s="90"/>
      <c r="D37" s="89"/>
      <c r="E37" s="90"/>
      <c r="F37" s="89"/>
      <c r="G37" s="89"/>
    </row>
    <row r="38" spans="2:7" x14ac:dyDescent="0.35">
      <c r="B38" s="89"/>
      <c r="C38" s="90"/>
      <c r="D38" s="89"/>
      <c r="E38" s="89"/>
      <c r="F38" s="90"/>
      <c r="G38" s="89"/>
    </row>
    <row r="39" spans="2:7" x14ac:dyDescent="0.35">
      <c r="B39" s="89"/>
      <c r="C39" s="90"/>
      <c r="D39" s="89"/>
      <c r="E39" s="89"/>
      <c r="F39" s="89"/>
      <c r="G39" s="90"/>
    </row>
    <row r="40" spans="2:7" x14ac:dyDescent="0.35">
      <c r="B40" s="89"/>
      <c r="C40" s="89"/>
      <c r="D40" s="90"/>
      <c r="E40" s="90"/>
      <c r="F40" s="89"/>
      <c r="G40" s="89"/>
    </row>
    <row r="41" spans="2:7" x14ac:dyDescent="0.35">
      <c r="B41" s="89"/>
      <c r="C41" s="89"/>
      <c r="D41" s="90"/>
      <c r="E41" s="89"/>
      <c r="F41" s="90"/>
      <c r="G41" s="89"/>
    </row>
    <row r="42" spans="2:7" x14ac:dyDescent="0.35">
      <c r="B42" s="89"/>
      <c r="C42" s="89"/>
      <c r="D42" s="90"/>
      <c r="E42" s="89"/>
      <c r="F42" s="89"/>
      <c r="G42" s="90"/>
    </row>
    <row r="43" spans="2:7" x14ac:dyDescent="0.35">
      <c r="B43" s="103"/>
      <c r="C43" s="103"/>
      <c r="D43" s="103"/>
      <c r="E43" s="90"/>
      <c r="F43" s="90"/>
      <c r="G43" s="103"/>
    </row>
    <row r="44" spans="2:7" x14ac:dyDescent="0.35">
      <c r="B44" s="89"/>
      <c r="C44" s="89"/>
      <c r="D44" s="89"/>
      <c r="E44" s="90"/>
      <c r="F44" s="89"/>
      <c r="G44" s="90"/>
    </row>
    <row r="45" spans="2:7" x14ac:dyDescent="0.35">
      <c r="B45" s="89"/>
      <c r="C45" s="89"/>
      <c r="D45" s="89"/>
      <c r="E45" s="89"/>
      <c r="F45" s="90"/>
      <c r="G45" s="90"/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175" zoomScaleNormal="175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312" t="s">
        <v>26</v>
      </c>
      <c r="D4" s="313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314" t="s">
        <v>27</v>
      </c>
      <c r="D5" s="315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310" t="s">
        <v>1</v>
      </c>
      <c r="D8" s="311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308" t="s">
        <v>24</v>
      </c>
      <c r="D9" s="308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309" t="s">
        <v>29</v>
      </c>
      <c r="D10" s="309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309" t="s">
        <v>56</v>
      </c>
      <c r="D11" s="309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103</v>
      </c>
    </row>
    <row r="4" spans="1:19" x14ac:dyDescent="0.35">
      <c r="J4" t="s">
        <v>55</v>
      </c>
      <c r="K4" t="s">
        <v>54</v>
      </c>
      <c r="Q4" s="81" t="s">
        <v>104</v>
      </c>
    </row>
    <row r="5" spans="1:19" ht="15" thickBot="1" x14ac:dyDescent="0.4"/>
    <row r="6" spans="1:19" ht="29" customHeight="1" thickBot="1" x14ac:dyDescent="0.4">
      <c r="C6" s="327" t="str">
        <f>$O$8</f>
        <v>Anfangs-Geschwindigkeit</v>
      </c>
      <c r="D6" s="328"/>
      <c r="E6" s="331" t="str">
        <f>$O$9</f>
        <v>Geschwindigkeit</v>
      </c>
      <c r="F6" s="328"/>
      <c r="G6" s="331" t="str">
        <f>$O$10</f>
        <v>Strecke</v>
      </c>
      <c r="H6" s="328"/>
      <c r="I6" s="331" t="str">
        <f>$O$11</f>
        <v>Zeit</v>
      </c>
      <c r="J6" s="328"/>
      <c r="K6" s="331" t="str">
        <f>$O$12</f>
        <v>Beschleunigung</v>
      </c>
      <c r="L6" s="332"/>
    </row>
    <row r="7" spans="1:19" ht="15" thickBot="1" x14ac:dyDescent="0.4">
      <c r="B7" s="28" t="s">
        <v>43</v>
      </c>
      <c r="C7" s="329" t="str">
        <f>$P$8</f>
        <v>v0 [m/s]</v>
      </c>
      <c r="D7" s="330"/>
      <c r="E7" s="333" t="str">
        <f>$P$9</f>
        <v>v [m/s]</v>
      </c>
      <c r="F7" s="330"/>
      <c r="G7" s="333" t="str">
        <f>$P$10</f>
        <v>s [m]</v>
      </c>
      <c r="H7" s="330"/>
      <c r="I7" s="333" t="str">
        <f>$P$11</f>
        <v>t [s]</v>
      </c>
      <c r="J7" s="330"/>
      <c r="K7" s="333" t="str">
        <f>$P$12</f>
        <v>a [m/s2]</v>
      </c>
      <c r="L7" s="334"/>
      <c r="O7" s="76"/>
      <c r="S7" s="60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81</v>
      </c>
      <c r="F8" s="29">
        <f xml:space="preserve"> G8/I8 + K8*I8/2</f>
        <v>24</v>
      </c>
      <c r="G8" s="321">
        <v>119</v>
      </c>
      <c r="H8" s="322"/>
      <c r="I8" s="321">
        <v>7</v>
      </c>
      <c r="J8" s="322"/>
      <c r="K8" s="321">
        <v>2</v>
      </c>
      <c r="L8" s="326"/>
      <c r="N8" s="82" t="s">
        <v>103</v>
      </c>
      <c r="O8" s="76" t="s">
        <v>93</v>
      </c>
      <c r="P8" s="76" t="s">
        <v>94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2" t="s">
        <v>57</v>
      </c>
      <c r="D9" s="31">
        <f>E9-K9*I9</f>
        <v>10</v>
      </c>
      <c r="E9" s="318">
        <v>24</v>
      </c>
      <c r="F9" s="319"/>
      <c r="G9" s="31" t="s">
        <v>82</v>
      </c>
      <c r="H9" s="31">
        <f>E9*I9 - K9*I9^2/2</f>
        <v>119</v>
      </c>
      <c r="I9" s="318">
        <v>7</v>
      </c>
      <c r="J9" s="319"/>
      <c r="K9" s="318">
        <v>2</v>
      </c>
      <c r="L9" s="324"/>
      <c r="N9" s="82" t="s">
        <v>103</v>
      </c>
      <c r="O9" s="76" t="s">
        <v>37</v>
      </c>
      <c r="P9" s="76" t="s">
        <v>41</v>
      </c>
      <c r="Q9" s="52">
        <f>IF(N9=$Q$3,2,0)</f>
        <v>2</v>
      </c>
      <c r="R9" s="52"/>
      <c r="S9" s="70"/>
    </row>
    <row r="10" spans="1:19" ht="38" customHeight="1" x14ac:dyDescent="0.35">
      <c r="A10">
        <v>22</v>
      </c>
      <c r="B10" s="30" t="s">
        <v>46</v>
      </c>
      <c r="C10" s="73" t="s">
        <v>85</v>
      </c>
      <c r="D10" s="31">
        <f>SQRT(E10^2 - 2*K10*G10)</f>
        <v>10</v>
      </c>
      <c r="E10" s="318">
        <v>24</v>
      </c>
      <c r="F10" s="319"/>
      <c r="G10" s="318">
        <v>119</v>
      </c>
      <c r="H10" s="319"/>
      <c r="I10" s="31" t="s">
        <v>83</v>
      </c>
      <c r="J10" s="31">
        <f>(E10 - SQRT(E10^2 - 2*K10*G10))/K10</f>
        <v>7</v>
      </c>
      <c r="K10" s="318">
        <v>2</v>
      </c>
      <c r="L10" s="324"/>
      <c r="N10" s="82" t="s">
        <v>103</v>
      </c>
      <c r="O10" s="76" t="s">
        <v>38</v>
      </c>
      <c r="P10" s="76" t="s">
        <v>42</v>
      </c>
      <c r="Q10" s="52">
        <f>IF(N10=$Q$3,4,0)</f>
        <v>4</v>
      </c>
      <c r="R10" s="70"/>
      <c r="S10" s="70"/>
    </row>
    <row r="11" spans="1:19" ht="38" customHeight="1" x14ac:dyDescent="0.35">
      <c r="A11">
        <v>14</v>
      </c>
      <c r="B11" s="30" t="s">
        <v>47</v>
      </c>
      <c r="C11" s="73" t="s">
        <v>86</v>
      </c>
      <c r="D11" s="31">
        <f>2*G11/I11 - E11</f>
        <v>10</v>
      </c>
      <c r="E11" s="318">
        <v>24</v>
      </c>
      <c r="F11" s="319"/>
      <c r="G11" s="318">
        <v>119</v>
      </c>
      <c r="H11" s="319"/>
      <c r="I11" s="318">
        <v>7</v>
      </c>
      <c r="J11" s="319"/>
      <c r="K11" s="31" t="s">
        <v>84</v>
      </c>
      <c r="L11" s="45">
        <f xml:space="preserve"> 2/I11 * (E11 - G11/I11)</f>
        <v>2</v>
      </c>
      <c r="N11" s="82" t="s">
        <v>104</v>
      </c>
      <c r="O11" s="76" t="s">
        <v>39</v>
      </c>
      <c r="P11" s="76" t="s">
        <v>24</v>
      </c>
      <c r="Q11" s="52">
        <f>IF(N11=$Q$3,8,0)</f>
        <v>0</v>
      </c>
      <c r="R11" s="70"/>
      <c r="S11" s="70"/>
    </row>
    <row r="12" spans="1:19" s="34" customFormat="1" ht="38" customHeight="1" x14ac:dyDescent="0.35">
      <c r="A12" s="34">
        <v>25</v>
      </c>
      <c r="B12" s="30" t="s">
        <v>48</v>
      </c>
      <c r="C12" s="323">
        <v>10</v>
      </c>
      <c r="D12" s="319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318">
        <v>7</v>
      </c>
      <c r="J12" s="319"/>
      <c r="K12" s="318">
        <v>2</v>
      </c>
      <c r="L12" s="324"/>
      <c r="N12" s="82" t="s">
        <v>104</v>
      </c>
      <c r="O12" s="76" t="s">
        <v>40</v>
      </c>
      <c r="P12" s="76" t="s">
        <v>65</v>
      </c>
      <c r="Q12" s="52">
        <f>IF(N12=$Q$3,16,0)</f>
        <v>0</v>
      </c>
      <c r="R12" s="70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323">
        <v>10</v>
      </c>
      <c r="D13" s="319"/>
      <c r="E13" s="31" t="s">
        <v>87</v>
      </c>
      <c r="F13" s="31">
        <f>SQRT(C13^2 + 2*K13*G13)</f>
        <v>24</v>
      </c>
      <c r="G13" s="318">
        <v>119</v>
      </c>
      <c r="H13" s="319"/>
      <c r="I13" s="37" t="s">
        <v>62</v>
      </c>
      <c r="J13" s="31">
        <f xml:space="preserve"> (-C13 + SQRT(C13^2 + 2*K13*G13))/K13</f>
        <v>7</v>
      </c>
      <c r="K13" s="316">
        <v>2</v>
      </c>
      <c r="L13" s="324"/>
      <c r="O13" s="76" t="s">
        <v>96</v>
      </c>
      <c r="P13" s="77" t="s">
        <v>102</v>
      </c>
    </row>
    <row r="14" spans="1:19" ht="38" customHeight="1" x14ac:dyDescent="0.35">
      <c r="A14">
        <v>13</v>
      </c>
      <c r="B14" s="30" t="s">
        <v>49</v>
      </c>
      <c r="C14" s="323">
        <v>10</v>
      </c>
      <c r="D14" s="319"/>
      <c r="E14" s="31" t="s">
        <v>88</v>
      </c>
      <c r="F14" s="31">
        <f>2*G14/I14 - C14</f>
        <v>24</v>
      </c>
      <c r="G14" s="318">
        <v>119</v>
      </c>
      <c r="H14" s="319"/>
      <c r="I14" s="318">
        <v>7</v>
      </c>
      <c r="J14" s="325"/>
      <c r="K14" s="83" t="s">
        <v>61</v>
      </c>
      <c r="L14" s="45">
        <f>2*((G14-C14*I14)/I14^2)</f>
        <v>2</v>
      </c>
      <c r="O14" s="76" t="s">
        <v>97</v>
      </c>
      <c r="P14" s="77" t="s">
        <v>101</v>
      </c>
    </row>
    <row r="15" spans="1:19" ht="38" customHeight="1" x14ac:dyDescent="0.35">
      <c r="A15">
        <v>19</v>
      </c>
      <c r="B15" s="30" t="s">
        <v>51</v>
      </c>
      <c r="C15" s="323">
        <v>10</v>
      </c>
      <c r="D15" s="319"/>
      <c r="E15" s="318">
        <v>24</v>
      </c>
      <c r="F15" s="319"/>
      <c r="G15" s="31" t="s">
        <v>89</v>
      </c>
      <c r="H15" s="31">
        <f>(E15^2 - C15^2)/(2*K15)</f>
        <v>119</v>
      </c>
      <c r="I15" s="74" t="s">
        <v>59</v>
      </c>
      <c r="J15" s="31">
        <f>(E15-C15)/K15</f>
        <v>7</v>
      </c>
      <c r="K15" s="318">
        <v>2</v>
      </c>
      <c r="L15" s="324"/>
      <c r="O15" s="76" t="s">
        <v>98</v>
      </c>
      <c r="P15" s="77" t="s">
        <v>99</v>
      </c>
    </row>
    <row r="16" spans="1:19" ht="38" customHeight="1" x14ac:dyDescent="0.35">
      <c r="A16">
        <v>11</v>
      </c>
      <c r="B16" s="30" t="s">
        <v>52</v>
      </c>
      <c r="C16" s="323">
        <v>10</v>
      </c>
      <c r="D16" s="319"/>
      <c r="E16" s="318">
        <v>24</v>
      </c>
      <c r="F16" s="319"/>
      <c r="G16" s="31" t="s">
        <v>90</v>
      </c>
      <c r="H16" s="31">
        <f>(C16+E16)*I16/2</f>
        <v>119</v>
      </c>
      <c r="I16" s="318">
        <v>7</v>
      </c>
      <c r="J16" s="319"/>
      <c r="K16" s="74" t="s">
        <v>58</v>
      </c>
      <c r="L16" s="45">
        <f>(E16-C16)/I16</f>
        <v>2</v>
      </c>
      <c r="O16" s="76" t="s">
        <v>39</v>
      </c>
      <c r="P16" s="77" t="s">
        <v>24</v>
      </c>
    </row>
    <row r="17" spans="1:16" ht="38" customHeight="1" thickBot="1" x14ac:dyDescent="0.4">
      <c r="A17">
        <v>7</v>
      </c>
      <c r="B17" s="75" t="s">
        <v>53</v>
      </c>
      <c r="C17" s="320">
        <v>10</v>
      </c>
      <c r="D17" s="317"/>
      <c r="E17" s="316">
        <v>24</v>
      </c>
      <c r="F17" s="317"/>
      <c r="G17" s="316">
        <v>119</v>
      </c>
      <c r="H17" s="317"/>
      <c r="I17" s="79" t="s">
        <v>91</v>
      </c>
      <c r="J17" s="79">
        <f>2*G17/(C17+E17)</f>
        <v>7</v>
      </c>
      <c r="K17" s="79" t="s">
        <v>92</v>
      </c>
      <c r="L17" s="80">
        <f>(E17^2 - C17^2)/(2*G17)</f>
        <v>2</v>
      </c>
      <c r="O17" s="76" t="s">
        <v>95</v>
      </c>
      <c r="P17" s="77" t="s">
        <v>100</v>
      </c>
    </row>
    <row r="18" spans="1:16" ht="15" thickBot="1" x14ac:dyDescent="0.4">
      <c r="B18" s="78" t="s">
        <v>43</v>
      </c>
      <c r="C18" s="335" t="str">
        <f>P13</f>
        <v>ω0 [rad/s]</v>
      </c>
      <c r="D18" s="336"/>
      <c r="E18" s="337" t="str">
        <f>P14</f>
        <v>ω [rad/s]</v>
      </c>
      <c r="F18" s="336"/>
      <c r="G18" s="337" t="str">
        <f>P15</f>
        <v>φ [rad]</v>
      </c>
      <c r="H18" s="336"/>
      <c r="I18" s="337" t="str">
        <f>P16</f>
        <v>t [s]</v>
      </c>
      <c r="J18" s="336"/>
      <c r="K18" s="337" t="str">
        <f>P17</f>
        <v>α [rad/s2]</v>
      </c>
      <c r="L18" s="338"/>
    </row>
    <row r="19" spans="1:16" ht="29" customHeight="1" thickBot="1" x14ac:dyDescent="0.4">
      <c r="C19" s="339" t="str">
        <f>O13</f>
        <v>Anfangs-Winkelgeschwindigkeit</v>
      </c>
      <c r="D19" s="340"/>
      <c r="E19" s="341" t="str">
        <f>O14</f>
        <v>Winkelgeschwindigkeit</v>
      </c>
      <c r="F19" s="340"/>
      <c r="G19" s="341" t="str">
        <f>O15</f>
        <v>Winkel</v>
      </c>
      <c r="H19" s="340"/>
      <c r="I19" s="341" t="str">
        <f>O16</f>
        <v>Zeit</v>
      </c>
      <c r="J19" s="340"/>
      <c r="K19" s="341" t="str">
        <f>O17</f>
        <v>Winkelbeschleunigung</v>
      </c>
      <c r="L19" s="342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BB20"/>
  <sheetViews>
    <sheetView showGridLines="0" zoomScale="70" zoomScaleNormal="70" workbookViewId="0"/>
  </sheetViews>
  <sheetFormatPr baseColWidth="10" defaultColWidth="10.81640625" defaultRowHeight="14.5" x14ac:dyDescent="0.35"/>
  <cols>
    <col min="3" max="9" width="13.81640625" customWidth="1"/>
    <col min="10" max="12" width="3.26953125" customWidth="1"/>
    <col min="13" max="13" width="31" customWidth="1"/>
    <col min="14" max="14" width="19.90625" customWidth="1"/>
    <col min="15" max="15" width="9.7265625" customWidth="1"/>
    <col min="16" max="16" width="6.36328125" customWidth="1"/>
    <col min="17" max="18" width="10" customWidth="1"/>
    <col min="19" max="54" width="6.36328125" customWidth="1"/>
  </cols>
  <sheetData>
    <row r="1" spans="3:54" ht="21.75" customHeight="1" x14ac:dyDescent="0.35"/>
    <row r="2" spans="3:54" ht="26" x14ac:dyDescent="0.6">
      <c r="C2" s="44" t="s">
        <v>67</v>
      </c>
    </row>
    <row r="4" spans="3:54" x14ac:dyDescent="0.35">
      <c r="U4" s="5"/>
      <c r="V4" s="5" t="s">
        <v>75</v>
      </c>
      <c r="W4" s="5"/>
      <c r="X4" s="5"/>
      <c r="Y4" s="5"/>
      <c r="Z4" s="5"/>
      <c r="AA4" s="5"/>
    </row>
    <row r="5" spans="3:54" x14ac:dyDescent="0.35">
      <c r="U5" s="5"/>
      <c r="V5" s="19" t="s">
        <v>79</v>
      </c>
      <c r="W5" s="258">
        <f>MAX(N15:N19)</f>
        <v>0.76604444311897812</v>
      </c>
      <c r="X5" s="5"/>
      <c r="Y5" s="5"/>
      <c r="Z5" s="5">
        <f>N12</f>
        <v>50</v>
      </c>
      <c r="AA5" s="5">
        <f>Z5</f>
        <v>50</v>
      </c>
    </row>
    <row r="6" spans="3:54" x14ac:dyDescent="0.35">
      <c r="U6" s="5"/>
      <c r="V6" s="19" t="s">
        <v>78</v>
      </c>
      <c r="W6" s="258">
        <f>MIN(N15:N19)</f>
        <v>-0.18793852415718165</v>
      </c>
      <c r="X6" s="5"/>
      <c r="Y6" s="5"/>
      <c r="Z6" s="5">
        <v>0</v>
      </c>
      <c r="AA6" s="5">
        <f>W7</f>
        <v>0.76604444311897812</v>
      </c>
    </row>
    <row r="7" spans="3:54" x14ac:dyDescent="0.35">
      <c r="M7" t="s">
        <v>316</v>
      </c>
      <c r="N7" t="s">
        <v>318</v>
      </c>
      <c r="U7" s="309" t="s">
        <v>80</v>
      </c>
      <c r="V7" s="309"/>
      <c r="W7" s="258">
        <f>IF(ABS(W5)&gt;ABS(W6),W5,W6)</f>
        <v>0.76604444311897812</v>
      </c>
      <c r="X7" s="5"/>
      <c r="Y7" s="5"/>
      <c r="Z7" s="5"/>
      <c r="AA7" s="5"/>
      <c r="AL7" s="5" t="s">
        <v>71</v>
      </c>
    </row>
    <row r="8" spans="3:54" ht="16" customHeight="1" x14ac:dyDescent="0.35">
      <c r="M8" s="133" t="s">
        <v>316</v>
      </c>
      <c r="N8" t="s">
        <v>317</v>
      </c>
      <c r="U8" s="1"/>
      <c r="V8" s="39"/>
      <c r="AL8" s="5" t="s">
        <v>72</v>
      </c>
    </row>
    <row r="9" spans="3:54" x14ac:dyDescent="0.35">
      <c r="M9" s="133" t="s">
        <v>320</v>
      </c>
      <c r="N9" t="s">
        <v>319</v>
      </c>
    </row>
    <row r="11" spans="3:54" ht="21" x14ac:dyDescent="0.35">
      <c r="C11" s="343"/>
      <c r="D11" s="343"/>
      <c r="E11" s="343"/>
      <c r="F11" s="343"/>
      <c r="G11" s="343"/>
      <c r="H11" s="343"/>
      <c r="I11" s="343"/>
      <c r="J11" s="47"/>
      <c r="K11" s="47"/>
      <c r="O11" s="43" t="s">
        <v>8</v>
      </c>
      <c r="P11" s="46">
        <v>10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3:54" s="34" customFormat="1" ht="21" x14ac:dyDescent="0.35">
      <c r="C12" s="344" t="s">
        <v>455</v>
      </c>
      <c r="D12" s="344"/>
      <c r="E12" s="344"/>
      <c r="F12" s="344"/>
      <c r="G12" s="344"/>
      <c r="H12" s="344"/>
      <c r="I12" s="344"/>
      <c r="J12" s="47"/>
      <c r="K12" s="47"/>
      <c r="M12" s="57" t="s">
        <v>449</v>
      </c>
      <c r="N12" s="38">
        <v>50</v>
      </c>
      <c r="O12" s="345" t="s">
        <v>70</v>
      </c>
      <c r="P12" s="38">
        <v>0</v>
      </c>
      <c r="Q12" s="71">
        <f>P12+$P$11</f>
        <v>10</v>
      </c>
      <c r="R12" s="71">
        <f t="shared" ref="R12:BB12" si="0">Q12+$P$11</f>
        <v>20</v>
      </c>
      <c r="S12" s="71">
        <f t="shared" si="0"/>
        <v>30</v>
      </c>
      <c r="T12" s="71">
        <f t="shared" si="0"/>
        <v>40</v>
      </c>
      <c r="U12" s="71">
        <f t="shared" si="0"/>
        <v>50</v>
      </c>
      <c r="V12" s="71">
        <f t="shared" si="0"/>
        <v>60</v>
      </c>
      <c r="W12" s="71">
        <f t="shared" si="0"/>
        <v>70</v>
      </c>
      <c r="X12" s="71">
        <f t="shared" si="0"/>
        <v>80</v>
      </c>
      <c r="Y12" s="71">
        <f t="shared" si="0"/>
        <v>90</v>
      </c>
      <c r="Z12" s="71">
        <f t="shared" si="0"/>
        <v>100</v>
      </c>
      <c r="AA12" s="71">
        <f t="shared" si="0"/>
        <v>110</v>
      </c>
      <c r="AB12" s="71">
        <f t="shared" si="0"/>
        <v>120</v>
      </c>
      <c r="AC12" s="71">
        <f t="shared" si="0"/>
        <v>130</v>
      </c>
      <c r="AD12" s="71">
        <f t="shared" si="0"/>
        <v>140</v>
      </c>
      <c r="AE12" s="71">
        <f t="shared" si="0"/>
        <v>150</v>
      </c>
      <c r="AF12" s="71">
        <f t="shared" si="0"/>
        <v>160</v>
      </c>
      <c r="AG12" s="71">
        <f t="shared" si="0"/>
        <v>170</v>
      </c>
      <c r="AH12" s="71">
        <f t="shared" si="0"/>
        <v>180</v>
      </c>
      <c r="AI12" s="71">
        <f t="shared" si="0"/>
        <v>190</v>
      </c>
      <c r="AJ12" s="71">
        <f t="shared" si="0"/>
        <v>200</v>
      </c>
      <c r="AK12" s="71">
        <f t="shared" si="0"/>
        <v>210</v>
      </c>
      <c r="AL12" s="71">
        <f t="shared" si="0"/>
        <v>220</v>
      </c>
      <c r="AM12" s="71">
        <f t="shared" si="0"/>
        <v>230</v>
      </c>
      <c r="AN12" s="71">
        <f t="shared" si="0"/>
        <v>240</v>
      </c>
      <c r="AO12" s="71">
        <f t="shared" si="0"/>
        <v>250</v>
      </c>
      <c r="AP12" s="71">
        <f t="shared" si="0"/>
        <v>260</v>
      </c>
      <c r="AQ12" s="71">
        <f t="shared" si="0"/>
        <v>270</v>
      </c>
      <c r="AR12" s="71">
        <f t="shared" si="0"/>
        <v>280</v>
      </c>
      <c r="AS12" s="71">
        <f t="shared" si="0"/>
        <v>290</v>
      </c>
      <c r="AT12" s="71">
        <f t="shared" si="0"/>
        <v>300</v>
      </c>
      <c r="AU12" s="71">
        <f t="shared" si="0"/>
        <v>310</v>
      </c>
      <c r="AV12" s="71">
        <f t="shared" si="0"/>
        <v>320</v>
      </c>
      <c r="AW12" s="71">
        <f t="shared" si="0"/>
        <v>330</v>
      </c>
      <c r="AX12" s="71">
        <f t="shared" si="0"/>
        <v>340</v>
      </c>
      <c r="AY12" s="71">
        <f t="shared" si="0"/>
        <v>350</v>
      </c>
      <c r="AZ12" s="71">
        <f t="shared" si="0"/>
        <v>360</v>
      </c>
      <c r="BA12" s="71">
        <f t="shared" si="0"/>
        <v>370</v>
      </c>
      <c r="BB12" s="71">
        <f t="shared" si="0"/>
        <v>380</v>
      </c>
    </row>
    <row r="13" spans="3:54" s="34" customFormat="1" ht="43.5" x14ac:dyDescent="0.35">
      <c r="C13" s="59" t="s">
        <v>73</v>
      </c>
      <c r="D13" s="59" t="s">
        <v>321</v>
      </c>
      <c r="E13" s="59" t="s">
        <v>453</v>
      </c>
      <c r="F13" s="59" t="s">
        <v>448</v>
      </c>
      <c r="G13" s="59" t="s">
        <v>451</v>
      </c>
      <c r="H13" s="59" t="s">
        <v>322</v>
      </c>
      <c r="I13" s="59" t="s">
        <v>323</v>
      </c>
      <c r="J13" s="60"/>
      <c r="K13" s="60"/>
      <c r="M13" s="68" t="s">
        <v>450</v>
      </c>
      <c r="N13" s="62">
        <f>PI()*N12/180</f>
        <v>0.87266462599716477</v>
      </c>
      <c r="O13" s="346"/>
      <c r="P13" s="61">
        <f>PI()*P12/180</f>
        <v>0</v>
      </c>
      <c r="Q13" s="61">
        <f t="shared" ref="Q13:BB13" si="1">PI()*Q12/180</f>
        <v>0.17453292519943295</v>
      </c>
      <c r="R13" s="61">
        <f t="shared" si="1"/>
        <v>0.3490658503988659</v>
      </c>
      <c r="S13" s="61">
        <f t="shared" si="1"/>
        <v>0.52359877559829882</v>
      </c>
      <c r="T13" s="61">
        <f t="shared" si="1"/>
        <v>0.69813170079773179</v>
      </c>
      <c r="U13" s="61">
        <f t="shared" si="1"/>
        <v>0.87266462599716477</v>
      </c>
      <c r="V13" s="61">
        <f t="shared" si="1"/>
        <v>1.0471975511965976</v>
      </c>
      <c r="W13" s="61">
        <f t="shared" si="1"/>
        <v>1.2217304763960306</v>
      </c>
      <c r="X13" s="61">
        <f t="shared" si="1"/>
        <v>1.3962634015954636</v>
      </c>
      <c r="Y13" s="61">
        <f t="shared" si="1"/>
        <v>1.5707963267948966</v>
      </c>
      <c r="Z13" s="61">
        <f t="shared" si="1"/>
        <v>1.7453292519943295</v>
      </c>
      <c r="AA13" s="61">
        <f t="shared" si="1"/>
        <v>1.9198621771937625</v>
      </c>
      <c r="AB13" s="61">
        <f t="shared" si="1"/>
        <v>2.0943951023931953</v>
      </c>
      <c r="AC13" s="61">
        <f t="shared" si="1"/>
        <v>2.2689280275926285</v>
      </c>
      <c r="AD13" s="61">
        <f t="shared" si="1"/>
        <v>2.4434609527920612</v>
      </c>
      <c r="AE13" s="61">
        <f t="shared" si="1"/>
        <v>2.6179938779914944</v>
      </c>
      <c r="AF13" s="61">
        <f t="shared" si="1"/>
        <v>2.7925268031909272</v>
      </c>
      <c r="AG13" s="61">
        <f t="shared" si="1"/>
        <v>2.9670597283903604</v>
      </c>
      <c r="AH13" s="61">
        <f t="shared" si="1"/>
        <v>3.1415926535897931</v>
      </c>
      <c r="AI13" s="61">
        <f t="shared" si="1"/>
        <v>3.3161255787892263</v>
      </c>
      <c r="AJ13" s="61">
        <f t="shared" si="1"/>
        <v>3.4906585039886591</v>
      </c>
      <c r="AK13" s="61">
        <f t="shared" si="1"/>
        <v>3.6651914291880923</v>
      </c>
      <c r="AL13" s="61">
        <f t="shared" si="1"/>
        <v>3.839724354387525</v>
      </c>
      <c r="AM13" s="61">
        <f t="shared" si="1"/>
        <v>4.0142572795869578</v>
      </c>
      <c r="AN13" s="61">
        <f t="shared" si="1"/>
        <v>4.1887902047863905</v>
      </c>
      <c r="AO13" s="61">
        <f t="shared" si="1"/>
        <v>4.3633231299858233</v>
      </c>
      <c r="AP13" s="61">
        <f t="shared" si="1"/>
        <v>4.5378560551852569</v>
      </c>
      <c r="AQ13" s="61">
        <f t="shared" si="1"/>
        <v>4.7123889803846897</v>
      </c>
      <c r="AR13" s="61">
        <f t="shared" si="1"/>
        <v>4.8869219055841224</v>
      </c>
      <c r="AS13" s="61">
        <f t="shared" si="1"/>
        <v>5.0614548307835552</v>
      </c>
      <c r="AT13" s="61">
        <f t="shared" si="1"/>
        <v>5.2359877559829888</v>
      </c>
      <c r="AU13" s="61">
        <f t="shared" si="1"/>
        <v>5.4105206811824216</v>
      </c>
      <c r="AV13" s="61">
        <f t="shared" si="1"/>
        <v>5.5850536063818543</v>
      </c>
      <c r="AW13" s="61">
        <f t="shared" si="1"/>
        <v>5.7595865315812871</v>
      </c>
      <c r="AX13" s="61">
        <f t="shared" si="1"/>
        <v>5.9341194567807207</v>
      </c>
      <c r="AY13" s="61">
        <f t="shared" si="1"/>
        <v>6.1086523819801526</v>
      </c>
      <c r="AZ13" s="61">
        <f t="shared" si="1"/>
        <v>6.2831853071795862</v>
      </c>
      <c r="BA13" s="61">
        <f t="shared" si="1"/>
        <v>6.457718232379019</v>
      </c>
      <c r="BB13" s="61">
        <f t="shared" si="1"/>
        <v>6.6322511575784526</v>
      </c>
    </row>
    <row r="14" spans="3:54" s="34" customFormat="1" x14ac:dyDescent="0.35">
      <c r="C14" s="59"/>
      <c r="D14" s="59"/>
      <c r="E14" s="59"/>
      <c r="F14" s="59"/>
      <c r="G14" s="59"/>
      <c r="H14" s="59"/>
      <c r="I14" s="59"/>
      <c r="J14" s="60"/>
      <c r="K14" s="60"/>
      <c r="M14" s="68" t="s">
        <v>454</v>
      </c>
      <c r="N14" s="247">
        <f>$F$19 * N12 / 360</f>
        <v>2.7777777777777779E-3</v>
      </c>
      <c r="O14" s="347"/>
      <c r="P14" s="246">
        <f>$F$19 * P12 / 360</f>
        <v>0</v>
      </c>
      <c r="Q14" s="246">
        <f t="shared" ref="Q14:BB14" si="2">$F$19 * Q12 / 360</f>
        <v>5.5555555555555556E-4</v>
      </c>
      <c r="R14" s="246">
        <f t="shared" si="2"/>
        <v>1.1111111111111111E-3</v>
      </c>
      <c r="S14" s="246">
        <f t="shared" si="2"/>
        <v>1.6666666666666666E-3</v>
      </c>
      <c r="T14" s="246">
        <f t="shared" si="2"/>
        <v>2.2222222222222222E-3</v>
      </c>
      <c r="U14" s="246">
        <f t="shared" si="2"/>
        <v>2.7777777777777779E-3</v>
      </c>
      <c r="V14" s="246">
        <f t="shared" si="2"/>
        <v>3.3333333333333331E-3</v>
      </c>
      <c r="W14" s="246">
        <f t="shared" si="2"/>
        <v>3.8888888888888892E-3</v>
      </c>
      <c r="X14" s="246">
        <f t="shared" si="2"/>
        <v>4.4444444444444444E-3</v>
      </c>
      <c r="Y14" s="246">
        <f t="shared" si="2"/>
        <v>5.0000000000000001E-3</v>
      </c>
      <c r="Z14" s="246">
        <f t="shared" si="2"/>
        <v>5.5555555555555558E-3</v>
      </c>
      <c r="AA14" s="246">
        <f t="shared" si="2"/>
        <v>6.1111111111111114E-3</v>
      </c>
      <c r="AB14" s="246">
        <f t="shared" si="2"/>
        <v>6.6666666666666662E-3</v>
      </c>
      <c r="AC14" s="246">
        <f t="shared" si="2"/>
        <v>7.2222222222222228E-3</v>
      </c>
      <c r="AD14" s="246">
        <f t="shared" si="2"/>
        <v>7.7777777777777784E-3</v>
      </c>
      <c r="AE14" s="246">
        <f t="shared" si="2"/>
        <v>8.3333333333333332E-3</v>
      </c>
      <c r="AF14" s="246">
        <f t="shared" si="2"/>
        <v>8.8888888888888889E-3</v>
      </c>
      <c r="AG14" s="246">
        <f t="shared" si="2"/>
        <v>9.4444444444444445E-3</v>
      </c>
      <c r="AH14" s="246">
        <f t="shared" si="2"/>
        <v>0.01</v>
      </c>
      <c r="AI14" s="246">
        <f t="shared" si="2"/>
        <v>1.0555555555555556E-2</v>
      </c>
      <c r="AJ14" s="246">
        <f t="shared" si="2"/>
        <v>1.1111111111111112E-2</v>
      </c>
      <c r="AK14" s="246">
        <f t="shared" si="2"/>
        <v>1.1666666666666667E-2</v>
      </c>
      <c r="AL14" s="246">
        <f t="shared" si="2"/>
        <v>1.2222222222222223E-2</v>
      </c>
      <c r="AM14" s="246">
        <f t="shared" si="2"/>
        <v>1.2777777777777779E-2</v>
      </c>
      <c r="AN14" s="246">
        <f t="shared" si="2"/>
        <v>1.3333333333333332E-2</v>
      </c>
      <c r="AO14" s="246">
        <f t="shared" si="2"/>
        <v>1.3888888888888888E-2</v>
      </c>
      <c r="AP14" s="246">
        <f t="shared" si="2"/>
        <v>1.4444444444444446E-2</v>
      </c>
      <c r="AQ14" s="246">
        <f t="shared" si="2"/>
        <v>1.5000000000000001E-2</v>
      </c>
      <c r="AR14" s="246">
        <f t="shared" si="2"/>
        <v>1.5555555555555557E-2</v>
      </c>
      <c r="AS14" s="246">
        <f t="shared" si="2"/>
        <v>1.6111111111111111E-2</v>
      </c>
      <c r="AT14" s="246">
        <f t="shared" si="2"/>
        <v>1.6666666666666666E-2</v>
      </c>
      <c r="AU14" s="246">
        <f t="shared" si="2"/>
        <v>1.7222222222222222E-2</v>
      </c>
      <c r="AV14" s="246">
        <f t="shared" si="2"/>
        <v>1.7777777777777778E-2</v>
      </c>
      <c r="AW14" s="246">
        <f t="shared" si="2"/>
        <v>1.8333333333333333E-2</v>
      </c>
      <c r="AX14" s="246">
        <f t="shared" si="2"/>
        <v>1.8888888888888889E-2</v>
      </c>
      <c r="AY14" s="246">
        <f t="shared" si="2"/>
        <v>1.9444444444444445E-2</v>
      </c>
      <c r="AZ14" s="246">
        <f t="shared" si="2"/>
        <v>0.02</v>
      </c>
      <c r="BA14" s="246">
        <f t="shared" si="2"/>
        <v>2.0555555555555556E-2</v>
      </c>
      <c r="BB14" s="246">
        <f t="shared" si="2"/>
        <v>2.1111111111111112E-2</v>
      </c>
    </row>
    <row r="15" spans="3:54" x14ac:dyDescent="0.35">
      <c r="C15" s="42">
        <v>1</v>
      </c>
      <c r="D15" s="42">
        <v>50</v>
      </c>
      <c r="E15" s="248">
        <f>D15/$D$19</f>
        <v>1</v>
      </c>
      <c r="F15" s="248">
        <f>1/D15</f>
        <v>0.02</v>
      </c>
      <c r="G15" s="248">
        <f>2*PI()*D15</f>
        <v>314.15926535897933</v>
      </c>
      <c r="H15" s="42">
        <v>0</v>
      </c>
      <c r="I15" s="251">
        <f>PI()*H15/180</f>
        <v>0</v>
      </c>
      <c r="J15" s="56"/>
      <c r="K15" s="56"/>
      <c r="M15" s="63" t="str">
        <f>_xlfn.CONCAT("y0 = ",IF(C15&lt;&gt;1,_xlfn.CONCAT(ROUND(C15,2)," *"),"")," sin(2*pi * ",IF(D15&lt;&gt;1,_xlfn.CONCAT(ROUND(D15,2),"Hz"),"")," * t ",IF(H15&lt;&gt;0,_xlfn.CONCAT(" + ",ROUND(H15,2),"°"),""),") = ")</f>
        <v xml:space="preserve">y0 =  sin(2*pi * 50Hz * t ) = </v>
      </c>
      <c r="N15" s="253">
        <f>IF($O$15=$AL$7,$C$15*SIN($G$15*N14 + $E$15*$I$15),"")</f>
        <v>0.76604444311897812</v>
      </c>
      <c r="O15" s="48" t="s">
        <v>71</v>
      </c>
      <c r="P15" s="54">
        <f>IF($O$15=$AL$7,$C$15*SIN($G$15*P14 + $E$15*$I$15),"")</f>
        <v>0</v>
      </c>
      <c r="Q15" s="54">
        <f t="shared" ref="Q15:BB15" si="3">IF($O$15=$AL$7,$C$15*SIN($G$15*Q14 + $E$15*$I$15),"")</f>
        <v>0.17364817766693033</v>
      </c>
      <c r="R15" s="54">
        <f t="shared" si="3"/>
        <v>0.34202014332566871</v>
      </c>
      <c r="S15" s="54">
        <f t="shared" si="3"/>
        <v>0.49999999999999994</v>
      </c>
      <c r="T15" s="54">
        <f t="shared" si="3"/>
        <v>0.64278760968653925</v>
      </c>
      <c r="U15" s="54">
        <f t="shared" si="3"/>
        <v>0.76604444311897812</v>
      </c>
      <c r="V15" s="54">
        <f t="shared" si="3"/>
        <v>0.8660254037844386</v>
      </c>
      <c r="W15" s="54">
        <f t="shared" si="3"/>
        <v>0.93969262078590843</v>
      </c>
      <c r="X15" s="54">
        <f t="shared" si="3"/>
        <v>0.98480775301220802</v>
      </c>
      <c r="Y15" s="54">
        <f t="shared" si="3"/>
        <v>1</v>
      </c>
      <c r="Z15" s="54">
        <f t="shared" si="3"/>
        <v>0.98480775301220802</v>
      </c>
      <c r="AA15" s="54">
        <f t="shared" si="3"/>
        <v>0.93969262078590832</v>
      </c>
      <c r="AB15" s="54">
        <f t="shared" si="3"/>
        <v>0.86602540378443871</v>
      </c>
      <c r="AC15" s="54">
        <f t="shared" si="3"/>
        <v>0.76604444311897801</v>
      </c>
      <c r="AD15" s="54">
        <f t="shared" si="3"/>
        <v>0.64278760968653914</v>
      </c>
      <c r="AE15" s="54">
        <f t="shared" si="3"/>
        <v>0.49999999999999994</v>
      </c>
      <c r="AF15" s="54">
        <f t="shared" si="3"/>
        <v>0.34202014332566888</v>
      </c>
      <c r="AG15" s="54">
        <f t="shared" si="3"/>
        <v>0.17364817766693028</v>
      </c>
      <c r="AH15" s="54">
        <f t="shared" si="3"/>
        <v>1.22514845490862E-16</v>
      </c>
      <c r="AI15" s="54">
        <f t="shared" si="3"/>
        <v>-0.17364817766693047</v>
      </c>
      <c r="AJ15" s="54">
        <f t="shared" si="3"/>
        <v>-0.34202014332566905</v>
      </c>
      <c r="AK15" s="54">
        <f t="shared" si="3"/>
        <v>-0.50000000000000011</v>
      </c>
      <c r="AL15" s="54">
        <f t="shared" si="3"/>
        <v>-0.64278760968653958</v>
      </c>
      <c r="AM15" s="54">
        <f t="shared" si="3"/>
        <v>-0.76604444311897846</v>
      </c>
      <c r="AN15" s="54">
        <f t="shared" si="3"/>
        <v>-0.86602540378443837</v>
      </c>
      <c r="AO15" s="54">
        <f t="shared" si="3"/>
        <v>-0.93969262078590843</v>
      </c>
      <c r="AP15" s="54">
        <f t="shared" si="3"/>
        <v>-0.98480775301220802</v>
      </c>
      <c r="AQ15" s="54">
        <f t="shared" si="3"/>
        <v>-1</v>
      </c>
      <c r="AR15" s="54">
        <f t="shared" si="3"/>
        <v>-0.98480775301220802</v>
      </c>
      <c r="AS15" s="54">
        <f t="shared" si="3"/>
        <v>-0.93969262078590832</v>
      </c>
      <c r="AT15" s="54">
        <f t="shared" si="3"/>
        <v>-0.8660254037844386</v>
      </c>
      <c r="AU15" s="54">
        <f t="shared" si="3"/>
        <v>-0.76604444311897812</v>
      </c>
      <c r="AV15" s="54">
        <f t="shared" si="3"/>
        <v>-0.64278760968653958</v>
      </c>
      <c r="AW15" s="54">
        <f t="shared" si="3"/>
        <v>-0.49999999999999967</v>
      </c>
      <c r="AX15" s="54">
        <f t="shared" si="3"/>
        <v>-0.3420201433256686</v>
      </c>
      <c r="AY15" s="54">
        <f t="shared" si="3"/>
        <v>-0.17364817766693039</v>
      </c>
      <c r="AZ15" s="54">
        <f t="shared" si="3"/>
        <v>-2.45029690981724E-16</v>
      </c>
      <c r="BA15" s="54">
        <f t="shared" si="3"/>
        <v>0.17364817766693078</v>
      </c>
      <c r="BB15" s="54">
        <f t="shared" si="3"/>
        <v>0.34202014332566893</v>
      </c>
    </row>
    <row r="16" spans="3:54" x14ac:dyDescent="0.35">
      <c r="C16" s="42">
        <f>1/3</f>
        <v>0.33333333333333331</v>
      </c>
      <c r="D16" s="42">
        <f>3*D15</f>
        <v>150</v>
      </c>
      <c r="E16" s="248">
        <f t="shared" ref="E16:E18" si="4">D16/$D$19</f>
        <v>3</v>
      </c>
      <c r="F16" s="248">
        <f t="shared" ref="F16:F18" si="5">1/D16</f>
        <v>6.6666666666666671E-3</v>
      </c>
      <c r="G16" s="248">
        <f t="shared" ref="G16:G17" si="6">2*PI()*D16</f>
        <v>942.47779607693792</v>
      </c>
      <c r="H16" s="42">
        <v>0</v>
      </c>
      <c r="I16" s="251">
        <f>PI()*H16/180</f>
        <v>0</v>
      </c>
      <c r="J16" s="56"/>
      <c r="K16" s="56"/>
      <c r="M16" s="64" t="str">
        <f>_xlfn.CONCAT("y1 = ",IF(C16&lt;&gt;1,_xlfn.CONCAT(ROUND(C16,2)," *"),"")," sin(2*pi * ",IF(D16&lt;&gt;1,_xlfn.CONCAT(ROUND(D16,2),"Hz"),"")," * t ",IF(H16&lt;&gt;0,_xlfn.CONCAT(" + ",ROUND(H16,2),"°"),""),") = ")</f>
        <v xml:space="preserve">y1 = 0.33 * sin(2*pi * 150Hz * t ) = </v>
      </c>
      <c r="N16" s="254">
        <f>IF($O$16=$AL$7,$C$16*SIN($G$16*N14 + $E$16*$I$16),"")</f>
        <v>0.16666666666666663</v>
      </c>
      <c r="O16" s="49" t="s">
        <v>71</v>
      </c>
      <c r="P16" s="54">
        <f>IF($O$16=$AL$7,$C$16*SIN($G$16*P14 + $E$16*$I$16),"")</f>
        <v>0</v>
      </c>
      <c r="Q16" s="54">
        <f t="shared" ref="Q16:BB16" si="7">IF($O$16=$AL$7,$C$16*SIN($G$16*Q14 + $E$16*$I$16),"")</f>
        <v>0.16666666666666663</v>
      </c>
      <c r="R16" s="54">
        <f t="shared" si="7"/>
        <v>0.28867513459481287</v>
      </c>
      <c r="S16" s="54">
        <f t="shared" si="7"/>
        <v>0.33333333333333331</v>
      </c>
      <c r="T16" s="54">
        <f t="shared" si="7"/>
        <v>0.28867513459481287</v>
      </c>
      <c r="U16" s="54">
        <f t="shared" si="7"/>
        <v>0.16666666666666663</v>
      </c>
      <c r="V16" s="54">
        <f t="shared" si="7"/>
        <v>1.8886801844697487E-16</v>
      </c>
      <c r="W16" s="54">
        <f t="shared" si="7"/>
        <v>-0.16666666666666669</v>
      </c>
      <c r="X16" s="54">
        <f t="shared" si="7"/>
        <v>-0.28867513459481275</v>
      </c>
      <c r="Y16" s="54">
        <f t="shared" si="7"/>
        <v>-0.33333333333333331</v>
      </c>
      <c r="Z16" s="54">
        <f t="shared" si="7"/>
        <v>-0.28867513459481287</v>
      </c>
      <c r="AA16" s="54">
        <f t="shared" si="7"/>
        <v>-0.16666666666666655</v>
      </c>
      <c r="AB16" s="54">
        <f t="shared" si="7"/>
        <v>-3.7773603689394974E-16</v>
      </c>
      <c r="AC16" s="54">
        <f t="shared" si="7"/>
        <v>0.16666666666666666</v>
      </c>
      <c r="AD16" s="54">
        <f t="shared" si="7"/>
        <v>0.28867513459481292</v>
      </c>
      <c r="AE16" s="54">
        <f t="shared" si="7"/>
        <v>0.33333333333333331</v>
      </c>
      <c r="AF16" s="54">
        <f t="shared" si="7"/>
        <v>0.28867513459481303</v>
      </c>
      <c r="AG16" s="54">
        <f t="shared" si="7"/>
        <v>0.16666666666666657</v>
      </c>
      <c r="AH16" s="54">
        <f t="shared" si="7"/>
        <v>1.22514845490862E-16</v>
      </c>
      <c r="AI16" s="54">
        <f t="shared" si="7"/>
        <v>-0.16666666666666638</v>
      </c>
      <c r="AJ16" s="54">
        <f t="shared" si="7"/>
        <v>-0.28867513459481287</v>
      </c>
      <c r="AK16" s="54">
        <f t="shared" si="7"/>
        <v>-0.33333333333333331</v>
      </c>
      <c r="AL16" s="54">
        <f t="shared" si="7"/>
        <v>-0.28867513459481275</v>
      </c>
      <c r="AM16" s="54">
        <f t="shared" si="7"/>
        <v>-0.16666666666666663</v>
      </c>
      <c r="AN16" s="54">
        <f t="shared" si="7"/>
        <v>-7.5547207378789949E-16</v>
      </c>
      <c r="AO16" s="54">
        <f t="shared" si="7"/>
        <v>0.16666666666666635</v>
      </c>
      <c r="AP16" s="54">
        <f t="shared" si="7"/>
        <v>0.28867513459481287</v>
      </c>
      <c r="AQ16" s="54">
        <f t="shared" si="7"/>
        <v>0.33333333333333331</v>
      </c>
      <c r="AR16" s="54">
        <f t="shared" si="7"/>
        <v>0.28867513459481275</v>
      </c>
      <c r="AS16" s="54">
        <f t="shared" si="7"/>
        <v>0.16666666666666718</v>
      </c>
      <c r="AT16" s="54">
        <f t="shared" si="7"/>
        <v>2.0419140915143666E-16</v>
      </c>
      <c r="AU16" s="54">
        <f t="shared" si="7"/>
        <v>-0.1666666666666663</v>
      </c>
      <c r="AV16" s="54">
        <f t="shared" si="7"/>
        <v>-0.28867513459481253</v>
      </c>
      <c r="AW16" s="54">
        <f t="shared" si="7"/>
        <v>-0.33333333333333331</v>
      </c>
      <c r="AX16" s="54">
        <f t="shared" si="7"/>
        <v>-0.28867513459481275</v>
      </c>
      <c r="AY16" s="54">
        <f t="shared" si="7"/>
        <v>-0.16666666666666669</v>
      </c>
      <c r="AZ16" s="54">
        <f t="shared" si="7"/>
        <v>-2.45029690981724E-16</v>
      </c>
      <c r="BA16" s="54">
        <f t="shared" si="7"/>
        <v>0.16666666666666627</v>
      </c>
      <c r="BB16" s="54">
        <f t="shared" si="7"/>
        <v>0.28867513459481253</v>
      </c>
    </row>
    <row r="17" spans="3:54" x14ac:dyDescent="0.35">
      <c r="C17" s="42">
        <f>1/5</f>
        <v>0.2</v>
      </c>
      <c r="D17" s="42">
        <f>5*D15</f>
        <v>250</v>
      </c>
      <c r="E17" s="248">
        <f t="shared" si="4"/>
        <v>5</v>
      </c>
      <c r="F17" s="248">
        <f t="shared" si="5"/>
        <v>4.0000000000000001E-3</v>
      </c>
      <c r="G17" s="248">
        <f t="shared" si="6"/>
        <v>1570.7963267948965</v>
      </c>
      <c r="H17" s="42">
        <v>0</v>
      </c>
      <c r="I17" s="251">
        <f>PI()*H17/180</f>
        <v>0</v>
      </c>
      <c r="J17" s="56"/>
      <c r="K17" s="56"/>
      <c r="M17" s="65" t="str">
        <f>_xlfn.CONCAT("y2 = ",IF(C17&lt;&gt;1,_xlfn.CONCAT(ROUND(C17,2)," *"),"")," sin(2*pi * ",IF(D17&lt;&gt;1,_xlfn.CONCAT(ROUND(D17,2),"Hz"),"")," * t ",IF(H17&lt;&gt;0,_xlfn.CONCAT(" + ",ROUND(H17,2),"°"),""),") = ")</f>
        <v xml:space="preserve">y2 = 0.2 * sin(2*pi * 250Hz * t ) = </v>
      </c>
      <c r="N17" s="255">
        <f>IF($O$17=$AL$7,$C$17*SIN($G$17*N14 + $E$17*$I$17),"")</f>
        <v>-0.18793852415718165</v>
      </c>
      <c r="O17" s="50" t="s">
        <v>71</v>
      </c>
      <c r="P17" s="54">
        <f>IF($O$17=$AL$7,$C$17*SIN($G$17*P14 + $E$17*$I$17),"")</f>
        <v>0</v>
      </c>
      <c r="Q17" s="54">
        <f>IF($O$17=$AL$7,$C$17*SIN($G$17*Q14 + $E$17*$I$17),"")</f>
        <v>0.15320888862379559</v>
      </c>
      <c r="R17" s="54">
        <f t="shared" ref="R17:BB17" si="8">IF($O$17=$AL$7,$C$17*SIN($G$17*R14 + $E$17*$I$17),"")</f>
        <v>0.19696155060244164</v>
      </c>
      <c r="S17" s="54">
        <f t="shared" si="8"/>
        <v>0.10000000000000007</v>
      </c>
      <c r="T17" s="54">
        <f t="shared" si="8"/>
        <v>-6.8404028665133648E-2</v>
      </c>
      <c r="U17" s="54">
        <f t="shared" si="8"/>
        <v>-0.18793852415718165</v>
      </c>
      <c r="V17" s="54">
        <f t="shared" si="8"/>
        <v>-0.17320508075688781</v>
      </c>
      <c r="W17" s="54">
        <f t="shared" si="8"/>
        <v>-3.472963553338608E-2</v>
      </c>
      <c r="X17" s="54">
        <f t="shared" si="8"/>
        <v>0.12855752193730771</v>
      </c>
      <c r="Y17" s="54">
        <f t="shared" si="8"/>
        <v>0.2</v>
      </c>
      <c r="Z17" s="54">
        <f t="shared" si="8"/>
        <v>0.12855752193730807</v>
      </c>
      <c r="AA17" s="54">
        <f t="shared" si="8"/>
        <v>-3.4729635533385955E-2</v>
      </c>
      <c r="AB17" s="54">
        <f t="shared" si="8"/>
        <v>-0.17320508075688756</v>
      </c>
      <c r="AC17" s="54">
        <f t="shared" si="8"/>
        <v>-0.18793852415718174</v>
      </c>
      <c r="AD17" s="54">
        <f t="shared" si="8"/>
        <v>-6.8404028665133773E-2</v>
      </c>
      <c r="AE17" s="54">
        <f t="shared" si="8"/>
        <v>9.9999999999999811E-2</v>
      </c>
      <c r="AF17" s="54">
        <f t="shared" si="8"/>
        <v>0.19696155060244155</v>
      </c>
      <c r="AG17" s="54">
        <f t="shared" si="8"/>
        <v>0.15320888862379578</v>
      </c>
      <c r="AH17" s="54">
        <f t="shared" si="8"/>
        <v>1.22514845490862E-16</v>
      </c>
      <c r="AI17" s="54">
        <f t="shared" si="8"/>
        <v>-0.15320888862379542</v>
      </c>
      <c r="AJ17" s="54">
        <f t="shared" si="8"/>
        <v>-0.19696155060244172</v>
      </c>
      <c r="AK17" s="54">
        <f t="shared" si="8"/>
        <v>-0.10000000000000003</v>
      </c>
      <c r="AL17" s="54">
        <f t="shared" si="8"/>
        <v>6.8404028665133537E-2</v>
      </c>
      <c r="AM17" s="54">
        <f t="shared" si="8"/>
        <v>0.18793852415718154</v>
      </c>
      <c r="AN17" s="54">
        <f t="shared" si="8"/>
        <v>0.17320508075688806</v>
      </c>
      <c r="AO17" s="54">
        <f t="shared" si="8"/>
        <v>3.4729635533386899E-2</v>
      </c>
      <c r="AP17" s="54">
        <f t="shared" si="8"/>
        <v>-0.1285575219373076</v>
      </c>
      <c r="AQ17" s="54">
        <f t="shared" si="8"/>
        <v>-0.2</v>
      </c>
      <c r="AR17" s="54">
        <f t="shared" si="8"/>
        <v>-0.12855752193730791</v>
      </c>
      <c r="AS17" s="54">
        <f t="shared" si="8"/>
        <v>3.4729635533385143E-2</v>
      </c>
      <c r="AT17" s="54">
        <f t="shared" si="8"/>
        <v>0.17320508075688754</v>
      </c>
      <c r="AU17" s="54">
        <f t="shared" si="8"/>
        <v>0.18793852415718193</v>
      </c>
      <c r="AV17" s="54">
        <f t="shared" si="8"/>
        <v>6.840402866513455E-2</v>
      </c>
      <c r="AW17" s="54">
        <f t="shared" si="8"/>
        <v>-9.99999999999997E-2</v>
      </c>
      <c r="AX17" s="54">
        <f t="shared" si="8"/>
        <v>-0.19696155060244153</v>
      </c>
      <c r="AY17" s="54">
        <f t="shared" si="8"/>
        <v>-0.15320888862379611</v>
      </c>
      <c r="AZ17" s="54">
        <f t="shared" si="8"/>
        <v>-2.45029690981724E-16</v>
      </c>
      <c r="BA17" s="54">
        <f t="shared" si="8"/>
        <v>0.15320888862379489</v>
      </c>
      <c r="BB17" s="54">
        <f t="shared" si="8"/>
        <v>0.19696155060244172</v>
      </c>
    </row>
    <row r="18" spans="3:54" ht="15" thickBot="1" x14ac:dyDescent="0.4">
      <c r="C18" s="241">
        <f>1/7</f>
        <v>0.14285714285714285</v>
      </c>
      <c r="D18" s="241">
        <f>7*D15</f>
        <v>350</v>
      </c>
      <c r="E18" s="249">
        <f t="shared" si="4"/>
        <v>7</v>
      </c>
      <c r="F18" s="249">
        <f t="shared" si="5"/>
        <v>2.8571428571428571E-3</v>
      </c>
      <c r="G18" s="249">
        <f>2*PI()*D18</f>
        <v>2199.114857512855</v>
      </c>
      <c r="H18" s="241">
        <v>0</v>
      </c>
      <c r="I18" s="252">
        <f>PI()*H18/180</f>
        <v>0</v>
      </c>
      <c r="J18" s="56"/>
      <c r="K18" s="56"/>
      <c r="M18" s="66" t="str">
        <f>_xlfn.CONCAT("y3 = ",IF(C18&lt;&gt;1,_xlfn.CONCAT(ROUND(C18,2)," *"),"")," sin(2*pi * ",IF(D18&lt;&gt;1,_xlfn.CONCAT(ROUND(D18,2),"Hz"),"")," * t ",IF(H18&lt;&gt;0,_xlfn.CONCAT(" + ",ROUND(H18,2),"°"),""),") = ")</f>
        <v xml:space="preserve">y3 = 0.14 * sin(2*pi * 350Hz * t ) = </v>
      </c>
      <c r="N18" s="256">
        <f>IF($O$18=$AL$7,$C$18*SIN($G$18*N14 + $E$18*$I$18),"")</f>
        <v>-2.4806882523847322E-2</v>
      </c>
      <c r="O18" s="51" t="s">
        <v>71</v>
      </c>
      <c r="P18" s="54">
        <f>IF($O$18=$AL$7,$C$18*SIN($G$18*P14 + $E$18*$I$18),"")</f>
        <v>0</v>
      </c>
      <c r="Q18" s="54">
        <f t="shared" ref="Q18:BB18" si="9">IF($O$18=$AL$7,$C$18*SIN($G$18*Q14 + $E$18*$I$18),"")</f>
        <v>0.13424180296941546</v>
      </c>
      <c r="R18" s="54">
        <f t="shared" si="9"/>
        <v>9.1826801383791345E-2</v>
      </c>
      <c r="S18" s="54">
        <f t="shared" si="9"/>
        <v>-7.1428571428571341E-2</v>
      </c>
      <c r="T18" s="54">
        <f t="shared" si="9"/>
        <v>-0.14068682185888687</v>
      </c>
      <c r="U18" s="54">
        <f t="shared" si="9"/>
        <v>-2.4806882523847322E-2</v>
      </c>
      <c r="V18" s="54">
        <f t="shared" si="9"/>
        <v>0.12371791482634827</v>
      </c>
      <c r="W18" s="54">
        <f t="shared" si="9"/>
        <v>0.10943492044556839</v>
      </c>
      <c r="X18" s="54">
        <f t="shared" si="9"/>
        <v>-4.8860020475095425E-2</v>
      </c>
      <c r="Y18" s="54">
        <f t="shared" si="9"/>
        <v>-0.14285714285714285</v>
      </c>
      <c r="Z18" s="54">
        <f t="shared" si="9"/>
        <v>-4.8860020475095779E-2</v>
      </c>
      <c r="AA18" s="54">
        <f t="shared" si="9"/>
        <v>0.10943492044556814</v>
      </c>
      <c r="AB18" s="54">
        <f t="shared" si="9"/>
        <v>0.12371791482634859</v>
      </c>
      <c r="AC18" s="54">
        <f t="shared" si="9"/>
        <v>-2.4806882523847079E-2</v>
      </c>
      <c r="AD18" s="54">
        <f t="shared" si="9"/>
        <v>-0.14068682185888681</v>
      </c>
      <c r="AE18" s="54">
        <f t="shared" si="9"/>
        <v>-7.1428571428571883E-2</v>
      </c>
      <c r="AF18" s="54">
        <f t="shared" si="9"/>
        <v>9.1826801383791151E-2</v>
      </c>
      <c r="AG18" s="54">
        <f t="shared" si="9"/>
        <v>0.13424180296941562</v>
      </c>
      <c r="AH18" s="54">
        <f t="shared" si="9"/>
        <v>1.22514845490862E-16</v>
      </c>
      <c r="AI18" s="54">
        <f t="shared" si="9"/>
        <v>-0.13424180296941537</v>
      </c>
      <c r="AJ18" s="54">
        <f t="shared" si="9"/>
        <v>-9.1826801383791734E-2</v>
      </c>
      <c r="AK18" s="54">
        <f t="shared" si="9"/>
        <v>7.142857142857123E-2</v>
      </c>
      <c r="AL18" s="54">
        <f t="shared" si="9"/>
        <v>0.14068682185888692</v>
      </c>
      <c r="AM18" s="54">
        <f t="shared" si="9"/>
        <v>2.4806882523847319E-2</v>
      </c>
      <c r="AN18" s="54">
        <f t="shared" si="9"/>
        <v>-0.12371791482634795</v>
      </c>
      <c r="AO18" s="54">
        <f t="shared" si="9"/>
        <v>-0.10943492044556863</v>
      </c>
      <c r="AP18" s="54">
        <f t="shared" si="9"/>
        <v>4.8860020475095314E-2</v>
      </c>
      <c r="AQ18" s="54">
        <f t="shared" si="9"/>
        <v>0.14285714285714285</v>
      </c>
      <c r="AR18" s="54">
        <f t="shared" si="9"/>
        <v>4.8860020475096133E-2</v>
      </c>
      <c r="AS18" s="54">
        <f t="shared" si="9"/>
        <v>-0.10943492044556806</v>
      </c>
      <c r="AT18" s="54">
        <f t="shared" si="9"/>
        <v>-0.1237179148263489</v>
      </c>
      <c r="AU18" s="54">
        <f t="shared" si="9"/>
        <v>2.4806882523846455E-2</v>
      </c>
      <c r="AV18" s="54">
        <f t="shared" si="9"/>
        <v>0.14068682185888678</v>
      </c>
      <c r="AW18" s="54">
        <f t="shared" si="9"/>
        <v>7.1428571428572424E-2</v>
      </c>
      <c r="AX18" s="54">
        <f t="shared" si="9"/>
        <v>-9.1826801383790679E-2</v>
      </c>
      <c r="AY18" s="54">
        <f t="shared" si="9"/>
        <v>-0.13424180296941565</v>
      </c>
      <c r="AZ18" s="54">
        <f t="shared" si="9"/>
        <v>-2.45029690981724E-16</v>
      </c>
      <c r="BA18" s="54">
        <f t="shared" si="9"/>
        <v>0.13424180296941515</v>
      </c>
      <c r="BB18" s="54">
        <f t="shared" si="9"/>
        <v>9.1826801383791817E-2</v>
      </c>
    </row>
    <row r="19" spans="3:54" ht="16" customHeight="1" thickBot="1" x14ac:dyDescent="0.4">
      <c r="C19" s="242" t="s">
        <v>452</v>
      </c>
      <c r="D19" s="243">
        <f>MIN(D15:D18)</f>
        <v>50</v>
      </c>
      <c r="E19" s="243"/>
      <c r="F19" s="250">
        <f>1/D19</f>
        <v>0.02</v>
      </c>
      <c r="G19" s="250">
        <f>2*PI()*D19</f>
        <v>314.15926535897933</v>
      </c>
      <c r="H19" s="244"/>
      <c r="I19" s="245"/>
      <c r="M19" s="40" t="s">
        <v>66</v>
      </c>
      <c r="N19" s="257">
        <f>IF($O$19=$AL$7,SUM(N15:N18),"")</f>
        <v>0.71996570310461572</v>
      </c>
      <c r="O19" s="53" t="s">
        <v>71</v>
      </c>
      <c r="P19" s="55">
        <f t="shared" ref="P19:BB19" si="10">IF($O$19=$AL$7,SUM(P15:P18),"")</f>
        <v>0</v>
      </c>
      <c r="Q19" s="55">
        <f t="shared" si="10"/>
        <v>0.62776553592680795</v>
      </c>
      <c r="R19" s="55">
        <f t="shared" si="10"/>
        <v>0.91948362990671439</v>
      </c>
      <c r="S19" s="55">
        <f t="shared" si="10"/>
        <v>0.86190476190476195</v>
      </c>
      <c r="T19" s="55">
        <f t="shared" si="10"/>
        <v>0.72237189375733157</v>
      </c>
      <c r="U19" s="55">
        <f t="shared" si="10"/>
        <v>0.71996570310461572</v>
      </c>
      <c r="V19" s="55">
        <f t="shared" si="10"/>
        <v>0.81653823785389934</v>
      </c>
      <c r="W19" s="55">
        <f t="shared" si="10"/>
        <v>0.847731239031424</v>
      </c>
      <c r="X19" s="55">
        <f t="shared" si="10"/>
        <v>0.77583011987960759</v>
      </c>
      <c r="Y19" s="55">
        <f t="shared" si="10"/>
        <v>0.7238095238095239</v>
      </c>
      <c r="Z19" s="55">
        <f t="shared" si="10"/>
        <v>0.77583011987960748</v>
      </c>
      <c r="AA19" s="55">
        <f t="shared" si="10"/>
        <v>0.847731239031424</v>
      </c>
      <c r="AB19" s="55">
        <f t="shared" si="10"/>
        <v>0.81653823785389945</v>
      </c>
      <c r="AC19" s="55">
        <f t="shared" si="10"/>
        <v>0.71996570310461583</v>
      </c>
      <c r="AD19" s="55">
        <f t="shared" si="10"/>
        <v>0.72237189375733157</v>
      </c>
      <c r="AE19" s="55">
        <f t="shared" si="10"/>
        <v>0.86190476190476129</v>
      </c>
      <c r="AF19" s="55">
        <f t="shared" si="10"/>
        <v>0.91948362990671473</v>
      </c>
      <c r="AG19" s="55">
        <f t="shared" si="10"/>
        <v>0.62776553592680817</v>
      </c>
      <c r="AH19" s="55">
        <f t="shared" si="10"/>
        <v>4.90059381963448E-16</v>
      </c>
      <c r="AI19" s="55">
        <f t="shared" si="10"/>
        <v>-0.62776553592680762</v>
      </c>
      <c r="AJ19" s="55">
        <f t="shared" si="10"/>
        <v>-0.91948362990671539</v>
      </c>
      <c r="AK19" s="55">
        <f t="shared" si="10"/>
        <v>-0.8619047619047624</v>
      </c>
      <c r="AL19" s="55">
        <f t="shared" si="10"/>
        <v>-0.72237189375733191</v>
      </c>
      <c r="AM19" s="55">
        <f t="shared" si="10"/>
        <v>-0.71996570310461616</v>
      </c>
      <c r="AN19" s="55">
        <f t="shared" si="10"/>
        <v>-0.81653823785389912</v>
      </c>
      <c r="AO19" s="55">
        <f t="shared" si="10"/>
        <v>-0.84773123903142378</v>
      </c>
      <c r="AP19" s="55">
        <f t="shared" si="10"/>
        <v>-0.77583011987960748</v>
      </c>
      <c r="AQ19" s="55">
        <f t="shared" si="10"/>
        <v>-0.7238095238095239</v>
      </c>
      <c r="AR19" s="55">
        <f t="shared" si="10"/>
        <v>-0.77583011987960693</v>
      </c>
      <c r="AS19" s="55">
        <f t="shared" si="10"/>
        <v>-0.847731239031424</v>
      </c>
      <c r="AT19" s="55">
        <f t="shared" si="10"/>
        <v>-0.81653823785389967</v>
      </c>
      <c r="AU19" s="55">
        <f t="shared" si="10"/>
        <v>-0.71996570310461605</v>
      </c>
      <c r="AV19" s="55">
        <f t="shared" si="10"/>
        <v>-0.7223718937573308</v>
      </c>
      <c r="AW19" s="55">
        <f t="shared" si="10"/>
        <v>-0.86190476190476029</v>
      </c>
      <c r="AX19" s="55">
        <f t="shared" si="10"/>
        <v>-0.91948362990671351</v>
      </c>
      <c r="AY19" s="55">
        <f t="shared" si="10"/>
        <v>-0.62776553592680884</v>
      </c>
      <c r="AZ19" s="55">
        <f t="shared" si="10"/>
        <v>-9.8011876392689601E-16</v>
      </c>
      <c r="BA19" s="55">
        <f t="shared" si="10"/>
        <v>0.62776553592680706</v>
      </c>
      <c r="BB19" s="55">
        <f t="shared" si="10"/>
        <v>0.91948362990671506</v>
      </c>
    </row>
    <row r="20" spans="3:54" ht="8.5" customHeight="1" x14ac:dyDescent="0.35">
      <c r="M20" s="39"/>
      <c r="N20" s="39"/>
      <c r="O20" s="39"/>
    </row>
  </sheetData>
  <mergeCells count="4">
    <mergeCell ref="C11:I11"/>
    <mergeCell ref="C12:I12"/>
    <mergeCell ref="U7:V7"/>
    <mergeCell ref="O12:O14"/>
  </mergeCells>
  <dataValidations count="1">
    <dataValidation type="list" allowBlank="1" showInputMessage="1" showErrorMessage="1" sqref="O15:O18 O19" xr:uid="{14030FAE-C205-4F99-A125-F98CBE2B09BD}">
      <formula1>$AL$7:$AL$8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B1:AY74"/>
  <sheetViews>
    <sheetView showGridLines="0" topLeftCell="A5" zoomScale="85" zoomScaleNormal="85" workbookViewId="0">
      <selection activeCell="C63" sqref="C63"/>
    </sheetView>
  </sheetViews>
  <sheetFormatPr baseColWidth="10" defaultColWidth="10.81640625" defaultRowHeight="14.5" x14ac:dyDescent="0.35"/>
  <cols>
    <col min="2" max="2" width="16.26953125" customWidth="1"/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2:51" ht="21.75" customHeight="1" x14ac:dyDescent="0.35"/>
    <row r="2" spans="2:51" ht="26" x14ac:dyDescent="0.6">
      <c r="C2" s="44" t="s">
        <v>481</v>
      </c>
    </row>
    <row r="4" spans="2:51" x14ac:dyDescent="0.35">
      <c r="R4" s="5"/>
      <c r="S4" s="5" t="s">
        <v>75</v>
      </c>
      <c r="T4" s="5"/>
      <c r="U4" s="5"/>
      <c r="V4" s="5"/>
      <c r="W4" s="5"/>
      <c r="X4" s="5"/>
      <c r="Z4" s="5" t="s">
        <v>488</v>
      </c>
      <c r="AA4" s="5"/>
      <c r="AC4" s="5" t="s">
        <v>489</v>
      </c>
      <c r="AD4" s="5"/>
    </row>
    <row r="5" spans="2:51" x14ac:dyDescent="0.35">
      <c r="R5" s="5"/>
      <c r="S5" s="19" t="s">
        <v>79</v>
      </c>
      <c r="T5" s="55">
        <f>MAX(K14:K23)</f>
        <v>0.8660254037844386</v>
      </c>
      <c r="U5" s="5"/>
      <c r="V5" s="5"/>
      <c r="W5" s="5">
        <f>K12</f>
        <v>60</v>
      </c>
      <c r="X5" s="5">
        <f>W5</f>
        <v>60</v>
      </c>
      <c r="Z5" s="5">
        <v>0</v>
      </c>
      <c r="AA5" s="5">
        <f>AY12</f>
        <v>570</v>
      </c>
      <c r="AC5" s="5">
        <v>0</v>
      </c>
      <c r="AD5" s="5">
        <v>0</v>
      </c>
    </row>
    <row r="6" spans="2:51" x14ac:dyDescent="0.35">
      <c r="E6" t="s">
        <v>478</v>
      </c>
      <c r="R6" s="5"/>
      <c r="S6" s="19" t="s">
        <v>78</v>
      </c>
      <c r="T6" s="55">
        <f>MIN(K14:K23)</f>
        <v>-0.43301270189221958</v>
      </c>
      <c r="U6" s="5"/>
      <c r="V6" s="5"/>
      <c r="W6" s="55">
        <f>IF(T6&gt;0,0,T6)</f>
        <v>-0.43301270189221958</v>
      </c>
      <c r="X6" s="55">
        <f>IF(T5&lt;0,0,T5)</f>
        <v>0.8660254037844386</v>
      </c>
      <c r="Z6" s="5">
        <v>0</v>
      </c>
      <c r="AA6" s="5">
        <v>0</v>
      </c>
      <c r="AC6" s="55">
        <f>MIN(M14:AY23)</f>
        <v>-1</v>
      </c>
      <c r="AD6" s="55">
        <f>MAX(M14:AY23)</f>
        <v>1</v>
      </c>
    </row>
    <row r="7" spans="2:51" ht="15" thickBot="1" x14ac:dyDescent="0.4">
      <c r="E7" t="s">
        <v>479</v>
      </c>
      <c r="R7" s="309" t="s">
        <v>80</v>
      </c>
      <c r="S7" s="309"/>
      <c r="T7" s="5">
        <f>IF(ABS(T5)&gt;ABS(T6),T5,T6)</f>
        <v>0.8660254037844386</v>
      </c>
      <c r="U7" s="5"/>
      <c r="V7" s="5"/>
      <c r="W7" s="5"/>
      <c r="X7" s="5"/>
      <c r="AI7" s="5" t="s">
        <v>71</v>
      </c>
    </row>
    <row r="8" spans="2:51" ht="16" customHeight="1" thickBot="1" x14ac:dyDescent="0.5">
      <c r="E8" s="262" t="str">
        <f>IF(E15&gt;0,"Kapazitiv (Strom voreilend)",IF(E15&lt;0,"Induktiv (Strom nacheilend)","Ohmsch (Gleichphasig)"))</f>
        <v>Induktiv (Strom nacheilend)</v>
      </c>
      <c r="F8" s="263"/>
      <c r="G8" s="263"/>
      <c r="H8" s="264"/>
      <c r="R8" s="1"/>
      <c r="S8" s="39"/>
      <c r="AI8" s="5" t="s">
        <v>72</v>
      </c>
    </row>
    <row r="11" spans="2:51" ht="21" x14ac:dyDescent="0.35">
      <c r="C11" s="343"/>
      <c r="D11" s="343"/>
      <c r="E11" s="343"/>
      <c r="F11" s="343"/>
      <c r="G11" s="47"/>
      <c r="H11" s="47"/>
      <c r="L11" s="43" t="s">
        <v>8</v>
      </c>
      <c r="M11" s="46">
        <v>15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2:51" s="34" customFormat="1" ht="21" x14ac:dyDescent="0.35">
      <c r="C12" s="344" t="s">
        <v>490</v>
      </c>
      <c r="D12" s="344"/>
      <c r="E12" s="344"/>
      <c r="F12" s="344"/>
      <c r="G12" s="47"/>
      <c r="H12" s="47"/>
      <c r="J12" s="57" t="s">
        <v>69</v>
      </c>
      <c r="K12" s="38">
        <v>60</v>
      </c>
      <c r="L12" s="345" t="s">
        <v>70</v>
      </c>
      <c r="M12" s="38">
        <v>0</v>
      </c>
      <c r="N12" s="71">
        <f>M12+$M$11</f>
        <v>15</v>
      </c>
      <c r="O12" s="71">
        <f t="shared" ref="O12:AY12" si="0">N12+$M$11</f>
        <v>30</v>
      </c>
      <c r="P12" s="71">
        <f t="shared" si="0"/>
        <v>45</v>
      </c>
      <c r="Q12" s="71">
        <f t="shared" si="0"/>
        <v>60</v>
      </c>
      <c r="R12" s="71">
        <f t="shared" si="0"/>
        <v>75</v>
      </c>
      <c r="S12" s="71">
        <f t="shared" si="0"/>
        <v>90</v>
      </c>
      <c r="T12" s="71">
        <f t="shared" si="0"/>
        <v>105</v>
      </c>
      <c r="U12" s="71">
        <f t="shared" si="0"/>
        <v>120</v>
      </c>
      <c r="V12" s="71">
        <f t="shared" si="0"/>
        <v>135</v>
      </c>
      <c r="W12" s="71">
        <f t="shared" si="0"/>
        <v>150</v>
      </c>
      <c r="X12" s="71">
        <f t="shared" si="0"/>
        <v>165</v>
      </c>
      <c r="Y12" s="71">
        <f t="shared" si="0"/>
        <v>180</v>
      </c>
      <c r="Z12" s="71">
        <f t="shared" si="0"/>
        <v>195</v>
      </c>
      <c r="AA12" s="71">
        <f t="shared" si="0"/>
        <v>210</v>
      </c>
      <c r="AB12" s="71">
        <f t="shared" si="0"/>
        <v>225</v>
      </c>
      <c r="AC12" s="71">
        <f t="shared" si="0"/>
        <v>240</v>
      </c>
      <c r="AD12" s="71">
        <f t="shared" si="0"/>
        <v>255</v>
      </c>
      <c r="AE12" s="71">
        <f t="shared" si="0"/>
        <v>270</v>
      </c>
      <c r="AF12" s="71">
        <f t="shared" si="0"/>
        <v>285</v>
      </c>
      <c r="AG12" s="71">
        <f t="shared" si="0"/>
        <v>300</v>
      </c>
      <c r="AH12" s="71">
        <f t="shared" si="0"/>
        <v>315</v>
      </c>
      <c r="AI12" s="71">
        <f t="shared" si="0"/>
        <v>330</v>
      </c>
      <c r="AJ12" s="71">
        <f t="shared" si="0"/>
        <v>345</v>
      </c>
      <c r="AK12" s="71">
        <f t="shared" si="0"/>
        <v>360</v>
      </c>
      <c r="AL12" s="71">
        <f t="shared" si="0"/>
        <v>375</v>
      </c>
      <c r="AM12" s="71">
        <f t="shared" si="0"/>
        <v>390</v>
      </c>
      <c r="AN12" s="71">
        <f t="shared" si="0"/>
        <v>405</v>
      </c>
      <c r="AO12" s="71">
        <f t="shared" si="0"/>
        <v>420</v>
      </c>
      <c r="AP12" s="71">
        <f t="shared" si="0"/>
        <v>435</v>
      </c>
      <c r="AQ12" s="71">
        <f t="shared" si="0"/>
        <v>450</v>
      </c>
      <c r="AR12" s="71">
        <f t="shared" si="0"/>
        <v>465</v>
      </c>
      <c r="AS12" s="71">
        <f t="shared" si="0"/>
        <v>480</v>
      </c>
      <c r="AT12" s="71">
        <f t="shared" si="0"/>
        <v>495</v>
      </c>
      <c r="AU12" s="71">
        <f t="shared" si="0"/>
        <v>510</v>
      </c>
      <c r="AV12" s="71">
        <f t="shared" si="0"/>
        <v>525</v>
      </c>
      <c r="AW12" s="71">
        <f t="shared" si="0"/>
        <v>540</v>
      </c>
      <c r="AX12" s="71">
        <f t="shared" si="0"/>
        <v>555</v>
      </c>
      <c r="AY12" s="71">
        <f t="shared" si="0"/>
        <v>570</v>
      </c>
    </row>
    <row r="13" spans="2:51" s="34" customFormat="1" ht="43.5" x14ac:dyDescent="0.35">
      <c r="B13" s="59" t="s">
        <v>214</v>
      </c>
      <c r="C13" s="59" t="s">
        <v>73</v>
      </c>
      <c r="D13" s="59" t="s">
        <v>74</v>
      </c>
      <c r="E13" s="59" t="s">
        <v>77</v>
      </c>
      <c r="F13" s="59" t="s">
        <v>76</v>
      </c>
      <c r="G13" s="60"/>
      <c r="H13" s="60"/>
      <c r="J13" s="68" t="s">
        <v>68</v>
      </c>
      <c r="K13" s="62">
        <f>PI()*K12/180</f>
        <v>1.0471975511965976</v>
      </c>
      <c r="L13" s="347"/>
      <c r="M13" s="61">
        <f>PI()*M12/180</f>
        <v>0</v>
      </c>
      <c r="N13" s="61">
        <f>PI()*N12/180</f>
        <v>0.26179938779914941</v>
      </c>
      <c r="O13" s="61">
        <f t="shared" ref="O13:AY13" si="1">PI()*O12/180</f>
        <v>0.52359877559829882</v>
      </c>
      <c r="P13" s="61">
        <f t="shared" si="1"/>
        <v>0.78539816339744828</v>
      </c>
      <c r="Q13" s="61">
        <f t="shared" si="1"/>
        <v>1.0471975511965976</v>
      </c>
      <c r="R13" s="61">
        <f t="shared" si="1"/>
        <v>1.3089969389957472</v>
      </c>
      <c r="S13" s="61">
        <f t="shared" si="1"/>
        <v>1.5707963267948966</v>
      </c>
      <c r="T13" s="61">
        <f t="shared" si="1"/>
        <v>1.8325957145940461</v>
      </c>
      <c r="U13" s="61">
        <f t="shared" si="1"/>
        <v>2.0943951023931953</v>
      </c>
      <c r="V13" s="61">
        <f t="shared" si="1"/>
        <v>2.3561944901923448</v>
      </c>
      <c r="W13" s="61">
        <f t="shared" si="1"/>
        <v>2.6179938779914944</v>
      </c>
      <c r="X13" s="61">
        <f t="shared" si="1"/>
        <v>2.8797932657906435</v>
      </c>
      <c r="Y13" s="61">
        <f t="shared" si="1"/>
        <v>3.1415926535897931</v>
      </c>
      <c r="Z13" s="61">
        <f t="shared" si="1"/>
        <v>3.4033920413889422</v>
      </c>
      <c r="AA13" s="61">
        <f t="shared" si="1"/>
        <v>3.6651914291880923</v>
      </c>
      <c r="AB13" s="61">
        <f t="shared" si="1"/>
        <v>3.9269908169872414</v>
      </c>
      <c r="AC13" s="61">
        <f t="shared" si="1"/>
        <v>4.1887902047863905</v>
      </c>
      <c r="AD13" s="61">
        <f t="shared" si="1"/>
        <v>4.4505895925855405</v>
      </c>
      <c r="AE13" s="61">
        <f t="shared" si="1"/>
        <v>4.7123889803846897</v>
      </c>
      <c r="AF13" s="61">
        <f t="shared" si="1"/>
        <v>4.9741883681838397</v>
      </c>
      <c r="AG13" s="61">
        <f t="shared" si="1"/>
        <v>5.2359877559829888</v>
      </c>
      <c r="AH13" s="61">
        <f t="shared" si="1"/>
        <v>5.497787143782138</v>
      </c>
      <c r="AI13" s="61">
        <f t="shared" si="1"/>
        <v>5.7595865315812871</v>
      </c>
      <c r="AJ13" s="61">
        <f t="shared" si="1"/>
        <v>6.0213859193804371</v>
      </c>
      <c r="AK13" s="61">
        <f t="shared" si="1"/>
        <v>6.2831853071795862</v>
      </c>
      <c r="AL13" s="61">
        <f t="shared" si="1"/>
        <v>6.5449846949787354</v>
      </c>
      <c r="AM13" s="61">
        <f t="shared" si="1"/>
        <v>6.8067840827778845</v>
      </c>
      <c r="AN13" s="61">
        <f t="shared" si="1"/>
        <v>7.0685834705770336</v>
      </c>
      <c r="AO13" s="61">
        <f t="shared" si="1"/>
        <v>7.3303828583761845</v>
      </c>
      <c r="AP13" s="61">
        <f t="shared" si="1"/>
        <v>7.5921822461753337</v>
      </c>
      <c r="AQ13" s="61">
        <f t="shared" si="1"/>
        <v>7.8539816339744828</v>
      </c>
      <c r="AR13" s="61">
        <f t="shared" si="1"/>
        <v>8.1157810217736319</v>
      </c>
      <c r="AS13" s="61">
        <f t="shared" si="1"/>
        <v>8.3775804095727811</v>
      </c>
      <c r="AT13" s="61">
        <f t="shared" si="1"/>
        <v>8.639379797371932</v>
      </c>
      <c r="AU13" s="61">
        <f t="shared" si="1"/>
        <v>8.9011791851710811</v>
      </c>
      <c r="AV13" s="61">
        <f t="shared" si="1"/>
        <v>9.1629785729702302</v>
      </c>
      <c r="AW13" s="61">
        <f t="shared" si="1"/>
        <v>9.4247779607693793</v>
      </c>
      <c r="AX13" s="61">
        <f t="shared" si="1"/>
        <v>9.6865773485685303</v>
      </c>
      <c r="AY13" s="61">
        <f t="shared" si="1"/>
        <v>9.9483767363676794</v>
      </c>
    </row>
    <row r="14" spans="2:51" ht="17.5" customHeight="1" x14ac:dyDescent="0.35">
      <c r="B14" s="59" t="s">
        <v>480</v>
      </c>
      <c r="C14" s="42">
        <v>1</v>
      </c>
      <c r="D14" s="42">
        <v>50</v>
      </c>
      <c r="E14" s="69">
        <v>0</v>
      </c>
      <c r="F14" s="261">
        <f>PI()*E14/180</f>
        <v>0</v>
      </c>
      <c r="G14" s="56"/>
      <c r="H14" s="56"/>
      <c r="J14" s="58" t="str">
        <f>_xlfn.CONCAT(B14," = ",IF(C14&lt;&gt;1,_xlfn.CONCAT(ROUND(C14,2)," *"),"")," sin(","x ",IF(F14&lt;&gt;0,_xlfn.CONCAT(" + ",ROUND(F14,2),"°"),""),") = ")</f>
        <v xml:space="preserve">U =  sin(x ) = </v>
      </c>
      <c r="K14" s="63">
        <f>IF($L$14=$AI$7,$C$14*SIN(K13 + $F$14),0)</f>
        <v>0.8660254037844386</v>
      </c>
      <c r="L14" s="48" t="s">
        <v>71</v>
      </c>
      <c r="M14" s="54">
        <f>IF($L$14=$AI$7,$C$14*SIN(M13 + $F$14),0)</f>
        <v>0</v>
      </c>
      <c r="N14" s="54">
        <f t="shared" ref="N14:AY14" si="2">IF($L$14=$AI$7,$C$14*SIN(N13 + $F$14),0)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2:51" ht="17.5" customHeight="1" x14ac:dyDescent="0.35">
      <c r="B15" s="59" t="s">
        <v>52</v>
      </c>
      <c r="C15" s="42">
        <v>1</v>
      </c>
      <c r="D15" s="261">
        <f>D14</f>
        <v>50</v>
      </c>
      <c r="E15" s="42">
        <v>-60</v>
      </c>
      <c r="F15" s="261">
        <f>PI()*E15/180</f>
        <v>-1.0471975511965976</v>
      </c>
      <c r="G15" s="56"/>
      <c r="H15" s="56"/>
      <c r="J15" s="93" t="str">
        <f>_xlfn.CONCAT(B15," = ",IF(C15&lt;&gt;1,_xlfn.CONCAT(ROUND(C15,2)," *"),"")," sin(x ",IF(E15&lt;&gt;0,_xlfn.CONCAT(" + ",ROUND(E15,2),"°"),""),") = ")</f>
        <v xml:space="preserve">I =  sin(x  + -60°) = </v>
      </c>
      <c r="K15" s="94">
        <f>IF($L$15=$AI$7,$C$15*SIN(K13 + $F$15),"")</f>
        <v>0</v>
      </c>
      <c r="L15" s="95" t="s">
        <v>71</v>
      </c>
      <c r="M15" s="55">
        <f>IF($L$15=$AI$7,$C$15*SIN(M13 + $F$15),0)</f>
        <v>-0.8660254037844386</v>
      </c>
      <c r="N15" s="55">
        <f t="shared" ref="N15:AY15" si="3">IF($L$15=$AI$7,$C$15*SIN(N13 + $F$15),0)</f>
        <v>-0.70710678118654746</v>
      </c>
      <c r="O15" s="55">
        <f t="shared" si="3"/>
        <v>-0.49999999999999994</v>
      </c>
      <c r="P15" s="55">
        <f t="shared" si="3"/>
        <v>-0.25881904510252068</v>
      </c>
      <c r="Q15" s="55">
        <f t="shared" si="3"/>
        <v>0</v>
      </c>
      <c r="R15" s="55">
        <f t="shared" si="3"/>
        <v>0.25881904510252091</v>
      </c>
      <c r="S15" s="55">
        <f t="shared" si="3"/>
        <v>0.5</v>
      </c>
      <c r="T15" s="55">
        <f t="shared" si="3"/>
        <v>0.70710678118654768</v>
      </c>
      <c r="U15" s="55">
        <f t="shared" si="3"/>
        <v>0.8660254037844386</v>
      </c>
      <c r="V15" s="55">
        <f t="shared" si="3"/>
        <v>0.96592582628906831</v>
      </c>
      <c r="W15" s="55">
        <f t="shared" si="3"/>
        <v>1</v>
      </c>
      <c r="X15" s="55">
        <f t="shared" si="3"/>
        <v>0.96592582628906831</v>
      </c>
      <c r="Y15" s="55">
        <f t="shared" si="3"/>
        <v>0.86602540378443849</v>
      </c>
      <c r="Z15" s="55">
        <f t="shared" si="3"/>
        <v>0.70710678118654757</v>
      </c>
      <c r="AA15" s="55">
        <f t="shared" si="3"/>
        <v>0.49999999999999956</v>
      </c>
      <c r="AB15" s="55">
        <f t="shared" si="3"/>
        <v>0.25881904510252057</v>
      </c>
      <c r="AC15" s="55">
        <f t="shared" si="3"/>
        <v>1.22514845490862E-16</v>
      </c>
      <c r="AD15" s="55">
        <f t="shared" si="3"/>
        <v>-0.25881904510252118</v>
      </c>
      <c r="AE15" s="55">
        <f t="shared" si="3"/>
        <v>-0.50000000000000011</v>
      </c>
      <c r="AF15" s="55">
        <f t="shared" si="3"/>
        <v>-0.70710678118654802</v>
      </c>
      <c r="AG15" s="55">
        <f t="shared" si="3"/>
        <v>-0.86602540378443882</v>
      </c>
      <c r="AH15" s="55">
        <f t="shared" si="3"/>
        <v>-0.96592582628906831</v>
      </c>
      <c r="AI15" s="55">
        <f t="shared" si="3"/>
        <v>-1</v>
      </c>
      <c r="AJ15" s="55">
        <f t="shared" si="3"/>
        <v>-0.9659258262890682</v>
      </c>
      <c r="AK15" s="55">
        <f t="shared" si="3"/>
        <v>-0.8660254037844386</v>
      </c>
      <c r="AL15" s="55">
        <f t="shared" si="3"/>
        <v>-0.70710678118654768</v>
      </c>
      <c r="AM15" s="55">
        <f t="shared" si="3"/>
        <v>-0.50000000000000044</v>
      </c>
      <c r="AN15" s="55">
        <f t="shared" si="3"/>
        <v>-0.25881904510252157</v>
      </c>
      <c r="AO15" s="55">
        <f t="shared" si="3"/>
        <v>6.4314872871840123E-16</v>
      </c>
      <c r="AP15" s="55">
        <f t="shared" si="3"/>
        <v>0.25881904510252107</v>
      </c>
      <c r="AQ15" s="55">
        <f t="shared" si="3"/>
        <v>0.5</v>
      </c>
      <c r="AR15" s="55">
        <f t="shared" si="3"/>
        <v>0.70710678118654735</v>
      </c>
      <c r="AS15" s="55">
        <f t="shared" si="3"/>
        <v>0.86602540378443837</v>
      </c>
      <c r="AT15" s="55">
        <f t="shared" si="3"/>
        <v>0.96592582628906853</v>
      </c>
      <c r="AU15" s="55">
        <f t="shared" si="3"/>
        <v>1</v>
      </c>
      <c r="AV15" s="55">
        <f t="shared" si="3"/>
        <v>0.96592582628906842</v>
      </c>
      <c r="AW15" s="55">
        <f t="shared" si="3"/>
        <v>0.86602540378443915</v>
      </c>
      <c r="AX15" s="55">
        <f t="shared" si="3"/>
        <v>0.70710678118654713</v>
      </c>
      <c r="AY15" s="55">
        <f t="shared" si="3"/>
        <v>0.49999999999999978</v>
      </c>
    </row>
    <row r="16" spans="2:51" ht="17.5" customHeight="1" x14ac:dyDescent="0.35">
      <c r="B16" s="59" t="s">
        <v>482</v>
      </c>
      <c r="C16" s="261">
        <f>C15*COS(F15)</f>
        <v>0.50000000000000011</v>
      </c>
      <c r="D16" s="261">
        <f t="shared" ref="D16:D17" si="4">D15</f>
        <v>50</v>
      </c>
      <c r="E16" s="261">
        <f>E14</f>
        <v>0</v>
      </c>
      <c r="F16" s="261">
        <f>F14</f>
        <v>0</v>
      </c>
      <c r="J16" s="265" t="str">
        <f>_xlfn.CONCAT("IP = ",IF(C16&lt;&gt;1,_xlfn.CONCAT(ROUND(C16,2)," *"),"")," sin(x ",IF(E16&lt;&gt;0,_xlfn.CONCAT(" + ",ROUND(E16,2),"°"),""),") = ")</f>
        <v xml:space="preserve">IP = 0.5 * sin(x ) = </v>
      </c>
      <c r="K16" s="266">
        <f>IF($L$16=$AI$7,$C$16*SIN(K14 + $F$16),"")</f>
        <v>0.38087999070814471</v>
      </c>
      <c r="L16" s="267" t="s">
        <v>71</v>
      </c>
      <c r="M16" s="55">
        <f>IF($L$16=$AI$7,$C$16*SIN(M13 + $F$16),0)</f>
        <v>0</v>
      </c>
      <c r="N16" s="55">
        <f t="shared" ref="N16:AY16" si="5">IF($L$16=$AI$7,$C$16*SIN(N13 + $F$16),0)</f>
        <v>0.1294095225512604</v>
      </c>
      <c r="O16" s="55">
        <f t="shared" si="5"/>
        <v>0.25</v>
      </c>
      <c r="P16" s="55">
        <f t="shared" si="5"/>
        <v>0.35355339059327379</v>
      </c>
      <c r="Q16" s="55">
        <f t="shared" si="5"/>
        <v>0.43301270189221941</v>
      </c>
      <c r="R16" s="55">
        <f t="shared" si="5"/>
        <v>0.48296291314453427</v>
      </c>
      <c r="S16" s="55">
        <f t="shared" si="5"/>
        <v>0.50000000000000011</v>
      </c>
      <c r="T16" s="55">
        <f t="shared" si="5"/>
        <v>0.48296291314453427</v>
      </c>
      <c r="U16" s="55">
        <f t="shared" si="5"/>
        <v>0.43301270189221946</v>
      </c>
      <c r="V16" s="55">
        <f t="shared" si="5"/>
        <v>0.35355339059327384</v>
      </c>
      <c r="W16" s="55">
        <f t="shared" si="5"/>
        <v>0.25</v>
      </c>
      <c r="X16" s="55">
        <f t="shared" si="5"/>
        <v>0.12940952255126054</v>
      </c>
      <c r="Y16" s="55">
        <f t="shared" si="5"/>
        <v>6.1257422745431013E-17</v>
      </c>
      <c r="Z16" s="55">
        <f t="shared" si="5"/>
        <v>-0.1294095225512602</v>
      </c>
      <c r="AA16" s="55">
        <f t="shared" si="5"/>
        <v>-0.25000000000000011</v>
      </c>
      <c r="AB16" s="55">
        <f t="shared" si="5"/>
        <v>-0.35355339059327379</v>
      </c>
      <c r="AC16" s="55">
        <f t="shared" si="5"/>
        <v>-0.4330127018922193</v>
      </c>
      <c r="AD16" s="55">
        <f t="shared" si="5"/>
        <v>-0.48296291314453427</v>
      </c>
      <c r="AE16" s="55">
        <f t="shared" si="5"/>
        <v>-0.50000000000000011</v>
      </c>
      <c r="AF16" s="55">
        <f t="shared" si="5"/>
        <v>-0.48296291314453421</v>
      </c>
      <c r="AG16" s="55">
        <f t="shared" si="5"/>
        <v>-0.43301270189221941</v>
      </c>
      <c r="AH16" s="55">
        <f t="shared" si="5"/>
        <v>-0.3535533905932739</v>
      </c>
      <c r="AI16" s="55">
        <f t="shared" si="5"/>
        <v>-0.25000000000000028</v>
      </c>
      <c r="AJ16" s="55">
        <f t="shared" si="5"/>
        <v>-0.12940952255126037</v>
      </c>
      <c r="AK16" s="55">
        <f t="shared" si="5"/>
        <v>-1.2251484549086203E-16</v>
      </c>
      <c r="AL16" s="55">
        <f t="shared" si="5"/>
        <v>0.12940952255126015</v>
      </c>
      <c r="AM16" s="55">
        <f t="shared" si="5"/>
        <v>0.24999999999999969</v>
      </c>
      <c r="AN16" s="55">
        <f t="shared" si="5"/>
        <v>0.3535533905932734</v>
      </c>
      <c r="AO16" s="55">
        <f t="shared" si="5"/>
        <v>0.43301270189221952</v>
      </c>
      <c r="AP16" s="55">
        <f t="shared" si="5"/>
        <v>0.48296291314453427</v>
      </c>
      <c r="AQ16" s="55">
        <f t="shared" si="5"/>
        <v>0.50000000000000011</v>
      </c>
      <c r="AR16" s="55">
        <f t="shared" si="5"/>
        <v>0.48296291314453432</v>
      </c>
      <c r="AS16" s="55">
        <f t="shared" si="5"/>
        <v>0.43301270189221969</v>
      </c>
      <c r="AT16" s="55">
        <f t="shared" si="5"/>
        <v>0.35355339059327362</v>
      </c>
      <c r="AU16" s="55">
        <f t="shared" si="5"/>
        <v>0.24999999999999994</v>
      </c>
      <c r="AV16" s="55">
        <f t="shared" si="5"/>
        <v>0.12940952255126043</v>
      </c>
      <c r="AW16" s="55">
        <f t="shared" si="5"/>
        <v>1.8377226823629305E-16</v>
      </c>
      <c r="AX16" s="55">
        <f t="shared" si="5"/>
        <v>-0.12940952255126095</v>
      </c>
      <c r="AY16" s="55">
        <f t="shared" si="5"/>
        <v>-0.25000000000000039</v>
      </c>
    </row>
    <row r="17" spans="2:51" ht="17.5" customHeight="1" x14ac:dyDescent="0.35">
      <c r="B17" s="59" t="s">
        <v>483</v>
      </c>
      <c r="C17" s="261">
        <f>C15*SIN(F15)</f>
        <v>-0.8660254037844386</v>
      </c>
      <c r="D17" s="261">
        <f t="shared" si="4"/>
        <v>50</v>
      </c>
      <c r="E17" s="261">
        <v>90</v>
      </c>
      <c r="F17" s="261">
        <f>PI()*E17/180</f>
        <v>1.5707963267948966</v>
      </c>
      <c r="J17" s="265" t="str">
        <f>_xlfn.CONCAT("IQ = ",IF(C17&lt;&gt;1,_xlfn.CONCAT(ROUND(C17,2)," *"),"")," sin(x ",IF(E17&lt;&gt;0,_xlfn.CONCAT(" + ",ROUND(E17,2),"°"),""),") = ")</f>
        <v xml:space="preserve">IQ = -0.87 * sin(x  + 90°) = </v>
      </c>
      <c r="K17" s="266">
        <f>IF($L$17=$AI$7,$C$17*SIN(K13 + $F$17),"")</f>
        <v>-0.43301270189221958</v>
      </c>
      <c r="L17" s="267" t="s">
        <v>71</v>
      </c>
      <c r="M17" s="55">
        <f>IF($L$17=$AI$7,$C$17*SIN(M13 + $F$17),0)</f>
        <v>-0.8660254037844386</v>
      </c>
      <c r="N17" s="55">
        <f t="shared" ref="N17:AY17" si="6">IF($L$17=$AI$7,$C$17*SIN(N13 + $F$17),0)</f>
        <v>-0.83651630373780783</v>
      </c>
      <c r="O17" s="55">
        <f t="shared" si="6"/>
        <v>-0.75</v>
      </c>
      <c r="P17" s="55">
        <f t="shared" si="6"/>
        <v>-0.61237243569579458</v>
      </c>
      <c r="Q17" s="55">
        <f t="shared" si="6"/>
        <v>-0.43301270189221958</v>
      </c>
      <c r="R17" s="55">
        <f t="shared" si="6"/>
        <v>-0.22414386804201319</v>
      </c>
      <c r="S17" s="55">
        <f t="shared" si="6"/>
        <v>-1.0610096853581188E-16</v>
      </c>
      <c r="T17" s="55">
        <f t="shared" si="6"/>
        <v>0.22414386804201339</v>
      </c>
      <c r="U17" s="55">
        <f t="shared" si="6"/>
        <v>0.43301270189221908</v>
      </c>
      <c r="V17" s="55">
        <f t="shared" si="6"/>
        <v>0.61237243569579447</v>
      </c>
      <c r="W17" s="55">
        <f t="shared" si="6"/>
        <v>0.75000000000000011</v>
      </c>
      <c r="X17" s="55">
        <f t="shared" si="6"/>
        <v>0.83651630373780783</v>
      </c>
      <c r="Y17" s="55">
        <f t="shared" si="6"/>
        <v>0.8660254037844386</v>
      </c>
      <c r="Z17" s="55">
        <f t="shared" si="6"/>
        <v>0.83651630373780794</v>
      </c>
      <c r="AA17" s="55">
        <f t="shared" si="6"/>
        <v>0.74999999999999989</v>
      </c>
      <c r="AB17" s="55">
        <f t="shared" si="6"/>
        <v>0.61237243569579458</v>
      </c>
      <c r="AC17" s="55">
        <f t="shared" si="6"/>
        <v>0.43301270189221969</v>
      </c>
      <c r="AD17" s="55">
        <f t="shared" si="6"/>
        <v>0.22414386804201331</v>
      </c>
      <c r="AE17" s="55">
        <f t="shared" si="6"/>
        <v>2.1220193707162375E-16</v>
      </c>
      <c r="AF17" s="55">
        <f t="shared" si="6"/>
        <v>-0.22414386804201364</v>
      </c>
      <c r="AG17" s="55">
        <f t="shared" si="6"/>
        <v>-0.4330127018922193</v>
      </c>
      <c r="AH17" s="55">
        <f t="shared" si="6"/>
        <v>-0.61237243569579436</v>
      </c>
      <c r="AI17" s="55">
        <f t="shared" si="6"/>
        <v>-0.74999999999999967</v>
      </c>
      <c r="AJ17" s="55">
        <f t="shared" si="6"/>
        <v>-0.83651630373780783</v>
      </c>
      <c r="AK17" s="55">
        <f t="shared" si="6"/>
        <v>-0.8660254037844386</v>
      </c>
      <c r="AL17" s="55">
        <f t="shared" si="6"/>
        <v>-0.83651630373780794</v>
      </c>
      <c r="AM17" s="55">
        <f t="shared" si="6"/>
        <v>-0.75000000000000044</v>
      </c>
      <c r="AN17" s="55">
        <f t="shared" si="6"/>
        <v>-0.61237243569579525</v>
      </c>
      <c r="AO17" s="55">
        <f t="shared" si="6"/>
        <v>-0.43301270189221913</v>
      </c>
      <c r="AP17" s="55">
        <f t="shared" si="6"/>
        <v>-0.22414386804201339</v>
      </c>
      <c r="AQ17" s="55">
        <f t="shared" si="6"/>
        <v>-3.183029056074356E-16</v>
      </c>
      <c r="AR17" s="55">
        <f t="shared" si="6"/>
        <v>0.22414386804201281</v>
      </c>
      <c r="AS17" s="55">
        <f t="shared" si="6"/>
        <v>0.43301270189221858</v>
      </c>
      <c r="AT17" s="55">
        <f t="shared" si="6"/>
        <v>0.6123724356957948</v>
      </c>
      <c r="AU17" s="55">
        <f t="shared" si="6"/>
        <v>0.75</v>
      </c>
      <c r="AV17" s="55">
        <f t="shared" si="6"/>
        <v>0.83651630373780783</v>
      </c>
      <c r="AW17" s="55">
        <f t="shared" si="6"/>
        <v>0.8660254037844386</v>
      </c>
      <c r="AX17" s="55">
        <f t="shared" si="6"/>
        <v>0.83651630373780761</v>
      </c>
      <c r="AY17" s="55">
        <f t="shared" si="6"/>
        <v>0.74999999999999967</v>
      </c>
    </row>
    <row r="18" spans="2:51" ht="17.5" customHeight="1" x14ac:dyDescent="0.35">
      <c r="B18" s="110" t="str">
        <f>IF(AND(C15=C18,E15=E18,F15=F18),"Kontrolle ok","Fehler")</f>
        <v>Kontrolle ok</v>
      </c>
      <c r="C18" s="261">
        <f>SQRT(C16^2+C17^2)</f>
        <v>1</v>
      </c>
      <c r="D18" s="5"/>
      <c r="E18" s="261">
        <f>DEGREES(F18)</f>
        <v>-59.999999999999993</v>
      </c>
      <c r="F18" s="261">
        <f>ATAN2(C16,C17)</f>
        <v>-1.0471975511965976</v>
      </c>
      <c r="J18" s="268" t="s">
        <v>484</v>
      </c>
      <c r="K18" s="269" t="str">
        <f>IF($L$18=$AI$7,K16+K17,"")</f>
        <v/>
      </c>
      <c r="L18" s="270" t="s">
        <v>72</v>
      </c>
      <c r="M18" s="55">
        <f>IF($L$18=$AI$7,M16+M17,0)</f>
        <v>0</v>
      </c>
      <c r="N18" s="55">
        <f t="shared" ref="N18:AY18" si="7">IF($L$18=$AI$7,N16+N17,0)</f>
        <v>0</v>
      </c>
      <c r="O18" s="55">
        <f t="shared" si="7"/>
        <v>0</v>
      </c>
      <c r="P18" s="55">
        <f t="shared" si="7"/>
        <v>0</v>
      </c>
      <c r="Q18" s="55">
        <f t="shared" si="7"/>
        <v>0</v>
      </c>
      <c r="R18" s="55">
        <f t="shared" si="7"/>
        <v>0</v>
      </c>
      <c r="S18" s="55">
        <f t="shared" si="7"/>
        <v>0</v>
      </c>
      <c r="T18" s="55">
        <f t="shared" si="7"/>
        <v>0</v>
      </c>
      <c r="U18" s="55">
        <f t="shared" si="7"/>
        <v>0</v>
      </c>
      <c r="V18" s="55">
        <f t="shared" si="7"/>
        <v>0</v>
      </c>
      <c r="W18" s="55">
        <f t="shared" si="7"/>
        <v>0</v>
      </c>
      <c r="X18" s="55">
        <f t="shared" si="7"/>
        <v>0</v>
      </c>
      <c r="Y18" s="55">
        <f t="shared" si="7"/>
        <v>0</v>
      </c>
      <c r="Z18" s="55">
        <f t="shared" si="7"/>
        <v>0</v>
      </c>
      <c r="AA18" s="55">
        <f t="shared" si="7"/>
        <v>0</v>
      </c>
      <c r="AB18" s="55">
        <f t="shared" si="7"/>
        <v>0</v>
      </c>
      <c r="AC18" s="55">
        <f t="shared" si="7"/>
        <v>0</v>
      </c>
      <c r="AD18" s="55">
        <f t="shared" si="7"/>
        <v>0</v>
      </c>
      <c r="AE18" s="55">
        <f t="shared" si="7"/>
        <v>0</v>
      </c>
      <c r="AF18" s="55">
        <f t="shared" si="7"/>
        <v>0</v>
      </c>
      <c r="AG18" s="55">
        <f t="shared" si="7"/>
        <v>0</v>
      </c>
      <c r="AH18" s="55">
        <f t="shared" si="7"/>
        <v>0</v>
      </c>
      <c r="AI18" s="55">
        <f t="shared" si="7"/>
        <v>0</v>
      </c>
      <c r="AJ18" s="55">
        <f t="shared" si="7"/>
        <v>0</v>
      </c>
      <c r="AK18" s="55">
        <f t="shared" si="7"/>
        <v>0</v>
      </c>
      <c r="AL18" s="55">
        <f t="shared" si="7"/>
        <v>0</v>
      </c>
      <c r="AM18" s="55">
        <f t="shared" si="7"/>
        <v>0</v>
      </c>
      <c r="AN18" s="55">
        <f t="shared" si="7"/>
        <v>0</v>
      </c>
      <c r="AO18" s="55">
        <f t="shared" si="7"/>
        <v>0</v>
      </c>
      <c r="AP18" s="55">
        <f t="shared" si="7"/>
        <v>0</v>
      </c>
      <c r="AQ18" s="55">
        <f t="shared" si="7"/>
        <v>0</v>
      </c>
      <c r="AR18" s="55">
        <f t="shared" si="7"/>
        <v>0</v>
      </c>
      <c r="AS18" s="55">
        <f t="shared" si="7"/>
        <v>0</v>
      </c>
      <c r="AT18" s="55">
        <f t="shared" si="7"/>
        <v>0</v>
      </c>
      <c r="AU18" s="55">
        <f t="shared" si="7"/>
        <v>0</v>
      </c>
      <c r="AV18" s="55">
        <f t="shared" si="7"/>
        <v>0</v>
      </c>
      <c r="AW18" s="55">
        <f t="shared" si="7"/>
        <v>0</v>
      </c>
      <c r="AX18" s="55">
        <f t="shared" si="7"/>
        <v>0</v>
      </c>
      <c r="AY18" s="55">
        <f t="shared" si="7"/>
        <v>0</v>
      </c>
    </row>
    <row r="19" spans="2:51" ht="8.5" customHeight="1" x14ac:dyDescent="0.35">
      <c r="J19" s="41"/>
      <c r="K19" s="67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2:51" ht="8.5" customHeight="1" x14ac:dyDescent="0.35">
      <c r="J20" s="41"/>
      <c r="K20" s="67"/>
      <c r="L20" s="52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2:51" x14ac:dyDescent="0.35">
      <c r="J21" s="96" t="s">
        <v>485</v>
      </c>
      <c r="K21" s="97">
        <f>IF($L$21=$AI$7,K14*K15,"")</f>
        <v>0</v>
      </c>
      <c r="L21" s="98" t="s">
        <v>71</v>
      </c>
      <c r="M21" s="55">
        <f>IF($L$21=$AI$7,M14*M15,0)</f>
        <v>0</v>
      </c>
      <c r="N21" s="55">
        <f t="shared" ref="N21:AY21" si="8">IF($L$21=$AI$7,N14*N15,0)</f>
        <v>-0.1830127018922193</v>
      </c>
      <c r="O21" s="55">
        <f t="shared" si="8"/>
        <v>-0.24999999999999994</v>
      </c>
      <c r="P21" s="55">
        <f t="shared" si="8"/>
        <v>-0.18301270189221924</v>
      </c>
      <c r="Q21" s="55">
        <f t="shared" si="8"/>
        <v>0</v>
      </c>
      <c r="R21" s="55">
        <f t="shared" si="8"/>
        <v>0.25000000000000017</v>
      </c>
      <c r="S21" s="55">
        <f t="shared" si="8"/>
        <v>0.5</v>
      </c>
      <c r="T21" s="55">
        <f t="shared" si="8"/>
        <v>0.68301270189221952</v>
      </c>
      <c r="U21" s="55">
        <f t="shared" si="8"/>
        <v>0.75</v>
      </c>
      <c r="V21" s="55">
        <f t="shared" si="8"/>
        <v>0.68301270189221941</v>
      </c>
      <c r="W21" s="55">
        <f t="shared" si="8"/>
        <v>0.49999999999999994</v>
      </c>
      <c r="X21" s="55">
        <f t="shared" si="8"/>
        <v>0.25000000000000028</v>
      </c>
      <c r="Y21" s="55">
        <f t="shared" si="8"/>
        <v>1.0610096853581185E-16</v>
      </c>
      <c r="Z21" s="55">
        <f t="shared" si="8"/>
        <v>-0.18301270189221905</v>
      </c>
      <c r="AA21" s="55">
        <f t="shared" si="8"/>
        <v>-0.24999999999999983</v>
      </c>
      <c r="AB21" s="55">
        <f t="shared" si="8"/>
        <v>-0.18301270189221916</v>
      </c>
      <c r="AC21" s="55">
        <f t="shared" si="8"/>
        <v>-1.0610096853581184E-16</v>
      </c>
      <c r="AD21" s="55">
        <f t="shared" si="8"/>
        <v>0.25000000000000039</v>
      </c>
      <c r="AE21" s="55">
        <f t="shared" si="8"/>
        <v>0.50000000000000011</v>
      </c>
      <c r="AF21" s="55">
        <f t="shared" si="8"/>
        <v>0.68301270189221974</v>
      </c>
      <c r="AG21" s="55">
        <f t="shared" si="8"/>
        <v>0.75000000000000011</v>
      </c>
      <c r="AH21" s="55">
        <f t="shared" si="8"/>
        <v>0.68301270189221952</v>
      </c>
      <c r="AI21" s="55">
        <f t="shared" si="8"/>
        <v>0.50000000000000044</v>
      </c>
      <c r="AJ21" s="55">
        <f t="shared" si="8"/>
        <v>0.24999999999999989</v>
      </c>
      <c r="AK21" s="55">
        <f t="shared" si="8"/>
        <v>2.1220193707162375E-16</v>
      </c>
      <c r="AL21" s="55">
        <f t="shared" si="8"/>
        <v>-0.18301270189221899</v>
      </c>
      <c r="AM21" s="55">
        <f t="shared" si="8"/>
        <v>-0.24999999999999986</v>
      </c>
      <c r="AN21" s="55">
        <f t="shared" si="8"/>
        <v>-0.18301270189221969</v>
      </c>
      <c r="AO21" s="55">
        <f t="shared" si="8"/>
        <v>5.5698313748180192E-16</v>
      </c>
      <c r="AP21" s="55">
        <f t="shared" si="8"/>
        <v>0.25000000000000033</v>
      </c>
      <c r="AQ21" s="55">
        <f t="shared" si="8"/>
        <v>0.5</v>
      </c>
      <c r="AR21" s="55">
        <f t="shared" si="8"/>
        <v>0.6830127018922193</v>
      </c>
      <c r="AS21" s="55">
        <f t="shared" si="8"/>
        <v>0.75000000000000022</v>
      </c>
      <c r="AT21" s="55">
        <f t="shared" si="8"/>
        <v>0.68301270189221908</v>
      </c>
      <c r="AU21" s="55">
        <f t="shared" si="8"/>
        <v>0.49999999999999978</v>
      </c>
      <c r="AV21" s="55">
        <f t="shared" si="8"/>
        <v>0.25000000000000006</v>
      </c>
      <c r="AW21" s="55">
        <f t="shared" si="8"/>
        <v>3.183029056074358E-16</v>
      </c>
      <c r="AX21" s="55">
        <f t="shared" si="8"/>
        <v>-0.18301270189221999</v>
      </c>
      <c r="AY21" s="55">
        <f t="shared" si="8"/>
        <v>-0.25000000000000022</v>
      </c>
    </row>
    <row r="22" spans="2:51" ht="16.5" x14ac:dyDescent="0.35">
      <c r="J22" s="96" t="s">
        <v>487</v>
      </c>
      <c r="K22" s="97">
        <f>IF($L$21=$AI$7,K15*K16,"")</f>
        <v>0</v>
      </c>
      <c r="L22" s="98" t="s">
        <v>71</v>
      </c>
      <c r="M22" s="55">
        <f>IF($L$22=$AI$7,M14*M16,0)</f>
        <v>0</v>
      </c>
      <c r="N22" s="55">
        <f t="shared" ref="N22:AY22" si="9">IF($L$22=$AI$7,N14*N16,0)</f>
        <v>3.3493649053890337E-2</v>
      </c>
      <c r="O22" s="55">
        <f t="shared" si="9"/>
        <v>0.12499999999999999</v>
      </c>
      <c r="P22" s="55">
        <f t="shared" si="9"/>
        <v>0.25</v>
      </c>
      <c r="Q22" s="55">
        <f t="shared" si="9"/>
        <v>0.37500000000000006</v>
      </c>
      <c r="R22" s="55">
        <f t="shared" si="9"/>
        <v>0.46650635094610982</v>
      </c>
      <c r="S22" s="55">
        <f t="shared" si="9"/>
        <v>0.50000000000000011</v>
      </c>
      <c r="T22" s="55">
        <f t="shared" si="9"/>
        <v>0.46650635094610982</v>
      </c>
      <c r="U22" s="55">
        <f t="shared" si="9"/>
        <v>0.37500000000000017</v>
      </c>
      <c r="V22" s="55">
        <f t="shared" si="9"/>
        <v>0.25000000000000006</v>
      </c>
      <c r="W22" s="55">
        <f t="shared" si="9"/>
        <v>0.12499999999999999</v>
      </c>
      <c r="X22" s="55">
        <f t="shared" si="9"/>
        <v>3.3493649053890413E-2</v>
      </c>
      <c r="Y22" s="55">
        <f t="shared" si="9"/>
        <v>7.504943682824896E-33</v>
      </c>
      <c r="Z22" s="55">
        <f t="shared" si="9"/>
        <v>3.349364905389024E-2</v>
      </c>
      <c r="AA22" s="55">
        <f t="shared" si="9"/>
        <v>0.12500000000000008</v>
      </c>
      <c r="AB22" s="55">
        <f t="shared" si="9"/>
        <v>0.25</v>
      </c>
      <c r="AC22" s="55">
        <f t="shared" si="9"/>
        <v>0.37499999999999983</v>
      </c>
      <c r="AD22" s="55">
        <f t="shared" si="9"/>
        <v>0.46650635094610982</v>
      </c>
      <c r="AE22" s="55">
        <f t="shared" si="9"/>
        <v>0.50000000000000011</v>
      </c>
      <c r="AF22" s="55">
        <f t="shared" si="9"/>
        <v>0.4665063509461097</v>
      </c>
      <c r="AG22" s="55">
        <f t="shared" si="9"/>
        <v>0.37500000000000006</v>
      </c>
      <c r="AH22" s="55">
        <f t="shared" si="9"/>
        <v>0.25000000000000017</v>
      </c>
      <c r="AI22" s="55">
        <f t="shared" si="9"/>
        <v>0.12500000000000025</v>
      </c>
      <c r="AJ22" s="55">
        <f t="shared" si="9"/>
        <v>3.3493649053890323E-2</v>
      </c>
      <c r="AK22" s="55">
        <f t="shared" si="9"/>
        <v>3.0019774731299584E-32</v>
      </c>
      <c r="AL22" s="55">
        <f t="shared" si="9"/>
        <v>3.3493649053890212E-2</v>
      </c>
      <c r="AM22" s="55">
        <f t="shared" si="9"/>
        <v>0.12499999999999967</v>
      </c>
      <c r="AN22" s="55">
        <f t="shared" si="9"/>
        <v>0.24999999999999944</v>
      </c>
      <c r="AO22" s="55">
        <f t="shared" si="9"/>
        <v>0.37500000000000022</v>
      </c>
      <c r="AP22" s="55">
        <f t="shared" si="9"/>
        <v>0.46650635094610982</v>
      </c>
      <c r="AQ22" s="55">
        <f t="shared" si="9"/>
        <v>0.50000000000000011</v>
      </c>
      <c r="AR22" s="55">
        <f t="shared" si="9"/>
        <v>0.46650635094610993</v>
      </c>
      <c r="AS22" s="55">
        <f t="shared" si="9"/>
        <v>0.37500000000000056</v>
      </c>
      <c r="AT22" s="55">
        <f t="shared" si="9"/>
        <v>0.24999999999999975</v>
      </c>
      <c r="AU22" s="55">
        <f t="shared" si="9"/>
        <v>0.12499999999999992</v>
      </c>
      <c r="AV22" s="55">
        <f t="shared" si="9"/>
        <v>3.3493649053890351E-2</v>
      </c>
      <c r="AW22" s="55">
        <f t="shared" si="9"/>
        <v>6.7544493145424073E-32</v>
      </c>
      <c r="AX22" s="55">
        <f t="shared" si="9"/>
        <v>3.3493649053890628E-2</v>
      </c>
      <c r="AY22" s="55">
        <f t="shared" si="9"/>
        <v>0.12500000000000036</v>
      </c>
    </row>
    <row r="23" spans="2:51" ht="16.5" x14ac:dyDescent="0.35">
      <c r="J23" s="96" t="s">
        <v>486</v>
      </c>
      <c r="K23" s="97">
        <f>IF($L$21=$AI$7,K16*K17,"")</f>
        <v>-0.16492587387321722</v>
      </c>
      <c r="L23" s="98" t="s">
        <v>71</v>
      </c>
      <c r="M23" s="55">
        <f>IF($L$23=$AI$7,M14*M17,0)</f>
        <v>0</v>
      </c>
      <c r="N23" s="55">
        <f t="shared" ref="N23:AY23" si="10">IF($L$23=$AI$7,N14*N17,0)</f>
        <v>-0.21650635094610962</v>
      </c>
      <c r="O23" s="55">
        <f t="shared" si="10"/>
        <v>-0.37499999999999994</v>
      </c>
      <c r="P23" s="55">
        <f t="shared" si="10"/>
        <v>-0.4330127018922193</v>
      </c>
      <c r="Q23" s="55">
        <f t="shared" si="10"/>
        <v>-0.37500000000000022</v>
      </c>
      <c r="R23" s="55">
        <f t="shared" si="10"/>
        <v>-0.21650635094610948</v>
      </c>
      <c r="S23" s="55">
        <f t="shared" si="10"/>
        <v>-1.0610096853581188E-16</v>
      </c>
      <c r="T23" s="55">
        <f t="shared" si="10"/>
        <v>0.21650635094610968</v>
      </c>
      <c r="U23" s="55">
        <f t="shared" si="10"/>
        <v>0.37499999999999983</v>
      </c>
      <c r="V23" s="55">
        <f t="shared" si="10"/>
        <v>0.4330127018922193</v>
      </c>
      <c r="W23" s="55">
        <f t="shared" si="10"/>
        <v>0.375</v>
      </c>
      <c r="X23" s="55">
        <f t="shared" si="10"/>
        <v>0.21650635094610984</v>
      </c>
      <c r="Y23" s="55">
        <f t="shared" si="10"/>
        <v>1.0610096853581188E-16</v>
      </c>
      <c r="Z23" s="55">
        <f t="shared" si="10"/>
        <v>-0.21650635094610932</v>
      </c>
      <c r="AA23" s="55">
        <f t="shared" si="10"/>
        <v>-0.375</v>
      </c>
      <c r="AB23" s="55">
        <f t="shared" si="10"/>
        <v>-0.4330127018922193</v>
      </c>
      <c r="AC23" s="55">
        <f t="shared" si="10"/>
        <v>-0.37500000000000022</v>
      </c>
      <c r="AD23" s="55">
        <f t="shared" si="10"/>
        <v>-0.21650635094610959</v>
      </c>
      <c r="AE23" s="55">
        <f t="shared" si="10"/>
        <v>-2.1220193707162375E-16</v>
      </c>
      <c r="AF23" s="55">
        <f t="shared" si="10"/>
        <v>0.2165063509461099</v>
      </c>
      <c r="AG23" s="55">
        <f t="shared" si="10"/>
        <v>0.37499999999999994</v>
      </c>
      <c r="AH23" s="55">
        <f t="shared" si="10"/>
        <v>0.4330127018922193</v>
      </c>
      <c r="AI23" s="55">
        <f t="shared" si="10"/>
        <v>0.37500000000000017</v>
      </c>
      <c r="AJ23" s="55">
        <f t="shared" si="10"/>
        <v>0.21650635094610957</v>
      </c>
      <c r="AK23" s="55">
        <f t="shared" si="10"/>
        <v>2.1220193707162375E-16</v>
      </c>
      <c r="AL23" s="55">
        <f t="shared" si="10"/>
        <v>-0.21650635094610923</v>
      </c>
      <c r="AM23" s="55">
        <f t="shared" si="10"/>
        <v>-0.37499999999999967</v>
      </c>
      <c r="AN23" s="55">
        <f t="shared" si="10"/>
        <v>-0.4330127018922193</v>
      </c>
      <c r="AO23" s="55">
        <f t="shared" si="10"/>
        <v>-0.37499999999999989</v>
      </c>
      <c r="AP23" s="55">
        <f t="shared" si="10"/>
        <v>-0.21650635094610968</v>
      </c>
      <c r="AQ23" s="55">
        <f t="shared" si="10"/>
        <v>-3.183029056074356E-16</v>
      </c>
      <c r="AR23" s="55">
        <f t="shared" si="10"/>
        <v>0.21650635094610915</v>
      </c>
      <c r="AS23" s="55">
        <f t="shared" si="10"/>
        <v>0.37499999999999956</v>
      </c>
      <c r="AT23" s="55">
        <f t="shared" si="10"/>
        <v>0.4330127018922193</v>
      </c>
      <c r="AU23" s="55">
        <f t="shared" si="10"/>
        <v>0.37499999999999983</v>
      </c>
      <c r="AV23" s="55">
        <f t="shared" si="10"/>
        <v>0.21650635094610968</v>
      </c>
      <c r="AW23" s="55">
        <f t="shared" si="10"/>
        <v>3.183029056074356E-16</v>
      </c>
      <c r="AX23" s="55">
        <f t="shared" si="10"/>
        <v>-0.21650635094611048</v>
      </c>
      <c r="AY23" s="55">
        <f t="shared" si="10"/>
        <v>-0.37500000000000033</v>
      </c>
    </row>
    <row r="59" spans="3:10" ht="16.5" x14ac:dyDescent="0.45">
      <c r="C59" t="s">
        <v>462</v>
      </c>
      <c r="E59" t="s">
        <v>465</v>
      </c>
      <c r="G59" t="s">
        <v>472</v>
      </c>
    </row>
    <row r="60" spans="3:10" ht="16.5" x14ac:dyDescent="0.45">
      <c r="C60" t="s">
        <v>463</v>
      </c>
      <c r="E60" t="s">
        <v>466</v>
      </c>
      <c r="G60" t="s">
        <v>473</v>
      </c>
    </row>
    <row r="61" spans="3:10" x14ac:dyDescent="0.35">
      <c r="C61" s="259" t="s">
        <v>464</v>
      </c>
      <c r="E61" t="s">
        <v>467</v>
      </c>
    </row>
    <row r="63" spans="3:10" x14ac:dyDescent="0.35">
      <c r="C63" t="s">
        <v>469</v>
      </c>
      <c r="E63" t="s">
        <v>468</v>
      </c>
      <c r="J63" t="s">
        <v>471</v>
      </c>
    </row>
    <row r="64" spans="3:10" ht="18.5" x14ac:dyDescent="0.45">
      <c r="C64" t="s">
        <v>470</v>
      </c>
      <c r="E64" t="s">
        <v>477</v>
      </c>
    </row>
    <row r="66" spans="3:5" ht="24" x14ac:dyDescent="0.65">
      <c r="E66" s="260" t="s">
        <v>475</v>
      </c>
    </row>
    <row r="68" spans="3:5" x14ac:dyDescent="0.35">
      <c r="C68" t="s">
        <v>474</v>
      </c>
    </row>
    <row r="74" spans="3:5" x14ac:dyDescent="0.35">
      <c r="C74" t="s">
        <v>476</v>
      </c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8 AP7 L21:L23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91CB-F0FB-46C8-A99F-379ED0B1A00D}">
  <dimension ref="B1:BB50"/>
  <sheetViews>
    <sheetView showGridLines="0" zoomScaleNormal="100" workbookViewId="0">
      <selection activeCell="I30" sqref="I30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9" ht="15" customHeight="1" x14ac:dyDescent="0.35"/>
    <row r="2" spans="2:29" ht="23.5" x14ac:dyDescent="0.55000000000000004">
      <c r="C2" s="22" t="s">
        <v>459</v>
      </c>
      <c r="M2" s="232"/>
      <c r="Y2" s="1"/>
      <c r="AB2" s="1"/>
    </row>
    <row r="3" spans="2:29" ht="12" customHeight="1" x14ac:dyDescent="0.55000000000000004">
      <c r="B3" s="22"/>
      <c r="M3" s="232"/>
      <c r="V3" s="271" t="s">
        <v>492</v>
      </c>
      <c r="W3" s="272">
        <f>SQRT(3)/2</f>
        <v>0.8660254037844386</v>
      </c>
      <c r="Y3" s="1"/>
      <c r="Z3" s="273"/>
      <c r="AB3" s="271" t="s">
        <v>496</v>
      </c>
      <c r="AC3" s="272">
        <f>1/SQRT(2)</f>
        <v>0.70710678118654746</v>
      </c>
    </row>
    <row r="4" spans="2:29" ht="14.5" customHeight="1" x14ac:dyDescent="0.55000000000000004">
      <c r="B4" s="22"/>
      <c r="M4" s="232"/>
      <c r="V4" s="271" t="s">
        <v>491</v>
      </c>
      <c r="W4" s="272">
        <f>COS(RADIANS(30))</f>
        <v>0.86602540378443871</v>
      </c>
      <c r="Y4" s="271" t="s">
        <v>494</v>
      </c>
      <c r="Z4" s="272">
        <f>COS(RADIANS(60))</f>
        <v>0.50000000000000011</v>
      </c>
      <c r="AB4" s="271" t="s">
        <v>495</v>
      </c>
      <c r="AC4" s="272">
        <f>COS(RADIANS(45))</f>
        <v>0.70710678118654757</v>
      </c>
    </row>
    <row r="5" spans="2:29" ht="14.5" customHeight="1" x14ac:dyDescent="0.35">
      <c r="V5" s="271" t="s">
        <v>493</v>
      </c>
      <c r="W5" s="272">
        <f>SIN(RADIANS(60))</f>
        <v>0.8660254037844386</v>
      </c>
      <c r="Y5" s="271" t="s">
        <v>491</v>
      </c>
      <c r="Z5" s="272">
        <f>SIN(RADIANS(30))</f>
        <v>0.49999999999999994</v>
      </c>
      <c r="AB5" s="271" t="s">
        <v>495</v>
      </c>
      <c r="AC5" s="272">
        <f>SIN(RADIANS(45))</f>
        <v>0.70710678118654746</v>
      </c>
    </row>
    <row r="6" spans="2:29" ht="14.5" customHeight="1" x14ac:dyDescent="0.35"/>
    <row r="7" spans="2:29" ht="4.5" customHeight="1" x14ac:dyDescent="0.35"/>
    <row r="8" spans="2:29" ht="4.5" customHeight="1" x14ac:dyDescent="0.35"/>
    <row r="9" spans="2:29" ht="16.5" x14ac:dyDescent="0.45">
      <c r="B9" s="305" t="s">
        <v>431</v>
      </c>
      <c r="C9" s="307"/>
      <c r="D9" s="307"/>
      <c r="E9" s="307"/>
      <c r="F9" s="307"/>
      <c r="G9" s="307"/>
      <c r="H9" s="307"/>
      <c r="I9" s="307"/>
      <c r="L9" s="305" t="s">
        <v>432</v>
      </c>
      <c r="M9" s="306"/>
      <c r="N9" s="306"/>
      <c r="O9" s="306"/>
      <c r="Q9" s="305" t="s">
        <v>239</v>
      </c>
      <c r="R9" s="306"/>
      <c r="S9" s="306"/>
      <c r="T9" s="306"/>
      <c r="U9" s="306"/>
      <c r="W9" s="5" t="s">
        <v>498</v>
      </c>
      <c r="X9" s="5"/>
      <c r="Z9" s="5" t="s">
        <v>497</v>
      </c>
      <c r="AA9" s="5"/>
    </row>
    <row r="10" spans="2:29" x14ac:dyDescent="0.35">
      <c r="B10" s="229" t="s">
        <v>205</v>
      </c>
      <c r="C10" s="228" t="s">
        <v>215</v>
      </c>
      <c r="D10" s="228" t="s">
        <v>98</v>
      </c>
      <c r="E10" s="228" t="s">
        <v>428</v>
      </c>
      <c r="F10" s="228" t="s">
        <v>98</v>
      </c>
      <c r="G10" s="228" t="s">
        <v>428</v>
      </c>
      <c r="H10" s="228" t="s">
        <v>429</v>
      </c>
      <c r="I10" s="228" t="s">
        <v>430</v>
      </c>
      <c r="L10" s="234" t="s">
        <v>436</v>
      </c>
      <c r="M10" s="234" t="s">
        <v>437</v>
      </c>
      <c r="N10" s="234" t="s">
        <v>438</v>
      </c>
      <c r="O10" s="234" t="s">
        <v>439</v>
      </c>
      <c r="P10" s="232"/>
      <c r="Q10" s="238" t="s">
        <v>433</v>
      </c>
      <c r="R10" s="234"/>
      <c r="S10" s="234"/>
      <c r="T10" s="234"/>
      <c r="U10" s="234"/>
      <c r="W10" s="5">
        <v>0</v>
      </c>
      <c r="X10" s="92">
        <f>C12*COS(F12)</f>
        <v>-162.63455967290585</v>
      </c>
      <c r="Z10" s="92">
        <f>X10</f>
        <v>-162.63455967290585</v>
      </c>
      <c r="AA10" s="92">
        <f>X10</f>
        <v>-162.63455967290585</v>
      </c>
    </row>
    <row r="11" spans="2:29" x14ac:dyDescent="0.35">
      <c r="B11" s="300" t="s">
        <v>456</v>
      </c>
      <c r="C11" s="226">
        <f>230 * SQRT(2)</f>
        <v>325.26911934581187</v>
      </c>
      <c r="D11" s="90">
        <v>0</v>
      </c>
      <c r="E11" s="89" t="s">
        <v>210</v>
      </c>
      <c r="F11" s="227">
        <f>D11*PI()/180</f>
        <v>0</v>
      </c>
      <c r="G11" s="89" t="s">
        <v>211</v>
      </c>
      <c r="H11" s="227">
        <f>C11*COS(F11)</f>
        <v>325.26911934581187</v>
      </c>
      <c r="I11" s="227">
        <f>C11*SIN(F11)</f>
        <v>0</v>
      </c>
      <c r="L11" s="235">
        <v>0</v>
      </c>
      <c r="M11" s="235">
        <f>H11</f>
        <v>325.26911934581187</v>
      </c>
      <c r="N11" s="235">
        <v>0</v>
      </c>
      <c r="O11" s="235">
        <f>I11</f>
        <v>0</v>
      </c>
      <c r="P11" s="236"/>
      <c r="Q11" s="237">
        <f>MAX(ABS(O11),ABS(M12),ABS(O12),ABS(M11),ABS(M14),ABS(O14))</f>
        <v>325.26911934581187</v>
      </c>
      <c r="R11" s="235">
        <f>Q12</f>
        <v>357.79603128039309</v>
      </c>
      <c r="S11" s="235">
        <v>0</v>
      </c>
      <c r="T11" s="235">
        <f>-R11</f>
        <v>-357.79603128039309</v>
      </c>
      <c r="U11" s="235">
        <v>0</v>
      </c>
      <c r="W11" s="5">
        <v>0</v>
      </c>
      <c r="X11" s="5">
        <v>0</v>
      </c>
      <c r="Z11" s="5">
        <v>0</v>
      </c>
      <c r="AA11" s="92">
        <f>C12*SIN(F12)</f>
        <v>281.69132042006549</v>
      </c>
    </row>
    <row r="12" spans="2:29" x14ac:dyDescent="0.35">
      <c r="B12" s="301" t="s">
        <v>457</v>
      </c>
      <c r="C12" s="226">
        <f t="shared" ref="C12:C13" si="0">230 * SQRT(2)</f>
        <v>325.26911934581187</v>
      </c>
      <c r="D12" s="90">
        <v>120</v>
      </c>
      <c r="E12" s="89" t="str">
        <f t="shared" ref="E12:E13" si="1">E11</f>
        <v>°</v>
      </c>
      <c r="F12" s="227">
        <f>D12*PI()/180</f>
        <v>2.0943951023931953</v>
      </c>
      <c r="G12" s="89" t="s">
        <v>211</v>
      </c>
      <c r="H12" s="227">
        <f>C12*COS(F12)</f>
        <v>-162.63455967290585</v>
      </c>
      <c r="I12" s="227">
        <f>C12*SIN(F12)</f>
        <v>281.69132042006549</v>
      </c>
      <c r="L12" s="235">
        <v>0</v>
      </c>
      <c r="M12" s="235">
        <f>H12</f>
        <v>-162.63455967290585</v>
      </c>
      <c r="N12" s="235">
        <v>0</v>
      </c>
      <c r="O12" s="235">
        <f>I12</f>
        <v>281.69132042006549</v>
      </c>
      <c r="P12" s="236"/>
      <c r="Q12" s="237">
        <f>Q11*1.1</f>
        <v>357.79603128039309</v>
      </c>
      <c r="R12" s="235">
        <v>0</v>
      </c>
      <c r="S12" s="235">
        <f>R11</f>
        <v>357.79603128039309</v>
      </c>
      <c r="T12" s="235">
        <v>0</v>
      </c>
      <c r="U12" s="235">
        <f>T11</f>
        <v>-357.79603128039309</v>
      </c>
    </row>
    <row r="13" spans="2:29" x14ac:dyDescent="0.35">
      <c r="B13" s="302" t="s">
        <v>577</v>
      </c>
      <c r="C13" s="226">
        <f t="shared" si="0"/>
        <v>325.26911934581187</v>
      </c>
      <c r="D13" s="90">
        <v>240</v>
      </c>
      <c r="E13" s="89" t="str">
        <f t="shared" si="1"/>
        <v>°</v>
      </c>
      <c r="F13" s="227">
        <f>D13*PI()/180</f>
        <v>4.1887902047863905</v>
      </c>
      <c r="G13" s="89" t="s">
        <v>211</v>
      </c>
      <c r="H13" s="227">
        <f>C13*COS(F13)</f>
        <v>-162.63455967290608</v>
      </c>
      <c r="I13" s="227">
        <f>C13*SIN(F13)</f>
        <v>-281.69132042006538</v>
      </c>
      <c r="L13" s="235">
        <v>0</v>
      </c>
      <c r="M13" s="235">
        <f>H13</f>
        <v>-162.63455967290608</v>
      </c>
      <c r="N13" s="235">
        <v>0</v>
      </c>
      <c r="O13" s="235">
        <f>I13</f>
        <v>-281.69132042006538</v>
      </c>
      <c r="P13" s="236"/>
      <c r="Q13" s="237">
        <f>Q12*1.1</f>
        <v>393.57563440843245</v>
      </c>
      <c r="R13" s="235">
        <v>0</v>
      </c>
      <c r="S13" s="235">
        <f>R12</f>
        <v>0</v>
      </c>
      <c r="T13" s="235">
        <v>0</v>
      </c>
      <c r="U13" s="235">
        <f>T12</f>
        <v>0</v>
      </c>
    </row>
    <row r="14" spans="2:29" ht="16.5" x14ac:dyDescent="0.45">
      <c r="B14" s="239" t="s">
        <v>458</v>
      </c>
      <c r="C14" s="227">
        <f>SQRT(H14^2+I14^2)</f>
        <v>563.38264084013099</v>
      </c>
      <c r="D14" s="227">
        <f>F14*180/PI()</f>
        <v>149.99999999999997</v>
      </c>
      <c r="E14" s="89" t="str">
        <f>E12</f>
        <v>°</v>
      </c>
      <c r="F14" s="227">
        <f>ATAN2(H14,I14)</f>
        <v>2.617993877991494</v>
      </c>
      <c r="G14" s="89" t="str">
        <f>G12</f>
        <v>rad</v>
      </c>
      <c r="H14" s="227">
        <f>H12-H11</f>
        <v>-487.90367901871775</v>
      </c>
      <c r="I14" s="227">
        <f>I12-I11</f>
        <v>281.69132042006549</v>
      </c>
      <c r="L14" s="235">
        <f>M11</f>
        <v>325.26911934581187</v>
      </c>
      <c r="M14" s="235">
        <f>M12</f>
        <v>-162.63455967290585</v>
      </c>
      <c r="N14" s="235">
        <f>O11</f>
        <v>0</v>
      </c>
      <c r="O14" s="235">
        <f>O12</f>
        <v>281.69132042006549</v>
      </c>
      <c r="W14" s="1" t="s">
        <v>499</v>
      </c>
      <c r="X14" s="274">
        <f>C11-X10</f>
        <v>487.90367901871775</v>
      </c>
    </row>
    <row r="15" spans="2:29" ht="16.5" x14ac:dyDescent="0.45">
      <c r="W15" s="1" t="s">
        <v>500</v>
      </c>
      <c r="X15" s="274">
        <f>AA11</f>
        <v>281.69132042006549</v>
      </c>
    </row>
    <row r="16" spans="2:29" ht="16.5" x14ac:dyDescent="0.45">
      <c r="W16" s="239" t="s">
        <v>501</v>
      </c>
      <c r="X16" s="274">
        <f>SQRT(X14^2+X15^2)</f>
        <v>563.38264084013099</v>
      </c>
      <c r="Y16">
        <f>C11*SQRT(3)</f>
        <v>563.38264084013099</v>
      </c>
    </row>
    <row r="17" spans="12:54" x14ac:dyDescent="0.35">
      <c r="W17" s="1"/>
      <c r="X17" s="273"/>
    </row>
    <row r="18" spans="12:54" x14ac:dyDescent="0.35">
      <c r="W18" s="1"/>
      <c r="X18" s="273"/>
    </row>
    <row r="20" spans="12:54" x14ac:dyDescent="0.35">
      <c r="L20" s="233" t="s">
        <v>216</v>
      </c>
      <c r="M20" s="233">
        <v>0</v>
      </c>
      <c r="N20" s="233">
        <f>M20+10</f>
        <v>10</v>
      </c>
      <c r="O20" s="233">
        <f t="shared" ref="O20:AW20" si="2">N20+10</f>
        <v>20</v>
      </c>
      <c r="P20" s="233">
        <f t="shared" si="2"/>
        <v>30</v>
      </c>
      <c r="Q20" s="233">
        <f t="shared" si="2"/>
        <v>40</v>
      </c>
      <c r="R20" s="233">
        <f t="shared" si="2"/>
        <v>50</v>
      </c>
      <c r="S20" s="233">
        <f t="shared" si="2"/>
        <v>60</v>
      </c>
      <c r="T20" s="233">
        <f t="shared" si="2"/>
        <v>70</v>
      </c>
      <c r="U20" s="233">
        <f t="shared" si="2"/>
        <v>80</v>
      </c>
      <c r="V20" s="233">
        <f t="shared" si="2"/>
        <v>90</v>
      </c>
      <c r="W20" s="233">
        <f t="shared" si="2"/>
        <v>100</v>
      </c>
      <c r="X20" s="233">
        <f t="shared" si="2"/>
        <v>110</v>
      </c>
      <c r="Y20" s="233">
        <f t="shared" si="2"/>
        <v>120</v>
      </c>
      <c r="Z20" s="233">
        <f t="shared" si="2"/>
        <v>130</v>
      </c>
      <c r="AA20" s="233">
        <f t="shared" si="2"/>
        <v>140</v>
      </c>
      <c r="AB20" s="233">
        <f t="shared" si="2"/>
        <v>150</v>
      </c>
      <c r="AC20" s="233">
        <f t="shared" si="2"/>
        <v>160</v>
      </c>
      <c r="AD20" s="233">
        <f t="shared" si="2"/>
        <v>170</v>
      </c>
      <c r="AE20" s="233">
        <f t="shared" si="2"/>
        <v>180</v>
      </c>
      <c r="AF20" s="233">
        <f t="shared" si="2"/>
        <v>190</v>
      </c>
      <c r="AG20" s="233">
        <f t="shared" si="2"/>
        <v>200</v>
      </c>
      <c r="AH20" s="233">
        <f t="shared" si="2"/>
        <v>210</v>
      </c>
      <c r="AI20" s="233">
        <f t="shared" si="2"/>
        <v>220</v>
      </c>
      <c r="AJ20" s="233">
        <f t="shared" si="2"/>
        <v>230</v>
      </c>
      <c r="AK20" s="233">
        <f t="shared" si="2"/>
        <v>240</v>
      </c>
      <c r="AL20" s="233">
        <f t="shared" si="2"/>
        <v>250</v>
      </c>
      <c r="AM20" s="233">
        <f t="shared" si="2"/>
        <v>260</v>
      </c>
      <c r="AN20" s="233">
        <f t="shared" si="2"/>
        <v>270</v>
      </c>
      <c r="AO20" s="233">
        <f t="shared" si="2"/>
        <v>280</v>
      </c>
      <c r="AP20" s="233">
        <f t="shared" si="2"/>
        <v>290</v>
      </c>
      <c r="AQ20" s="233">
        <f t="shared" si="2"/>
        <v>300</v>
      </c>
      <c r="AR20" s="233">
        <f t="shared" si="2"/>
        <v>310</v>
      </c>
      <c r="AS20" s="233">
        <f t="shared" si="2"/>
        <v>320</v>
      </c>
      <c r="AT20" s="233">
        <f t="shared" si="2"/>
        <v>330</v>
      </c>
      <c r="AU20" s="233">
        <f t="shared" si="2"/>
        <v>340</v>
      </c>
      <c r="AV20" s="233">
        <f t="shared" si="2"/>
        <v>350</v>
      </c>
      <c r="AW20" s="233">
        <f t="shared" si="2"/>
        <v>360</v>
      </c>
      <c r="AX20" s="233"/>
      <c r="AY20" s="233"/>
      <c r="AZ20" s="233"/>
      <c r="BA20" s="233"/>
      <c r="BB20" s="233"/>
    </row>
    <row r="21" spans="12:54" x14ac:dyDescent="0.35">
      <c r="L21" s="233" t="s">
        <v>217</v>
      </c>
      <c r="M21" s="233">
        <f>M20*PI()/180</f>
        <v>0</v>
      </c>
      <c r="N21" s="233">
        <f t="shared" ref="N21:AW21" si="3">N20*PI()/180</f>
        <v>0.17453292519943295</v>
      </c>
      <c r="O21" s="233">
        <f t="shared" si="3"/>
        <v>0.3490658503988659</v>
      </c>
      <c r="P21" s="233">
        <f t="shared" si="3"/>
        <v>0.52359877559829882</v>
      </c>
      <c r="Q21" s="233">
        <f t="shared" si="3"/>
        <v>0.69813170079773179</v>
      </c>
      <c r="R21" s="233">
        <f t="shared" si="3"/>
        <v>0.87266462599716477</v>
      </c>
      <c r="S21" s="233">
        <f t="shared" si="3"/>
        <v>1.0471975511965976</v>
      </c>
      <c r="T21" s="233">
        <f t="shared" si="3"/>
        <v>1.2217304763960306</v>
      </c>
      <c r="U21" s="233">
        <f t="shared" si="3"/>
        <v>1.3962634015954636</v>
      </c>
      <c r="V21" s="233">
        <f t="shared" si="3"/>
        <v>1.5707963267948966</v>
      </c>
      <c r="W21" s="233">
        <f t="shared" si="3"/>
        <v>1.7453292519943295</v>
      </c>
      <c r="X21" s="233">
        <f t="shared" si="3"/>
        <v>1.9198621771937625</v>
      </c>
      <c r="Y21" s="233">
        <f t="shared" si="3"/>
        <v>2.0943951023931953</v>
      </c>
      <c r="Z21" s="233">
        <f t="shared" si="3"/>
        <v>2.2689280275926285</v>
      </c>
      <c r="AA21" s="233">
        <f t="shared" si="3"/>
        <v>2.4434609527920612</v>
      </c>
      <c r="AB21" s="233">
        <f t="shared" si="3"/>
        <v>2.6179938779914944</v>
      </c>
      <c r="AC21" s="233">
        <f t="shared" si="3"/>
        <v>2.7925268031909272</v>
      </c>
      <c r="AD21" s="233">
        <f t="shared" si="3"/>
        <v>2.9670597283903604</v>
      </c>
      <c r="AE21" s="233">
        <f t="shared" si="3"/>
        <v>3.1415926535897931</v>
      </c>
      <c r="AF21" s="233">
        <f t="shared" si="3"/>
        <v>3.3161255787892263</v>
      </c>
      <c r="AG21" s="233">
        <f t="shared" si="3"/>
        <v>3.4906585039886591</v>
      </c>
      <c r="AH21" s="233">
        <f t="shared" si="3"/>
        <v>3.6651914291880923</v>
      </c>
      <c r="AI21" s="233">
        <f t="shared" si="3"/>
        <v>3.839724354387525</v>
      </c>
      <c r="AJ21" s="233">
        <f t="shared" si="3"/>
        <v>4.0142572795869578</v>
      </c>
      <c r="AK21" s="233">
        <f t="shared" si="3"/>
        <v>4.1887902047863905</v>
      </c>
      <c r="AL21" s="233">
        <f t="shared" si="3"/>
        <v>4.3633231299858233</v>
      </c>
      <c r="AM21" s="233">
        <f t="shared" si="3"/>
        <v>4.5378560551852569</v>
      </c>
      <c r="AN21" s="233">
        <f t="shared" si="3"/>
        <v>4.7123889803846897</v>
      </c>
      <c r="AO21" s="233">
        <f t="shared" si="3"/>
        <v>4.8869219055841224</v>
      </c>
      <c r="AP21" s="233">
        <f t="shared" si="3"/>
        <v>5.0614548307835552</v>
      </c>
      <c r="AQ21" s="233">
        <f t="shared" si="3"/>
        <v>5.2359877559829888</v>
      </c>
      <c r="AR21" s="233">
        <f t="shared" si="3"/>
        <v>5.4105206811824216</v>
      </c>
      <c r="AS21" s="233">
        <f t="shared" si="3"/>
        <v>5.5850536063818543</v>
      </c>
      <c r="AT21" s="233">
        <f t="shared" si="3"/>
        <v>5.7595865315812871</v>
      </c>
      <c r="AU21" s="233">
        <f t="shared" si="3"/>
        <v>5.9341194567807207</v>
      </c>
      <c r="AV21" s="233">
        <f t="shared" si="3"/>
        <v>6.1086523819801526</v>
      </c>
      <c r="AW21" s="233">
        <f t="shared" si="3"/>
        <v>6.2831853071795862</v>
      </c>
    </row>
    <row r="22" spans="12:54" x14ac:dyDescent="0.35">
      <c r="L22" s="300" t="s">
        <v>460</v>
      </c>
      <c r="M22" s="233">
        <f>$C$11*SIN(M21+$F$11)</f>
        <v>0</v>
      </c>
      <c r="N22" s="233">
        <f t="shared" ref="N22:AW22" si="4">$C$11*SIN(N21+$F$11)</f>
        <v>56.482389825727509</v>
      </c>
      <c r="O22" s="233">
        <f t="shared" si="4"/>
        <v>111.24859081806862</v>
      </c>
      <c r="P22" s="233">
        <f t="shared" si="4"/>
        <v>162.63455967290591</v>
      </c>
      <c r="Q22" s="233">
        <f t="shared" si="4"/>
        <v>209.07895972914008</v>
      </c>
      <c r="R22" s="233">
        <f t="shared" si="4"/>
        <v>249.17060139306287</v>
      </c>
      <c r="S22" s="233">
        <f t="shared" si="4"/>
        <v>281.69132042006549</v>
      </c>
      <c r="T22" s="233">
        <f t="shared" si="4"/>
        <v>305.65299121879036</v>
      </c>
      <c r="U22" s="233">
        <f t="shared" si="4"/>
        <v>320.32755054720872</v>
      </c>
      <c r="V22" s="233">
        <f t="shared" si="4"/>
        <v>325.26911934581187</v>
      </c>
      <c r="W22" s="233">
        <f t="shared" si="4"/>
        <v>320.32755054720872</v>
      </c>
      <c r="X22" s="233">
        <f t="shared" si="4"/>
        <v>305.65299121879036</v>
      </c>
      <c r="Y22" s="233">
        <f t="shared" si="4"/>
        <v>281.69132042006549</v>
      </c>
      <c r="Z22" s="233">
        <f t="shared" si="4"/>
        <v>249.17060139306287</v>
      </c>
      <c r="AA22" s="233">
        <f t="shared" si="4"/>
        <v>209.07895972914014</v>
      </c>
      <c r="AB22" s="233">
        <f t="shared" si="4"/>
        <v>162.63455967290591</v>
      </c>
      <c r="AC22" s="233">
        <f t="shared" si="4"/>
        <v>111.24859081806868</v>
      </c>
      <c r="AD22" s="233">
        <f t="shared" si="4"/>
        <v>56.482389825727488</v>
      </c>
      <c r="AE22" s="233">
        <f t="shared" si="4"/>
        <v>3.9850295899600895E-14</v>
      </c>
      <c r="AF22" s="233">
        <f t="shared" si="4"/>
        <v>-56.482389825727552</v>
      </c>
      <c r="AG22" s="233">
        <f t="shared" si="4"/>
        <v>-111.24859081806861</v>
      </c>
      <c r="AH22" s="233">
        <f t="shared" si="4"/>
        <v>-162.63455967290597</v>
      </c>
      <c r="AI22" s="233">
        <f t="shared" si="4"/>
        <v>-209.07895972914008</v>
      </c>
      <c r="AJ22" s="233">
        <f t="shared" si="4"/>
        <v>-249.17060139306281</v>
      </c>
      <c r="AK22" s="233">
        <f t="shared" si="4"/>
        <v>-281.69132042006538</v>
      </c>
      <c r="AL22" s="233">
        <f t="shared" si="4"/>
        <v>-305.65299121879031</v>
      </c>
      <c r="AM22" s="233">
        <f t="shared" si="4"/>
        <v>-320.32755054720872</v>
      </c>
      <c r="AN22" s="233">
        <f t="shared" si="4"/>
        <v>-325.26911934581187</v>
      </c>
      <c r="AO22" s="233">
        <f t="shared" si="4"/>
        <v>-320.32755054720877</v>
      </c>
      <c r="AP22" s="233">
        <f t="shared" si="4"/>
        <v>-305.65299121879042</v>
      </c>
      <c r="AQ22" s="233">
        <f t="shared" si="4"/>
        <v>-281.69132042006549</v>
      </c>
      <c r="AR22" s="233">
        <f t="shared" si="4"/>
        <v>-249.1706013930629</v>
      </c>
      <c r="AS22" s="233">
        <f t="shared" si="4"/>
        <v>-209.07895972914019</v>
      </c>
      <c r="AT22" s="233">
        <f t="shared" si="4"/>
        <v>-162.63455967290608</v>
      </c>
      <c r="AU22" s="233">
        <f t="shared" si="4"/>
        <v>-111.24859081806858</v>
      </c>
      <c r="AV22" s="233">
        <f t="shared" si="4"/>
        <v>-56.482389825727815</v>
      </c>
      <c r="AW22" s="233">
        <f t="shared" si="4"/>
        <v>-7.9700591799201791E-14</v>
      </c>
    </row>
    <row r="23" spans="12:54" ht="16" customHeight="1" x14ac:dyDescent="0.35">
      <c r="L23" s="301" t="s">
        <v>578</v>
      </c>
      <c r="M23" s="233">
        <f>$C$12*SIN(M21+$F$12)</f>
        <v>281.69132042006549</v>
      </c>
      <c r="N23" s="233">
        <f t="shared" ref="N23:AW23" si="5">$C$12*SIN(N21+$F$12)</f>
        <v>249.17060139306295</v>
      </c>
      <c r="O23" s="233">
        <f t="shared" si="5"/>
        <v>209.07895972914014</v>
      </c>
      <c r="P23" s="233">
        <f t="shared" si="5"/>
        <v>162.63455967290605</v>
      </c>
      <c r="Q23" s="233">
        <f t="shared" si="5"/>
        <v>111.24859081806868</v>
      </c>
      <c r="R23" s="233">
        <f t="shared" si="5"/>
        <v>56.482389825727623</v>
      </c>
      <c r="S23" s="233">
        <f t="shared" si="5"/>
        <v>3.9850295899600895E-14</v>
      </c>
      <c r="T23" s="233">
        <f t="shared" si="5"/>
        <v>-56.48238982572741</v>
      </c>
      <c r="U23" s="233">
        <f t="shared" si="5"/>
        <v>-111.24859081806845</v>
      </c>
      <c r="V23" s="233">
        <f t="shared" si="5"/>
        <v>-162.63455967290585</v>
      </c>
      <c r="W23" s="233">
        <f t="shared" si="5"/>
        <v>-209.07895972914008</v>
      </c>
      <c r="X23" s="233">
        <f t="shared" si="5"/>
        <v>-249.17060139306281</v>
      </c>
      <c r="Y23" s="233">
        <f t="shared" si="5"/>
        <v>-281.69132042006538</v>
      </c>
      <c r="Z23" s="233">
        <f t="shared" si="5"/>
        <v>-305.65299121879036</v>
      </c>
      <c r="AA23" s="233">
        <f t="shared" si="5"/>
        <v>-320.32755054720872</v>
      </c>
      <c r="AB23" s="233">
        <f t="shared" si="5"/>
        <v>-325.26911934581187</v>
      </c>
      <c r="AC23" s="233">
        <f t="shared" si="5"/>
        <v>-320.32755054720877</v>
      </c>
      <c r="AD23" s="233">
        <f t="shared" si="5"/>
        <v>-305.65299121879042</v>
      </c>
      <c r="AE23" s="233">
        <f t="shared" si="5"/>
        <v>-281.69132042006561</v>
      </c>
      <c r="AF23" s="233">
        <f t="shared" si="5"/>
        <v>-249.1706013930629</v>
      </c>
      <c r="AG23" s="233">
        <f t="shared" si="5"/>
        <v>-209.07895972914019</v>
      </c>
      <c r="AH23" s="233">
        <f t="shared" si="5"/>
        <v>-162.63455967290582</v>
      </c>
      <c r="AI23" s="233">
        <f t="shared" si="5"/>
        <v>-111.24859081806858</v>
      </c>
      <c r="AJ23" s="233">
        <f t="shared" si="5"/>
        <v>-56.482389825727523</v>
      </c>
      <c r="AK23" s="233">
        <f t="shared" si="5"/>
        <v>-7.9700591799201791E-14</v>
      </c>
      <c r="AL23" s="233">
        <f t="shared" si="5"/>
        <v>56.482389825727374</v>
      </c>
      <c r="AM23" s="233">
        <f t="shared" si="5"/>
        <v>111.24859081806842</v>
      </c>
      <c r="AN23" s="233">
        <f t="shared" si="5"/>
        <v>162.63455967290571</v>
      </c>
      <c r="AO23" s="233">
        <f t="shared" si="5"/>
        <v>209.07895972913983</v>
      </c>
      <c r="AP23" s="233">
        <f t="shared" si="5"/>
        <v>249.17060139306261</v>
      </c>
      <c r="AQ23" s="233">
        <f t="shared" si="5"/>
        <v>281.69132042006555</v>
      </c>
      <c r="AR23" s="233">
        <f t="shared" si="5"/>
        <v>305.65299121879036</v>
      </c>
      <c r="AS23" s="233">
        <f t="shared" si="5"/>
        <v>320.32755054720872</v>
      </c>
      <c r="AT23" s="233">
        <f t="shared" si="5"/>
        <v>325.26911934581187</v>
      </c>
      <c r="AU23" s="233">
        <f t="shared" si="5"/>
        <v>320.32755054720877</v>
      </c>
      <c r="AV23" s="233">
        <f t="shared" si="5"/>
        <v>305.65299121879048</v>
      </c>
      <c r="AW23" s="233">
        <f t="shared" si="5"/>
        <v>281.69132042006567</v>
      </c>
    </row>
    <row r="24" spans="12:54" ht="16" customHeight="1" x14ac:dyDescent="0.35">
      <c r="L24" s="302" t="s">
        <v>577</v>
      </c>
      <c r="M24" s="233">
        <f>$C$13*SIN(M21+$F$13)</f>
        <v>-281.69132042006538</v>
      </c>
      <c r="N24" s="233">
        <f t="shared" ref="N24:AW24" si="6">$C$13*SIN(N21+$F$13)</f>
        <v>-305.65299121879031</v>
      </c>
      <c r="O24" s="233">
        <f t="shared" si="6"/>
        <v>-320.32755054720866</v>
      </c>
      <c r="P24" s="233">
        <f t="shared" si="6"/>
        <v>-325.26911934581187</v>
      </c>
      <c r="Q24" s="233">
        <f t="shared" si="6"/>
        <v>-320.32755054720877</v>
      </c>
      <c r="R24" s="233">
        <f t="shared" si="6"/>
        <v>-305.65299121879042</v>
      </c>
      <c r="S24" s="233">
        <f t="shared" si="6"/>
        <v>-281.69132042006561</v>
      </c>
      <c r="T24" s="233">
        <f t="shared" si="6"/>
        <v>-249.17060139306307</v>
      </c>
      <c r="U24" s="233">
        <f t="shared" si="6"/>
        <v>-209.07895972914019</v>
      </c>
      <c r="V24" s="233">
        <f t="shared" si="6"/>
        <v>-162.63455967290608</v>
      </c>
      <c r="W24" s="233">
        <f t="shared" si="6"/>
        <v>-111.24859081806885</v>
      </c>
      <c r="X24" s="233">
        <f t="shared" si="6"/>
        <v>-56.482389825727523</v>
      </c>
      <c r="Y24" s="233">
        <f t="shared" si="6"/>
        <v>-7.9700591799201791E-14</v>
      </c>
      <c r="Z24" s="233">
        <f t="shared" si="6"/>
        <v>56.482389825727374</v>
      </c>
      <c r="AA24" s="233">
        <f t="shared" si="6"/>
        <v>111.24859081806842</v>
      </c>
      <c r="AB24" s="233">
        <f t="shared" si="6"/>
        <v>162.63455967290571</v>
      </c>
      <c r="AC24" s="233">
        <f t="shared" si="6"/>
        <v>209.07895972913983</v>
      </c>
      <c r="AD24" s="233">
        <f t="shared" si="6"/>
        <v>249.17060139306278</v>
      </c>
      <c r="AE24" s="233">
        <f t="shared" si="6"/>
        <v>281.69132042006538</v>
      </c>
      <c r="AF24" s="233">
        <f t="shared" si="6"/>
        <v>305.65299121879036</v>
      </c>
      <c r="AG24" s="233">
        <f t="shared" si="6"/>
        <v>320.32755054720872</v>
      </c>
      <c r="AH24" s="233">
        <f t="shared" si="6"/>
        <v>325.26911934581187</v>
      </c>
      <c r="AI24" s="233">
        <f t="shared" si="6"/>
        <v>320.32755054720877</v>
      </c>
      <c r="AJ24" s="233">
        <f t="shared" si="6"/>
        <v>305.65299121879048</v>
      </c>
      <c r="AK24" s="233">
        <f t="shared" si="6"/>
        <v>281.69132042006567</v>
      </c>
      <c r="AL24" s="233">
        <f t="shared" si="6"/>
        <v>249.17060139306309</v>
      </c>
      <c r="AM24" s="233">
        <f t="shared" si="6"/>
        <v>209.07895972914</v>
      </c>
      <c r="AN24" s="233">
        <f t="shared" si="6"/>
        <v>162.63455967290585</v>
      </c>
      <c r="AO24" s="233">
        <f t="shared" si="6"/>
        <v>111.24859081806862</v>
      </c>
      <c r="AP24" s="233">
        <f t="shared" si="6"/>
        <v>56.482389825727559</v>
      </c>
      <c r="AQ24" s="233">
        <f t="shared" si="6"/>
        <v>1.1955088769880268E-13</v>
      </c>
      <c r="AR24" s="233">
        <f t="shared" si="6"/>
        <v>-56.482389825727324</v>
      </c>
      <c r="AS24" s="233">
        <f t="shared" si="6"/>
        <v>-111.24859081806838</v>
      </c>
      <c r="AT24" s="233">
        <f t="shared" si="6"/>
        <v>-162.63455967290565</v>
      </c>
      <c r="AU24" s="233">
        <f t="shared" si="6"/>
        <v>-209.0789597291398</v>
      </c>
      <c r="AV24" s="233">
        <f t="shared" si="6"/>
        <v>-249.17060139306255</v>
      </c>
      <c r="AW24" s="233">
        <f t="shared" si="6"/>
        <v>-281.69132042006521</v>
      </c>
    </row>
    <row r="25" spans="12:54" ht="16" hidden="1" customHeight="1" x14ac:dyDescent="0.45">
      <c r="L25" s="239" t="s">
        <v>461</v>
      </c>
      <c r="M25" s="233">
        <f>M22-M24</f>
        <v>281.69132042006538</v>
      </c>
      <c r="N25" s="233">
        <f t="shared" ref="N25:AW25" si="7">N22-N24</f>
        <v>362.13538104451783</v>
      </c>
      <c r="O25" s="233">
        <f t="shared" si="7"/>
        <v>431.57614136527729</v>
      </c>
      <c r="P25" s="233">
        <f t="shared" si="7"/>
        <v>487.90367901871775</v>
      </c>
      <c r="Q25" s="233">
        <f t="shared" si="7"/>
        <v>529.40651027634885</v>
      </c>
      <c r="R25" s="233">
        <f t="shared" si="7"/>
        <v>554.82359261185331</v>
      </c>
      <c r="S25" s="233">
        <f t="shared" si="7"/>
        <v>563.3826408401311</v>
      </c>
      <c r="T25" s="233">
        <f t="shared" si="7"/>
        <v>554.82359261185343</v>
      </c>
      <c r="U25" s="233">
        <f t="shared" si="7"/>
        <v>529.40651027634885</v>
      </c>
      <c r="V25" s="233">
        <f t="shared" si="7"/>
        <v>487.90367901871798</v>
      </c>
      <c r="W25" s="233">
        <f t="shared" si="7"/>
        <v>431.57614136527758</v>
      </c>
      <c r="X25" s="233">
        <f t="shared" si="7"/>
        <v>362.13538104451789</v>
      </c>
      <c r="Y25" s="233">
        <f t="shared" si="7"/>
        <v>281.69132042006555</v>
      </c>
      <c r="Z25" s="233">
        <f t="shared" si="7"/>
        <v>192.68821156733549</v>
      </c>
      <c r="AA25" s="233">
        <f t="shared" si="7"/>
        <v>97.830368911071716</v>
      </c>
      <c r="AB25" s="233">
        <f t="shared" si="7"/>
        <v>0</v>
      </c>
      <c r="AC25" s="233">
        <f t="shared" si="7"/>
        <v>-97.830368911071147</v>
      </c>
      <c r="AD25" s="233">
        <f t="shared" si="7"/>
        <v>-192.68821156733529</v>
      </c>
      <c r="AE25" s="233">
        <f t="shared" si="7"/>
        <v>-281.69132042006532</v>
      </c>
      <c r="AF25" s="233">
        <f t="shared" si="7"/>
        <v>-362.13538104451789</v>
      </c>
      <c r="AG25" s="233">
        <f t="shared" si="7"/>
        <v>-431.57614136527729</v>
      </c>
      <c r="AH25" s="233">
        <f t="shared" si="7"/>
        <v>-487.90367901871787</v>
      </c>
      <c r="AI25" s="233">
        <f t="shared" si="7"/>
        <v>-529.40651027634885</v>
      </c>
      <c r="AJ25" s="233">
        <f t="shared" si="7"/>
        <v>-554.82359261185331</v>
      </c>
      <c r="AK25" s="233">
        <f t="shared" si="7"/>
        <v>-563.38264084013099</v>
      </c>
      <c r="AL25" s="233">
        <f t="shared" si="7"/>
        <v>-554.82359261185343</v>
      </c>
      <c r="AM25" s="233">
        <f t="shared" si="7"/>
        <v>-529.40651027634874</v>
      </c>
      <c r="AN25" s="233">
        <f t="shared" si="7"/>
        <v>-487.90367901871775</v>
      </c>
      <c r="AO25" s="233">
        <f t="shared" si="7"/>
        <v>-431.57614136527741</v>
      </c>
      <c r="AP25" s="233">
        <f t="shared" si="7"/>
        <v>-362.135381044518</v>
      </c>
      <c r="AQ25" s="233">
        <f t="shared" si="7"/>
        <v>-281.69132042006561</v>
      </c>
      <c r="AR25" s="233">
        <f t="shared" si="7"/>
        <v>-192.68821156733557</v>
      </c>
      <c r="AS25" s="233">
        <f t="shared" si="7"/>
        <v>-97.830368911071815</v>
      </c>
      <c r="AT25" s="233">
        <f t="shared" si="7"/>
        <v>-4.2632564145606011E-13</v>
      </c>
      <c r="AU25" s="233">
        <f t="shared" si="7"/>
        <v>97.830368911071218</v>
      </c>
      <c r="AV25" s="233">
        <f t="shared" si="7"/>
        <v>192.68821156733475</v>
      </c>
      <c r="AW25" s="233">
        <f t="shared" si="7"/>
        <v>281.69132042006515</v>
      </c>
    </row>
    <row r="26" spans="12:54" ht="16" customHeight="1" x14ac:dyDescent="0.45">
      <c r="L26" s="239" t="s">
        <v>458</v>
      </c>
      <c r="M26" s="233">
        <f>M22-M23</f>
        <v>-281.69132042006549</v>
      </c>
      <c r="N26" s="233">
        <f t="shared" ref="N26:AW26" si="8">N22-N23</f>
        <v>-192.68821156733543</v>
      </c>
      <c r="O26" s="233">
        <f t="shared" si="8"/>
        <v>-97.830368911071517</v>
      </c>
      <c r="P26" s="233">
        <f t="shared" si="8"/>
        <v>0</v>
      </c>
      <c r="Q26" s="233">
        <f t="shared" si="8"/>
        <v>97.830368911071403</v>
      </c>
      <c r="R26" s="233">
        <f t="shared" si="8"/>
        <v>192.68821156733526</v>
      </c>
      <c r="S26" s="233">
        <f t="shared" si="8"/>
        <v>281.69132042006544</v>
      </c>
      <c r="T26" s="233">
        <f t="shared" si="8"/>
        <v>362.13538104451777</v>
      </c>
      <c r="U26" s="233">
        <f t="shared" si="8"/>
        <v>431.57614136527718</v>
      </c>
      <c r="V26" s="233">
        <f t="shared" si="8"/>
        <v>487.90367901871775</v>
      </c>
      <c r="W26" s="233">
        <f t="shared" si="8"/>
        <v>529.40651027634885</v>
      </c>
      <c r="X26" s="233">
        <f t="shared" si="8"/>
        <v>554.8235926118532</v>
      </c>
      <c r="Y26" s="233">
        <f t="shared" si="8"/>
        <v>563.38264084013088</v>
      </c>
      <c r="Z26" s="233">
        <f t="shared" si="8"/>
        <v>554.8235926118532</v>
      </c>
      <c r="AA26" s="233">
        <f t="shared" si="8"/>
        <v>529.40651027634885</v>
      </c>
      <c r="AB26" s="233">
        <f t="shared" si="8"/>
        <v>487.90367901871775</v>
      </c>
      <c r="AC26" s="233">
        <f t="shared" si="8"/>
        <v>431.57614136527746</v>
      </c>
      <c r="AD26" s="233">
        <f t="shared" si="8"/>
        <v>362.13538104451789</v>
      </c>
      <c r="AE26" s="233">
        <f t="shared" si="8"/>
        <v>281.69132042006567</v>
      </c>
      <c r="AF26" s="233">
        <f t="shared" si="8"/>
        <v>192.68821156733534</v>
      </c>
      <c r="AG26" s="233">
        <f t="shared" si="8"/>
        <v>97.830368911071588</v>
      </c>
      <c r="AH26" s="233">
        <f t="shared" si="8"/>
        <v>0</v>
      </c>
      <c r="AI26" s="233">
        <f t="shared" si="8"/>
        <v>-97.830368911071503</v>
      </c>
      <c r="AJ26" s="233">
        <f t="shared" si="8"/>
        <v>-192.68821156733529</v>
      </c>
      <c r="AK26" s="233">
        <f t="shared" si="8"/>
        <v>-281.69132042006532</v>
      </c>
      <c r="AL26" s="233">
        <f t="shared" si="8"/>
        <v>-362.13538104451766</v>
      </c>
      <c r="AM26" s="233">
        <f t="shared" si="8"/>
        <v>-431.57614136527712</v>
      </c>
      <c r="AN26" s="233">
        <f t="shared" si="8"/>
        <v>-487.90367901871758</v>
      </c>
      <c r="AO26" s="233">
        <f t="shared" si="8"/>
        <v>-529.40651027634863</v>
      </c>
      <c r="AP26" s="233">
        <f t="shared" si="8"/>
        <v>-554.82359261185297</v>
      </c>
      <c r="AQ26" s="233">
        <f t="shared" si="8"/>
        <v>-563.38264084013099</v>
      </c>
      <c r="AR26" s="233">
        <f t="shared" si="8"/>
        <v>-554.8235926118532</v>
      </c>
      <c r="AS26" s="233">
        <f t="shared" si="8"/>
        <v>-529.40651027634885</v>
      </c>
      <c r="AT26" s="233">
        <f t="shared" si="8"/>
        <v>-487.90367901871798</v>
      </c>
      <c r="AU26" s="233">
        <f t="shared" si="8"/>
        <v>-431.57614136527735</v>
      </c>
      <c r="AV26" s="233">
        <f t="shared" si="8"/>
        <v>-362.13538104451828</v>
      </c>
      <c r="AW26" s="233">
        <f t="shared" si="8"/>
        <v>-281.69132042006572</v>
      </c>
    </row>
    <row r="44" spans="2:4" x14ac:dyDescent="0.35">
      <c r="B44" s="2" t="s">
        <v>440</v>
      </c>
      <c r="C44" s="2"/>
      <c r="D44" t="s">
        <v>441</v>
      </c>
    </row>
    <row r="45" spans="2:4" x14ac:dyDescent="0.35">
      <c r="B45" s="3" t="s">
        <v>442</v>
      </c>
      <c r="C45" s="3"/>
      <c r="D45" t="s">
        <v>445</v>
      </c>
    </row>
    <row r="46" spans="2:4" x14ac:dyDescent="0.35">
      <c r="B46" t="s">
        <v>443</v>
      </c>
      <c r="D46" t="s">
        <v>444</v>
      </c>
    </row>
    <row r="49" spans="2:4" ht="15" thickBot="1" x14ac:dyDescent="0.4"/>
    <row r="50" spans="2:4" ht="17" thickBot="1" x14ac:dyDescent="0.5">
      <c r="B50" s="275" t="s">
        <v>501</v>
      </c>
      <c r="C50" s="242" t="s">
        <v>502</v>
      </c>
      <c r="D50" s="245"/>
    </row>
  </sheetData>
  <mergeCells count="3">
    <mergeCell ref="B9:I9"/>
    <mergeCell ref="L9:O9"/>
    <mergeCell ref="Q9:U9"/>
  </mergeCell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35" customWidth="1"/>
    <col min="17" max="17" width="4.90625" style="162" customWidth="1"/>
    <col min="18" max="18" width="34.6328125" style="136" customWidth="1"/>
    <col min="19" max="19" width="3.81640625" style="158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0" customWidth="1"/>
    <col min="28" max="28" width="24.6328125" customWidth="1"/>
    <col min="29" max="29" width="3.81640625" customWidth="1"/>
  </cols>
  <sheetData>
    <row r="2" spans="3:29" ht="26" x14ac:dyDescent="0.6">
      <c r="C2" s="44" t="s">
        <v>335</v>
      </c>
    </row>
    <row r="5" spans="3:29" ht="24" x14ac:dyDescent="0.65">
      <c r="P5" s="151" t="s">
        <v>347</v>
      </c>
      <c r="Q5" s="150" t="s">
        <v>346</v>
      </c>
      <c r="R5" s="137">
        <v>0.5</v>
      </c>
      <c r="S5" s="190" t="s">
        <v>334</v>
      </c>
      <c r="U5" s="188" t="str">
        <f>U59</f>
        <v>U1</v>
      </c>
      <c r="V5" s="212" t="str">
        <f>V59</f>
        <v xml:space="preserve"> =</v>
      </c>
      <c r="W5" s="188">
        <f>W59</f>
        <v>0.38502673796791448</v>
      </c>
      <c r="X5" s="206" t="str">
        <f>X59</f>
        <v>V</v>
      </c>
      <c r="Z5" s="200" t="str">
        <f>U98</f>
        <v>I1 = I23 = I123</v>
      </c>
      <c r="AA5" s="199" t="str">
        <f>V98</f>
        <v xml:space="preserve"> =</v>
      </c>
      <c r="AB5" s="200">
        <f>W98</f>
        <v>0.77005347593582896</v>
      </c>
      <c r="AC5" s="198" t="str">
        <f>X98</f>
        <v>A</v>
      </c>
    </row>
    <row r="6" spans="3:29" ht="24" x14ac:dyDescent="0.65">
      <c r="P6" s="151" t="s">
        <v>348</v>
      </c>
      <c r="Q6" s="150" t="s">
        <v>346</v>
      </c>
      <c r="R6" s="137">
        <v>0.5</v>
      </c>
      <c r="S6" s="190" t="s">
        <v>334</v>
      </c>
      <c r="U6" s="188" t="str">
        <f>U62</f>
        <v>U1 = U2 = U23</v>
      </c>
      <c r="V6" s="212" t="str">
        <f>V62</f>
        <v xml:space="preserve"> =</v>
      </c>
      <c r="W6" s="188">
        <f>W62</f>
        <v>0.25668449197860965</v>
      </c>
      <c r="X6" s="206" t="str">
        <f>X62</f>
        <v>V</v>
      </c>
      <c r="Z6" s="200" t="str">
        <f>U18</f>
        <v>I2</v>
      </c>
      <c r="AA6" s="199" t="str">
        <f>V18</f>
        <v xml:space="preserve"> =</v>
      </c>
      <c r="AB6" s="198">
        <f>W18</f>
        <v>0.5133689839572193</v>
      </c>
      <c r="AC6" s="198" t="str">
        <f>X18</f>
        <v>A</v>
      </c>
    </row>
    <row r="7" spans="3:29" ht="24" x14ac:dyDescent="0.65">
      <c r="P7" s="151" t="s">
        <v>349</v>
      </c>
      <c r="Q7" s="150" t="s">
        <v>346</v>
      </c>
      <c r="R7" s="137">
        <v>1</v>
      </c>
      <c r="S7" s="190" t="s">
        <v>334</v>
      </c>
      <c r="U7" s="188" t="str">
        <f>U62</f>
        <v>U1 = U2 = U23</v>
      </c>
      <c r="V7" s="212" t="str">
        <f>V62</f>
        <v xml:space="preserve"> =</v>
      </c>
      <c r="W7" s="188">
        <f>W62</f>
        <v>0.25668449197860965</v>
      </c>
      <c r="X7" s="206" t="str">
        <f>X62</f>
        <v>V</v>
      </c>
      <c r="Z7" s="200" t="str">
        <f>U21</f>
        <v>I3</v>
      </c>
      <c r="AA7" s="199" t="str">
        <f>V21</f>
        <v xml:space="preserve"> =</v>
      </c>
      <c r="AB7" s="200">
        <f>W21</f>
        <v>0.25668449197860965</v>
      </c>
      <c r="AC7" s="198" t="str">
        <f>X21</f>
        <v>A</v>
      </c>
    </row>
    <row r="8" spans="3:29" ht="24" x14ac:dyDescent="0.65">
      <c r="P8" s="151" t="s">
        <v>350</v>
      </c>
      <c r="Q8" s="150" t="s">
        <v>346</v>
      </c>
      <c r="R8" s="137">
        <v>1</v>
      </c>
      <c r="S8" s="190" t="s">
        <v>334</v>
      </c>
      <c r="U8" s="188" t="str">
        <f>U88</f>
        <v>U4 = U5 = U123 = U12345</v>
      </c>
      <c r="V8" s="212" t="str">
        <f>V88</f>
        <v xml:space="preserve"> =</v>
      </c>
      <c r="W8" s="188">
        <f>W88</f>
        <v>0.64171122994652408</v>
      </c>
      <c r="X8" s="206" t="str">
        <f>X88</f>
        <v>V</v>
      </c>
      <c r="Z8" s="200" t="str">
        <f>U24</f>
        <v>I4</v>
      </c>
      <c r="AA8" s="199" t="str">
        <f>V24</f>
        <v xml:space="preserve"> =</v>
      </c>
      <c r="AB8" s="200">
        <f>W24</f>
        <v>0.64171122994652408</v>
      </c>
      <c r="AC8" s="198" t="str">
        <f>X24</f>
        <v>A</v>
      </c>
    </row>
    <row r="9" spans="3:29" ht="24" x14ac:dyDescent="0.65">
      <c r="P9" s="151" t="s">
        <v>351</v>
      </c>
      <c r="Q9" s="150" t="s">
        <v>346</v>
      </c>
      <c r="R9" s="137">
        <v>2</v>
      </c>
      <c r="S9" s="190" t="s">
        <v>334</v>
      </c>
      <c r="U9" s="188" t="str">
        <f>U88</f>
        <v>U4 = U5 = U123 = U12345</v>
      </c>
      <c r="V9" s="212" t="str">
        <f>V88</f>
        <v xml:space="preserve"> =</v>
      </c>
      <c r="W9" s="188">
        <f>W88</f>
        <v>0.64171122994652408</v>
      </c>
      <c r="X9" s="206" t="str">
        <f>X88</f>
        <v>V</v>
      </c>
      <c r="Z9" s="200" t="str">
        <f>U27</f>
        <v>I5</v>
      </c>
      <c r="AA9" s="199" t="str">
        <f>V27</f>
        <v xml:space="preserve"> =</v>
      </c>
      <c r="AB9" s="200">
        <f>W27</f>
        <v>0.32085561497326204</v>
      </c>
      <c r="AC9" s="198" t="str">
        <f>X27</f>
        <v>A</v>
      </c>
    </row>
    <row r="10" spans="3:29" ht="24" x14ac:dyDescent="0.65">
      <c r="P10" s="151" t="s">
        <v>352</v>
      </c>
      <c r="Q10" s="150" t="s">
        <v>346</v>
      </c>
      <c r="R10" s="137">
        <v>2</v>
      </c>
      <c r="S10" s="190" t="s">
        <v>334</v>
      </c>
      <c r="U10" s="188" t="str">
        <f>U144</f>
        <v>U6</v>
      </c>
      <c r="V10" s="212" t="str">
        <f>V144</f>
        <v xml:space="preserve"> =</v>
      </c>
      <c r="W10" s="188">
        <f>W144</f>
        <v>3.4652406417112305</v>
      </c>
      <c r="X10" s="206" t="str">
        <f>X144</f>
        <v>V</v>
      </c>
      <c r="Z10" s="200" t="str">
        <f>U183</f>
        <v>I6 = I12345 = I123456</v>
      </c>
      <c r="AA10" s="199" t="str">
        <f>V183</f>
        <v xml:space="preserve"> =</v>
      </c>
      <c r="AB10" s="200">
        <f>W183</f>
        <v>1.7326203208556152</v>
      </c>
      <c r="AC10" s="198" t="str">
        <f>X183</f>
        <v>A</v>
      </c>
    </row>
    <row r="11" spans="3:29" ht="24" x14ac:dyDescent="0.65">
      <c r="P11" s="151" t="s">
        <v>353</v>
      </c>
      <c r="Q11" s="150" t="s">
        <v>346</v>
      </c>
      <c r="R11" s="137">
        <v>0.5</v>
      </c>
      <c r="S11" s="190" t="s">
        <v>334</v>
      </c>
      <c r="U11" s="188" t="str">
        <f>U31</f>
        <v>U7</v>
      </c>
      <c r="V11" s="212" t="str">
        <f>V31</f>
        <v xml:space="preserve"> =</v>
      </c>
      <c r="W11" s="188">
        <f>W31</f>
        <v>2.0534759358288772</v>
      </c>
      <c r="X11" s="206" t="str">
        <f>X31</f>
        <v>V</v>
      </c>
      <c r="Z11" s="200" t="str">
        <f>U68</f>
        <v>I7 = I8 = I78</v>
      </c>
      <c r="AA11" s="199" t="str">
        <f>V68</f>
        <v xml:space="preserve"> =</v>
      </c>
      <c r="AB11" s="200">
        <f>W68</f>
        <v>4.1069518716577544</v>
      </c>
      <c r="AC11" s="198" t="str">
        <f>X68</f>
        <v>A</v>
      </c>
    </row>
    <row r="12" spans="3:29" ht="24" x14ac:dyDescent="0.65">
      <c r="P12" s="151" t="s">
        <v>354</v>
      </c>
      <c r="Q12" s="150" t="s">
        <v>346</v>
      </c>
      <c r="R12" s="137">
        <v>0.5</v>
      </c>
      <c r="S12" s="190" t="s">
        <v>334</v>
      </c>
      <c r="U12" s="188" t="str">
        <f>U34</f>
        <v>U8</v>
      </c>
      <c r="V12" s="212" t="str">
        <f>V34</f>
        <v xml:space="preserve"> =</v>
      </c>
      <c r="W12" s="188">
        <f>W34</f>
        <v>2.0534759358288772</v>
      </c>
      <c r="X12" s="206" t="str">
        <f>X34</f>
        <v>V</v>
      </c>
      <c r="Z12" s="200" t="str">
        <f>U68</f>
        <v>I7 = I8 = I78</v>
      </c>
      <c r="AA12" s="199" t="str">
        <f>V68</f>
        <v xml:space="preserve"> =</v>
      </c>
      <c r="AB12" s="200">
        <f>W68</f>
        <v>4.1069518716577544</v>
      </c>
      <c r="AC12" s="198" t="str">
        <f>X68</f>
        <v>A</v>
      </c>
    </row>
    <row r="13" spans="3:29" ht="24" x14ac:dyDescent="0.65">
      <c r="P13" s="151" t="s">
        <v>355</v>
      </c>
      <c r="Q13" s="150" t="s">
        <v>346</v>
      </c>
      <c r="R13" s="137">
        <v>2</v>
      </c>
      <c r="S13" s="190" t="s">
        <v>334</v>
      </c>
      <c r="U13" s="188" t="str">
        <f>U172</f>
        <v>U9 = U123456789 = U78 = U123456</v>
      </c>
      <c r="V13" s="212" t="str">
        <f>V172</f>
        <v xml:space="preserve"> =</v>
      </c>
      <c r="W13" s="188">
        <f>W172</f>
        <v>4.1069518716577544</v>
      </c>
      <c r="X13" s="206" t="str">
        <f>X172</f>
        <v>V</v>
      </c>
      <c r="Z13" s="200" t="str">
        <f>U65</f>
        <v>I9</v>
      </c>
      <c r="AA13" s="199" t="str">
        <f>V65</f>
        <v xml:space="preserve"> =</v>
      </c>
      <c r="AB13" s="200">
        <f>W65</f>
        <v>2.0534759358288772</v>
      </c>
      <c r="AC13" s="198" t="str">
        <f>X65</f>
        <v>A</v>
      </c>
    </row>
    <row r="14" spans="3:29" ht="24" x14ac:dyDescent="0.65">
      <c r="P14" s="151" t="s">
        <v>356</v>
      </c>
      <c r="Q14" s="150" t="s">
        <v>346</v>
      </c>
      <c r="R14" s="137">
        <v>1</v>
      </c>
      <c r="S14" s="190" t="s">
        <v>334</v>
      </c>
      <c r="U14" s="188" t="str">
        <f>U229</f>
        <v>U10</v>
      </c>
      <c r="V14" s="212" t="str">
        <f>V229</f>
        <v xml:space="preserve"> =</v>
      </c>
      <c r="W14" s="188">
        <f>W229</f>
        <v>7.8930481283422456</v>
      </c>
      <c r="X14" s="206" t="str">
        <f>X229</f>
        <v>V</v>
      </c>
      <c r="Z14" s="200" t="str">
        <f>U273</f>
        <v>I10 = I123456789 = ITot</v>
      </c>
      <c r="AA14" s="199" t="str">
        <f>V273</f>
        <v xml:space="preserve"> =</v>
      </c>
      <c r="AB14" s="200">
        <f>W273</f>
        <v>7.8930481283422456</v>
      </c>
      <c r="AC14" s="198" t="str">
        <f>X273</f>
        <v>A</v>
      </c>
    </row>
    <row r="15" spans="3:29" ht="24" x14ac:dyDescent="0.65">
      <c r="P15" s="185" t="s">
        <v>416</v>
      </c>
      <c r="Q15" s="186" t="s">
        <v>346</v>
      </c>
      <c r="R15" s="187">
        <f>R273</f>
        <v>1.5203252032520327</v>
      </c>
      <c r="S15" s="191" t="s">
        <v>333</v>
      </c>
      <c r="U15" s="152" t="s">
        <v>415</v>
      </c>
      <c r="V15" s="213" t="s">
        <v>346</v>
      </c>
      <c r="W15" s="137">
        <v>12</v>
      </c>
      <c r="X15" s="207" t="s">
        <v>333</v>
      </c>
      <c r="Z15" s="200" t="str">
        <f>U273</f>
        <v>I10 = I123456789 = ITot</v>
      </c>
      <c r="AA15" s="199" t="str">
        <f>V273</f>
        <v xml:space="preserve"> =</v>
      </c>
      <c r="AB15" s="198">
        <f>W273</f>
        <v>7.8930481283422456</v>
      </c>
      <c r="AC15" s="198" t="str">
        <f>X273</f>
        <v>A</v>
      </c>
    </row>
    <row r="16" spans="3:29" x14ac:dyDescent="0.35">
      <c r="G16" s="134"/>
    </row>
    <row r="17" spans="16:24" ht="35.5" customHeight="1" x14ac:dyDescent="0.8">
      <c r="U17" s="142" t="s">
        <v>403</v>
      </c>
      <c r="V17" s="213" t="s">
        <v>346</v>
      </c>
      <c r="W17" s="164" t="s">
        <v>409</v>
      </c>
      <c r="X17" s="5"/>
    </row>
    <row r="18" spans="16:24" ht="35.5" customHeight="1" x14ac:dyDescent="0.8">
      <c r="P18" s="201" t="str">
        <f>P59</f>
        <v>R23</v>
      </c>
      <c r="Q18" s="202" t="str">
        <f>Q59</f>
        <v xml:space="preserve"> =</v>
      </c>
      <c r="R18" s="201">
        <f>R59</f>
        <v>0.33333333333333331</v>
      </c>
      <c r="S18" s="203" t="str">
        <f>S59</f>
        <v>Ω</v>
      </c>
      <c r="U18" s="170" t="s">
        <v>403</v>
      </c>
      <c r="V18" s="214" t="s">
        <v>346</v>
      </c>
      <c r="W18" s="171">
        <f>W62/R6</f>
        <v>0.5133689839572193</v>
      </c>
      <c r="X18" s="171" t="s">
        <v>44</v>
      </c>
    </row>
    <row r="19" spans="16:24" ht="35.5" customHeight="1" x14ac:dyDescent="0.35">
      <c r="P19" s="201" t="str">
        <f>P62</f>
        <v>R45</v>
      </c>
      <c r="Q19" s="202" t="str">
        <f>Q62</f>
        <v xml:space="preserve"> =</v>
      </c>
      <c r="R19" s="201">
        <f>R62</f>
        <v>0.66666666666666663</v>
      </c>
      <c r="S19" s="203" t="str">
        <f>S62</f>
        <v>Ω</v>
      </c>
    </row>
    <row r="20" spans="16:24" ht="35.5" customHeight="1" x14ac:dyDescent="0.8">
      <c r="P20" s="201" t="str">
        <f>P65</f>
        <v>R78</v>
      </c>
      <c r="Q20" s="202" t="str">
        <f>Q65</f>
        <v xml:space="preserve"> =</v>
      </c>
      <c r="R20" s="201">
        <f>R65</f>
        <v>1</v>
      </c>
      <c r="S20" s="203" t="str">
        <f>S65</f>
        <v>Ω</v>
      </c>
      <c r="U20" s="142" t="s">
        <v>404</v>
      </c>
      <c r="V20" s="213" t="s">
        <v>346</v>
      </c>
      <c r="W20" s="164" t="s">
        <v>410</v>
      </c>
      <c r="X20" s="5"/>
    </row>
    <row r="21" spans="16:24" ht="35.5" customHeight="1" x14ac:dyDescent="0.8">
      <c r="U21" s="170" t="s">
        <v>404</v>
      </c>
      <c r="V21" s="214" t="s">
        <v>346</v>
      </c>
      <c r="W21" s="171">
        <f>W62/R7</f>
        <v>0.25668449197860965</v>
      </c>
      <c r="X21" s="171" t="s">
        <v>44</v>
      </c>
    </row>
    <row r="22" spans="16:24" ht="35.5" customHeight="1" x14ac:dyDescent="0.35">
      <c r="P22" s="201" t="str">
        <f>P98</f>
        <v>R123</v>
      </c>
      <c r="Q22" s="202" t="str">
        <f>Q98</f>
        <v xml:space="preserve"> =</v>
      </c>
      <c r="R22" s="201">
        <f>R98</f>
        <v>0.83333333333333326</v>
      </c>
      <c r="S22" s="203" t="str">
        <f>S98</f>
        <v>Ω</v>
      </c>
    </row>
    <row r="23" spans="16:24" ht="35.5" customHeight="1" x14ac:dyDescent="0.8">
      <c r="P23" s="201" t="str">
        <f>P101</f>
        <v>R789</v>
      </c>
      <c r="Q23" s="202" t="str">
        <f>Q101</f>
        <v xml:space="preserve"> =</v>
      </c>
      <c r="R23" s="201">
        <f>R101</f>
        <v>0.66666666666666663</v>
      </c>
      <c r="S23" s="203" t="str">
        <f>S101</f>
        <v>Ω</v>
      </c>
      <c r="U23" s="142" t="s">
        <v>405</v>
      </c>
      <c r="V23" s="213" t="s">
        <v>346</v>
      </c>
      <c r="W23" s="164" t="s">
        <v>411</v>
      </c>
      <c r="X23" s="5"/>
    </row>
    <row r="24" spans="16:24" ht="35.5" customHeight="1" x14ac:dyDescent="0.8">
      <c r="U24" s="170" t="s">
        <v>405</v>
      </c>
      <c r="V24" s="214" t="s">
        <v>346</v>
      </c>
      <c r="W24" s="171">
        <f>W88/R8</f>
        <v>0.64171122994652408</v>
      </c>
      <c r="X24" s="171" t="s">
        <v>44</v>
      </c>
    </row>
    <row r="25" spans="16:24" ht="35.5" customHeight="1" x14ac:dyDescent="0.35">
      <c r="P25" s="201" t="str">
        <f>P141</f>
        <v>R12345</v>
      </c>
      <c r="Q25" s="202" t="str">
        <f>Q141</f>
        <v xml:space="preserve"> =</v>
      </c>
      <c r="R25" s="201">
        <f>R141</f>
        <v>0.37037037037037035</v>
      </c>
      <c r="S25" s="203" t="str">
        <f>S141</f>
        <v>Ω</v>
      </c>
    </row>
    <row r="26" spans="16:24" ht="35.5" customHeight="1" x14ac:dyDescent="0.8">
      <c r="U26" s="142" t="s">
        <v>406</v>
      </c>
      <c r="V26" s="213" t="s">
        <v>346</v>
      </c>
      <c r="W26" s="164" t="s">
        <v>412</v>
      </c>
      <c r="X26" s="5"/>
    </row>
    <row r="27" spans="16:24" ht="35.5" customHeight="1" x14ac:dyDescent="0.8">
      <c r="P27" s="201" t="str">
        <f>P180</f>
        <v>R123456</v>
      </c>
      <c r="Q27" s="202" t="str">
        <f>Q180</f>
        <v xml:space="preserve"> =</v>
      </c>
      <c r="R27" s="201">
        <f>R180</f>
        <v>2.3703703703703702</v>
      </c>
      <c r="S27" s="203" t="str">
        <f>S180</f>
        <v>Ω</v>
      </c>
      <c r="U27" s="170" t="s">
        <v>406</v>
      </c>
      <c r="V27" s="214" t="s">
        <v>346</v>
      </c>
      <c r="W27" s="171">
        <f>W88/R9</f>
        <v>0.32085561497326204</v>
      </c>
      <c r="X27" s="171" t="s">
        <v>44</v>
      </c>
    </row>
    <row r="28" spans="16:24" ht="35.5" customHeight="1" x14ac:dyDescent="0.35"/>
    <row r="29" spans="16:24" ht="35.5" customHeight="1" x14ac:dyDescent="0.35">
      <c r="P29" s="201" t="str">
        <f>P226</f>
        <v>R123456789</v>
      </c>
      <c r="Q29" s="202" t="str">
        <f>Q226</f>
        <v xml:space="preserve"> =</v>
      </c>
      <c r="R29" s="201">
        <f>R226</f>
        <v>0.52032520325203258</v>
      </c>
      <c r="S29" s="203" t="str">
        <f>S226</f>
        <v>Ω</v>
      </c>
    </row>
    <row r="30" spans="16:24" ht="35.5" customHeight="1" x14ac:dyDescent="0.85">
      <c r="U30" s="175" t="s">
        <v>407</v>
      </c>
      <c r="V30" s="213" t="s">
        <v>346</v>
      </c>
      <c r="W30" s="177" t="s">
        <v>413</v>
      </c>
      <c r="X30" s="208"/>
    </row>
    <row r="31" spans="16:24" ht="35.5" customHeight="1" x14ac:dyDescent="0.85">
      <c r="P31" s="201" t="str">
        <f>P273</f>
        <v>RTot</v>
      </c>
      <c r="Q31" s="202" t="str">
        <f>Q273</f>
        <v xml:space="preserve"> =</v>
      </c>
      <c r="R31" s="201">
        <f>R273</f>
        <v>1.5203252032520327</v>
      </c>
      <c r="S31" s="203" t="str">
        <f>S273</f>
        <v>Ω</v>
      </c>
      <c r="U31" s="180" t="s">
        <v>407</v>
      </c>
      <c r="V31" s="214" t="s">
        <v>346</v>
      </c>
      <c r="W31" s="181">
        <f>W68*R11</f>
        <v>2.0534759358288772</v>
      </c>
      <c r="X31" s="181" t="s">
        <v>333</v>
      </c>
    </row>
    <row r="32" spans="16:24" ht="35.5" customHeight="1" x14ac:dyDescent="0.35"/>
    <row r="33" spans="3:24" ht="35.5" customHeight="1" x14ac:dyDescent="0.85">
      <c r="U33" s="175" t="s">
        <v>408</v>
      </c>
      <c r="V33" s="213" t="s">
        <v>346</v>
      </c>
      <c r="W33" s="177" t="s">
        <v>414</v>
      </c>
      <c r="X33" s="208"/>
    </row>
    <row r="34" spans="3:24" ht="35.5" customHeight="1" x14ac:dyDescent="0.85">
      <c r="U34" s="180" t="s">
        <v>408</v>
      </c>
      <c r="V34" s="214" t="s">
        <v>346</v>
      </c>
      <c r="W34" s="181">
        <f>W68*R12</f>
        <v>2.0534759358288772</v>
      </c>
      <c r="X34" s="181" t="s">
        <v>333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336</v>
      </c>
    </row>
    <row r="46" spans="3:24" x14ac:dyDescent="0.35">
      <c r="R46" s="135"/>
    </row>
    <row r="47" spans="3:24" x14ac:dyDescent="0.35">
      <c r="R47" s="135"/>
    </row>
    <row r="48" spans="3:24" ht="21" x14ac:dyDescent="0.5">
      <c r="P48" s="153" t="str">
        <f t="shared" ref="P48:S51" si="0">P6</f>
        <v>R2</v>
      </c>
      <c r="Q48" s="165" t="str">
        <f t="shared" si="0"/>
        <v xml:space="preserve"> =</v>
      </c>
      <c r="R48" s="153">
        <f t="shared" si="0"/>
        <v>0.5</v>
      </c>
      <c r="S48" s="157" t="str">
        <f t="shared" si="0"/>
        <v>Ω</v>
      </c>
      <c r="U48" s="13" t="str">
        <f>U98</f>
        <v>I1 = I23 = I123</v>
      </c>
      <c r="V48" s="215" t="str">
        <f>V98</f>
        <v xml:space="preserve"> =</v>
      </c>
      <c r="W48" s="13">
        <f>W98</f>
        <v>0.77005347593582896</v>
      </c>
      <c r="X48" s="183" t="str">
        <f>X98</f>
        <v>A</v>
      </c>
    </row>
    <row r="49" spans="16:24" ht="21" x14ac:dyDescent="0.5">
      <c r="P49" s="153" t="str">
        <f t="shared" si="0"/>
        <v>R3</v>
      </c>
      <c r="Q49" s="165" t="str">
        <f t="shared" si="0"/>
        <v xml:space="preserve"> =</v>
      </c>
      <c r="R49" s="153">
        <f t="shared" si="0"/>
        <v>1</v>
      </c>
      <c r="S49" s="157" t="str">
        <f t="shared" si="0"/>
        <v>Ω</v>
      </c>
      <c r="U49" s="178" t="str">
        <f>U226</f>
        <v>U9 = U123456789 = U78 = U123456</v>
      </c>
      <c r="V49" s="216" t="str">
        <f>V226</f>
        <v xml:space="preserve"> =</v>
      </c>
      <c r="W49" s="178">
        <f>W226</f>
        <v>4.1069518716577544</v>
      </c>
      <c r="X49" s="184" t="str">
        <f>X226</f>
        <v>V</v>
      </c>
    </row>
    <row r="50" spans="16:24" ht="21" x14ac:dyDescent="0.5">
      <c r="P50" s="153" t="str">
        <f t="shared" si="0"/>
        <v>R4</v>
      </c>
      <c r="Q50" s="165" t="str">
        <f t="shared" si="0"/>
        <v xml:space="preserve"> =</v>
      </c>
      <c r="R50" s="153">
        <f t="shared" si="0"/>
        <v>1</v>
      </c>
      <c r="S50" s="157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3" t="str">
        <f t="shared" si="0"/>
        <v>R5</v>
      </c>
      <c r="Q51" s="165" t="str">
        <f t="shared" si="0"/>
        <v xml:space="preserve"> =</v>
      </c>
      <c r="R51" s="153">
        <f t="shared" si="0"/>
        <v>2</v>
      </c>
      <c r="S51" s="157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3" t="str">
        <f t="shared" ref="P52:S53" si="1">P11</f>
        <v>R7</v>
      </c>
      <c r="Q52" s="165" t="str">
        <f t="shared" si="1"/>
        <v xml:space="preserve"> =</v>
      </c>
      <c r="R52" s="153">
        <f t="shared" si="1"/>
        <v>0.5</v>
      </c>
      <c r="S52" s="157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3" t="str">
        <f t="shared" si="1"/>
        <v>R8</v>
      </c>
      <c r="Q53" s="165" t="str">
        <f t="shared" si="1"/>
        <v xml:space="preserve"> =</v>
      </c>
      <c r="R53" s="153">
        <f t="shared" si="1"/>
        <v>0.5</v>
      </c>
      <c r="S53" s="157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35"/>
    </row>
    <row r="55" spans="16:24" x14ac:dyDescent="0.35">
      <c r="R55" s="135"/>
    </row>
    <row r="58" spans="16:24" ht="32.5" x14ac:dyDescent="0.85">
      <c r="P58" s="138" t="s">
        <v>357</v>
      </c>
      <c r="Q58" s="150" t="s">
        <v>346</v>
      </c>
      <c r="R58" s="139" t="s">
        <v>361</v>
      </c>
      <c r="S58" s="192"/>
      <c r="U58" s="175" t="s">
        <v>397</v>
      </c>
      <c r="V58" s="213" t="s">
        <v>346</v>
      </c>
      <c r="W58" s="177" t="s">
        <v>399</v>
      </c>
      <c r="X58" s="208"/>
    </row>
    <row r="59" spans="16:24" ht="32.5" x14ac:dyDescent="0.85">
      <c r="P59" s="154" t="s">
        <v>357</v>
      </c>
      <c r="Q59" s="155" t="s">
        <v>346</v>
      </c>
      <c r="R59" s="156">
        <f>1/(1/R6+1/R7)</f>
        <v>0.33333333333333331</v>
      </c>
      <c r="S59" s="193" t="s">
        <v>334</v>
      </c>
      <c r="U59" s="180" t="s">
        <v>397</v>
      </c>
      <c r="V59" s="214" t="s">
        <v>346</v>
      </c>
      <c r="W59" s="181">
        <f>W48*W50</f>
        <v>0.38502673796791448</v>
      </c>
      <c r="X59" s="181" t="s">
        <v>333</v>
      </c>
    </row>
    <row r="61" spans="16:24" ht="32.5" x14ac:dyDescent="0.85">
      <c r="P61" s="138" t="s">
        <v>358</v>
      </c>
      <c r="Q61" s="150" t="s">
        <v>346</v>
      </c>
      <c r="R61" s="139" t="s">
        <v>362</v>
      </c>
      <c r="S61" s="192"/>
      <c r="U61" s="175" t="s">
        <v>398</v>
      </c>
      <c r="V61" s="213" t="s">
        <v>346</v>
      </c>
      <c r="W61" s="177" t="s">
        <v>400</v>
      </c>
      <c r="X61" s="208"/>
    </row>
    <row r="62" spans="16:24" ht="32.5" x14ac:dyDescent="0.85">
      <c r="P62" s="154" t="s">
        <v>358</v>
      </c>
      <c r="Q62" s="155" t="s">
        <v>346</v>
      </c>
      <c r="R62" s="156">
        <f>1/(1/R8+1/R9)</f>
        <v>0.66666666666666663</v>
      </c>
      <c r="S62" s="193" t="s">
        <v>334</v>
      </c>
      <c r="U62" s="180" t="s">
        <v>422</v>
      </c>
      <c r="V62" s="214" t="s">
        <v>346</v>
      </c>
      <c r="W62" s="181">
        <f>W48*W51</f>
        <v>0.25668449197860965</v>
      </c>
      <c r="X62" s="181" t="s">
        <v>333</v>
      </c>
    </row>
    <row r="64" spans="16:24" ht="30" x14ac:dyDescent="0.8">
      <c r="P64" s="138" t="s">
        <v>359</v>
      </c>
      <c r="Q64" s="150" t="s">
        <v>346</v>
      </c>
      <c r="R64" s="139" t="s">
        <v>363</v>
      </c>
      <c r="S64" s="192"/>
      <c r="U64" s="142" t="s">
        <v>396</v>
      </c>
      <c r="V64" s="213" t="s">
        <v>346</v>
      </c>
      <c r="W64" s="164" t="s">
        <v>401</v>
      </c>
      <c r="X64" s="5"/>
    </row>
    <row r="65" spans="16:24" ht="30" x14ac:dyDescent="0.8">
      <c r="P65" s="154" t="s">
        <v>359</v>
      </c>
      <c r="Q65" s="155" t="s">
        <v>346</v>
      </c>
      <c r="R65" s="156">
        <f>R11+R12</f>
        <v>1</v>
      </c>
      <c r="S65" s="193" t="s">
        <v>334</v>
      </c>
      <c r="U65" s="170" t="s">
        <v>396</v>
      </c>
      <c r="V65" s="214" t="s">
        <v>346</v>
      </c>
      <c r="W65" s="171">
        <f>W49/W53</f>
        <v>2.0534759358288772</v>
      </c>
      <c r="X65" s="171" t="s">
        <v>44</v>
      </c>
    </row>
    <row r="67" spans="16:24" ht="30" x14ac:dyDescent="0.8">
      <c r="U67" s="142" t="s">
        <v>395</v>
      </c>
      <c r="V67" s="213" t="s">
        <v>346</v>
      </c>
      <c r="W67" s="164" t="s">
        <v>402</v>
      </c>
      <c r="X67" s="5"/>
    </row>
    <row r="68" spans="16:24" ht="30" x14ac:dyDescent="0.8">
      <c r="U68" s="170" t="s">
        <v>423</v>
      </c>
      <c r="V68" s="214" t="s">
        <v>346</v>
      </c>
      <c r="W68" s="171">
        <f>W49/W52</f>
        <v>4.1069518716577544</v>
      </c>
      <c r="X68" s="171" t="s">
        <v>44</v>
      </c>
    </row>
    <row r="70" spans="16:24" ht="16" thickBot="1" x14ac:dyDescent="0.4"/>
    <row r="71" spans="16:24" ht="33" thickBot="1" x14ac:dyDescent="0.9">
      <c r="U71" s="149" t="s">
        <v>418</v>
      </c>
      <c r="V71" s="217">
        <f>IF(W59+W62=W88,1,-1)</f>
        <v>1</v>
      </c>
    </row>
    <row r="72" spans="16:24" ht="16" thickBot="1" x14ac:dyDescent="0.4"/>
    <row r="73" spans="16:24" ht="30.5" thickBot="1" x14ac:dyDescent="0.85">
      <c r="U73" s="145" t="s">
        <v>419</v>
      </c>
      <c r="V73" s="218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341</v>
      </c>
      <c r="P88" s="135" t="str">
        <f>P5</f>
        <v>R1</v>
      </c>
      <c r="Q88" s="162" t="str">
        <f>Q5</f>
        <v xml:space="preserve"> =</v>
      </c>
      <c r="R88" s="135">
        <f>R5</f>
        <v>0.5</v>
      </c>
      <c r="S88" s="158" t="str">
        <f>S5</f>
        <v>Ω</v>
      </c>
      <c r="U88" s="178" t="str">
        <f>U141</f>
        <v>U4 = U5 = U123 = U12345</v>
      </c>
      <c r="V88" s="216" t="str">
        <f>V141</f>
        <v xml:space="preserve"> =</v>
      </c>
      <c r="W88" s="178">
        <f>W141</f>
        <v>0.64171122994652408</v>
      </c>
      <c r="X88" s="184" t="str">
        <f>X141</f>
        <v>V</v>
      </c>
    </row>
    <row r="89" spans="3:24" x14ac:dyDescent="0.35">
      <c r="P89" s="135" t="str">
        <f>P13</f>
        <v>R9</v>
      </c>
      <c r="Q89" s="162" t="str">
        <f>Q13</f>
        <v xml:space="preserve"> =</v>
      </c>
      <c r="R89" s="135">
        <f>R13</f>
        <v>2</v>
      </c>
      <c r="S89" s="158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35" t="str">
        <f>P59</f>
        <v>R23</v>
      </c>
      <c r="Q90" s="162" t="str">
        <f>Q59</f>
        <v xml:space="preserve"> =</v>
      </c>
      <c r="R90" s="135">
        <f>R59</f>
        <v>0.33333333333333331</v>
      </c>
      <c r="S90" s="158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35" t="str">
        <f>P65</f>
        <v>R78</v>
      </c>
      <c r="Q91" s="162" t="str">
        <f>Q65</f>
        <v xml:space="preserve"> =</v>
      </c>
      <c r="R91" s="135">
        <f>R65</f>
        <v>1</v>
      </c>
      <c r="S91" s="158" t="str">
        <f>S65</f>
        <v>Ω</v>
      </c>
    </row>
    <row r="97" spans="16:24" ht="30" x14ac:dyDescent="0.8">
      <c r="P97" s="138" t="s">
        <v>360</v>
      </c>
      <c r="Q97" s="150" t="s">
        <v>346</v>
      </c>
      <c r="R97" s="139" t="s">
        <v>364</v>
      </c>
      <c r="S97" s="192"/>
      <c r="U97" s="142" t="s">
        <v>391</v>
      </c>
      <c r="V97" s="213" t="s">
        <v>346</v>
      </c>
      <c r="W97" s="164" t="s">
        <v>392</v>
      </c>
      <c r="X97" s="5"/>
    </row>
    <row r="98" spans="16:24" ht="30" x14ac:dyDescent="0.8">
      <c r="P98" s="154" t="s">
        <v>360</v>
      </c>
      <c r="Q98" s="155" t="s">
        <v>346</v>
      </c>
      <c r="R98" s="156">
        <f>R90+R88</f>
        <v>0.83333333333333326</v>
      </c>
      <c r="S98" s="193" t="s">
        <v>334</v>
      </c>
      <c r="U98" s="170" t="s">
        <v>426</v>
      </c>
      <c r="V98" s="214" t="s">
        <v>346</v>
      </c>
      <c r="W98" s="171">
        <f>W88/W89</f>
        <v>0.77005347593582896</v>
      </c>
      <c r="X98" s="171" t="s">
        <v>44</v>
      </c>
    </row>
    <row r="100" spans="16:24" ht="30" x14ac:dyDescent="0.8">
      <c r="P100" s="138" t="s">
        <v>365</v>
      </c>
      <c r="Q100" s="150" t="s">
        <v>346</v>
      </c>
      <c r="R100" s="139" t="s">
        <v>366</v>
      </c>
      <c r="S100" s="192"/>
      <c r="U100" s="142" t="s">
        <v>393</v>
      </c>
      <c r="V100" s="213" t="s">
        <v>346</v>
      </c>
      <c r="W100" s="164" t="s">
        <v>394</v>
      </c>
      <c r="X100" s="5"/>
    </row>
    <row r="101" spans="16:24" ht="30" x14ac:dyDescent="0.8">
      <c r="P101" s="154" t="s">
        <v>365</v>
      </c>
      <c r="Q101" s="155" t="s">
        <v>346</v>
      </c>
      <c r="R101" s="156">
        <f>1/(1/R89+1/R91)</f>
        <v>0.66666666666666663</v>
      </c>
      <c r="S101" s="193" t="s">
        <v>334</v>
      </c>
      <c r="U101" s="170" t="s">
        <v>393</v>
      </c>
      <c r="V101" s="214" t="s">
        <v>346</v>
      </c>
      <c r="W101" s="171">
        <f>W88/W90</f>
        <v>0.96256684491978617</v>
      </c>
      <c r="X101" s="171" t="s">
        <v>44</v>
      </c>
    </row>
    <row r="103" spans="16:24" ht="16" thickBot="1" x14ac:dyDescent="0.4"/>
    <row r="104" spans="16:24" ht="30.5" thickBot="1" x14ac:dyDescent="0.85">
      <c r="U104" s="145" t="s">
        <v>417</v>
      </c>
      <c r="V104" s="218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340</v>
      </c>
    </row>
    <row r="134" spans="3:24" ht="28.5" x14ac:dyDescent="0.65">
      <c r="T134" s="147"/>
    </row>
    <row r="135" spans="3:24" ht="28.5" x14ac:dyDescent="0.65">
      <c r="P135" s="135" t="str">
        <f>P62</f>
        <v>R45</v>
      </c>
      <c r="Q135" s="162" t="str">
        <f>Q62</f>
        <v xml:space="preserve"> =</v>
      </c>
      <c r="R135" s="135">
        <f>R62</f>
        <v>0.66666666666666663</v>
      </c>
      <c r="S135" s="158" t="str">
        <f>S62</f>
        <v>Ω</v>
      </c>
      <c r="T135" s="147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35" t="str">
        <f>P98</f>
        <v>R123</v>
      </c>
      <c r="Q136" s="162" t="str">
        <f>Q98</f>
        <v xml:space="preserve"> =</v>
      </c>
      <c r="R136" s="135">
        <f>R98</f>
        <v>0.83333333333333326</v>
      </c>
      <c r="S136" s="158" t="str">
        <f>S98</f>
        <v>Ω</v>
      </c>
      <c r="T136" s="147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48"/>
      <c r="Q137" s="163"/>
      <c r="R137" s="147"/>
      <c r="S137" s="182"/>
      <c r="T137" s="147"/>
      <c r="U137" s="13" t="str">
        <f>U183</f>
        <v>I6 = I12345 = I123456</v>
      </c>
      <c r="V137" s="215" t="str">
        <f>V183</f>
        <v xml:space="preserve"> =</v>
      </c>
      <c r="W137" s="13">
        <f>W183</f>
        <v>1.7326203208556152</v>
      </c>
      <c r="X137" s="183" t="str">
        <f>X183</f>
        <v>A</v>
      </c>
    </row>
    <row r="140" spans="3:24" ht="32.5" x14ac:dyDescent="0.85">
      <c r="P140" s="146" t="s">
        <v>367</v>
      </c>
      <c r="Q140" s="150" t="s">
        <v>346</v>
      </c>
      <c r="R140" s="139" t="s">
        <v>368</v>
      </c>
      <c r="S140" s="194"/>
      <c r="U140" s="175" t="s">
        <v>388</v>
      </c>
      <c r="V140" s="213" t="s">
        <v>346</v>
      </c>
      <c r="W140" s="177" t="s">
        <v>382</v>
      </c>
      <c r="X140" s="208"/>
    </row>
    <row r="141" spans="3:24" ht="32.5" x14ac:dyDescent="0.85">
      <c r="P141" s="159" t="s">
        <v>367</v>
      </c>
      <c r="Q141" s="155" t="s">
        <v>346</v>
      </c>
      <c r="R141" s="160">
        <f>1/(1/R135+1/R136)</f>
        <v>0.37037037037037035</v>
      </c>
      <c r="S141" s="195" t="s">
        <v>334</v>
      </c>
      <c r="U141" s="180" t="s">
        <v>421</v>
      </c>
      <c r="V141" s="214" t="s">
        <v>346</v>
      </c>
      <c r="W141" s="181">
        <f>W137*W135</f>
        <v>0.64171122994652408</v>
      </c>
      <c r="X141" s="181" t="s">
        <v>333</v>
      </c>
    </row>
    <row r="143" spans="3:24" ht="32.5" x14ac:dyDescent="0.85">
      <c r="U143" s="175" t="s">
        <v>389</v>
      </c>
      <c r="V143" s="213" t="s">
        <v>346</v>
      </c>
      <c r="W143" s="177" t="s">
        <v>384</v>
      </c>
      <c r="X143" s="208"/>
    </row>
    <row r="144" spans="3:24" ht="32.5" x14ac:dyDescent="0.85">
      <c r="U144" s="180" t="s">
        <v>389</v>
      </c>
      <c r="V144" s="214" t="s">
        <v>346</v>
      </c>
      <c r="W144" s="181">
        <f>W137*W136</f>
        <v>3.4652406417112305</v>
      </c>
      <c r="X144" s="181" t="s">
        <v>333</v>
      </c>
    </row>
    <row r="145" spans="21:24" ht="29" thickBot="1" x14ac:dyDescent="0.7">
      <c r="W145" s="168"/>
      <c r="X145" s="147"/>
    </row>
    <row r="146" spans="21:24" ht="33" thickBot="1" x14ac:dyDescent="0.9">
      <c r="U146" s="149" t="s">
        <v>390</v>
      </c>
      <c r="V146" s="217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339</v>
      </c>
    </row>
    <row r="171" spans="3:24" x14ac:dyDescent="0.35">
      <c r="E171" s="183">
        <f>$W$273</f>
        <v>7.8930481283422456</v>
      </c>
    </row>
    <row r="172" spans="3:24" ht="18.5" customHeight="1" x14ac:dyDescent="0.6">
      <c r="P172" s="135" t="str">
        <f>P10</f>
        <v>R6</v>
      </c>
      <c r="Q172" s="162" t="str">
        <f>Q10</f>
        <v xml:space="preserve"> =</v>
      </c>
      <c r="R172" s="135">
        <f>R10</f>
        <v>2</v>
      </c>
      <c r="S172" s="158" t="str">
        <f>S10</f>
        <v>Ω</v>
      </c>
      <c r="T172" s="143"/>
      <c r="U172" s="178" t="str">
        <f>U226</f>
        <v>U9 = U123456789 = U78 = U123456</v>
      </c>
      <c r="V172" s="216" t="str">
        <f>V226</f>
        <v xml:space="preserve"> =</v>
      </c>
      <c r="W172" s="178">
        <f>W226</f>
        <v>4.1069518716577544</v>
      </c>
      <c r="X172" s="184" t="str">
        <f>X226</f>
        <v>V</v>
      </c>
    </row>
    <row r="173" spans="3:24" ht="26" x14ac:dyDescent="0.6">
      <c r="P173" s="135" t="str">
        <f>P141</f>
        <v>R12345</v>
      </c>
      <c r="Q173" s="162" t="str">
        <f>Q141</f>
        <v xml:space="preserve"> =</v>
      </c>
      <c r="R173" s="135">
        <f>R141</f>
        <v>0.37037037037037035</v>
      </c>
      <c r="S173" s="158" t="str">
        <f>S141</f>
        <v>Ω</v>
      </c>
      <c r="T173" s="143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15" t="str">
        <f>V217</f>
        <v xml:space="preserve"> =</v>
      </c>
      <c r="W176" s="13">
        <f>W217</f>
        <v>7.8930481283422456</v>
      </c>
      <c r="X176" s="183" t="str">
        <f>X217</f>
        <v>A</v>
      </c>
    </row>
    <row r="177" spans="4:24" x14ac:dyDescent="0.35">
      <c r="F177" s="178"/>
    </row>
    <row r="178" spans="4:24" x14ac:dyDescent="0.35">
      <c r="F178" s="178">
        <f>$W$226</f>
        <v>4.1069518716577544</v>
      </c>
      <c r="I178" s="178">
        <f>$W$226</f>
        <v>4.1069518716577544</v>
      </c>
    </row>
    <row r="179" spans="4:24" ht="30" x14ac:dyDescent="0.8">
      <c r="D179" s="184">
        <f>$W$229</f>
        <v>7.8930481283422456</v>
      </c>
      <c r="P179" s="140" t="s">
        <v>369</v>
      </c>
      <c r="Q179" s="150" t="s">
        <v>346</v>
      </c>
      <c r="R179" s="141" t="s">
        <v>370</v>
      </c>
      <c r="S179" s="196"/>
      <c r="U179" s="142" t="s">
        <v>379</v>
      </c>
      <c r="V179" s="213" t="s">
        <v>346</v>
      </c>
      <c r="W179" s="164" t="s">
        <v>378</v>
      </c>
      <c r="X179" s="209"/>
    </row>
    <row r="180" spans="4:24" ht="30" x14ac:dyDescent="0.8">
      <c r="P180" s="166" t="s">
        <v>369</v>
      </c>
      <c r="Q180" s="155" t="s">
        <v>346</v>
      </c>
      <c r="R180" s="167">
        <f>R172+R173</f>
        <v>2.3703703703703702</v>
      </c>
      <c r="S180" s="197" t="s">
        <v>334</v>
      </c>
      <c r="U180" s="170" t="s">
        <v>379</v>
      </c>
      <c r="V180" s="214" t="s">
        <v>346</v>
      </c>
      <c r="W180" s="171">
        <f>W172/W174</f>
        <v>6.1604278074866317</v>
      </c>
      <c r="X180" s="171" t="s">
        <v>44</v>
      </c>
    </row>
    <row r="182" spans="4:24" ht="30" x14ac:dyDescent="0.8">
      <c r="U182" s="142" t="s">
        <v>381</v>
      </c>
      <c r="V182" s="213" t="s">
        <v>346</v>
      </c>
      <c r="W182" s="164" t="s">
        <v>380</v>
      </c>
      <c r="X182" s="209"/>
    </row>
    <row r="183" spans="4:24" ht="30" x14ac:dyDescent="0.8">
      <c r="U183" s="170" t="s">
        <v>425</v>
      </c>
      <c r="V183" s="214" t="s">
        <v>346</v>
      </c>
      <c r="W183" s="171">
        <f>W172/W173</f>
        <v>1.7326203208556152</v>
      </c>
      <c r="X183" s="171" t="s">
        <v>44</v>
      </c>
    </row>
    <row r="185" spans="4:24" ht="16" thickBot="1" x14ac:dyDescent="0.4"/>
    <row r="186" spans="4:24" ht="30.5" thickBot="1" x14ac:dyDescent="0.85">
      <c r="U186" s="145" t="s">
        <v>342</v>
      </c>
      <c r="V186" s="218">
        <f>IF(W180+W183=W273,1,-1)</f>
        <v>1</v>
      </c>
      <c r="W186" s="189"/>
      <c r="X186" s="205"/>
    </row>
    <row r="187" spans="4:24" ht="26" x14ac:dyDescent="0.6">
      <c r="G187" s="183">
        <f>W180</f>
        <v>6.1604278074866317</v>
      </c>
      <c r="I187" s="183">
        <f>$W$183</f>
        <v>1.7326203208556152</v>
      </c>
      <c r="U187" s="204"/>
      <c r="V187" s="219"/>
      <c r="W187" s="205"/>
      <c r="X187" s="205"/>
    </row>
    <row r="188" spans="4:24" ht="26" x14ac:dyDescent="0.6">
      <c r="W188" s="169"/>
      <c r="X188" s="143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338</v>
      </c>
    </row>
    <row r="217" spans="3:24" x14ac:dyDescent="0.35">
      <c r="P217" s="135" t="str">
        <f>P101</f>
        <v>R789</v>
      </c>
      <c r="Q217" s="162" t="str">
        <f>Q101</f>
        <v xml:space="preserve"> =</v>
      </c>
      <c r="R217" s="135">
        <f>R101</f>
        <v>0.66666666666666663</v>
      </c>
      <c r="S217" s="158" t="str">
        <f>S101</f>
        <v>Ω</v>
      </c>
      <c r="U217" s="13" t="str">
        <f>U273</f>
        <v>I10 = I123456789 = ITot</v>
      </c>
      <c r="V217" s="215" t="str">
        <f>V273</f>
        <v xml:space="preserve"> =</v>
      </c>
      <c r="W217" s="13">
        <f>W273</f>
        <v>7.8930481283422456</v>
      </c>
      <c r="X217" s="183" t="str">
        <f>X273</f>
        <v>A</v>
      </c>
    </row>
    <row r="218" spans="3:24" x14ac:dyDescent="0.35">
      <c r="P218" s="135" t="str">
        <f>P180</f>
        <v>R123456</v>
      </c>
      <c r="Q218" s="162" t="str">
        <f>Q180</f>
        <v xml:space="preserve"> =</v>
      </c>
      <c r="R218" s="135">
        <f>R180</f>
        <v>2.3703703703703702</v>
      </c>
      <c r="S218" s="158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3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4">
        <f>$W$229</f>
        <v>7.8930481283422456</v>
      </c>
    </row>
    <row r="225" spans="9:24" ht="30" x14ac:dyDescent="0.8">
      <c r="I225" s="178">
        <f>$W$226</f>
        <v>4.1069518716577544</v>
      </c>
      <c r="P225" s="140" t="s">
        <v>371</v>
      </c>
      <c r="Q225" s="150" t="s">
        <v>346</v>
      </c>
      <c r="R225" s="141" t="s">
        <v>372</v>
      </c>
      <c r="S225" s="196"/>
      <c r="T225" s="143"/>
      <c r="U225" s="172" t="s">
        <v>386</v>
      </c>
      <c r="V225" s="213" t="s">
        <v>346</v>
      </c>
      <c r="W225" s="176" t="s">
        <v>376</v>
      </c>
      <c r="X225" s="210"/>
    </row>
    <row r="226" spans="9:24" ht="30" x14ac:dyDescent="0.8">
      <c r="P226" s="166" t="s">
        <v>371</v>
      </c>
      <c r="Q226" s="155" t="s">
        <v>346</v>
      </c>
      <c r="R226" s="167">
        <f>1/(1/R217+1/R218)</f>
        <v>0.52032520325203258</v>
      </c>
      <c r="S226" s="197" t="s">
        <v>334</v>
      </c>
      <c r="T226" s="143"/>
      <c r="U226" s="173" t="s">
        <v>420</v>
      </c>
      <c r="V226" s="214" t="s">
        <v>346</v>
      </c>
      <c r="W226" s="174">
        <f>W218*W217</f>
        <v>4.1069518716577544</v>
      </c>
      <c r="X226" s="174" t="s">
        <v>333</v>
      </c>
    </row>
    <row r="227" spans="9:24" ht="26" x14ac:dyDescent="0.6">
      <c r="P227" s="144"/>
      <c r="Q227" s="189"/>
      <c r="R227" s="143"/>
      <c r="S227" s="161"/>
      <c r="T227" s="143"/>
    </row>
    <row r="228" spans="9:24" ht="30" x14ac:dyDescent="0.8">
      <c r="P228" s="144"/>
      <c r="Q228" s="189"/>
      <c r="R228" s="143"/>
      <c r="S228" s="161"/>
      <c r="T228" s="143"/>
      <c r="U228" s="172" t="s">
        <v>385</v>
      </c>
      <c r="V228" s="213" t="s">
        <v>346</v>
      </c>
      <c r="W228" s="164" t="s">
        <v>377</v>
      </c>
      <c r="X228" s="210"/>
    </row>
    <row r="229" spans="9:24" ht="30" x14ac:dyDescent="0.8">
      <c r="U229" s="173" t="s">
        <v>385</v>
      </c>
      <c r="V229" s="214" t="s">
        <v>346</v>
      </c>
      <c r="W229" s="174">
        <f>W217*W219</f>
        <v>7.8930481283422456</v>
      </c>
      <c r="X229" s="174" t="s">
        <v>333</v>
      </c>
    </row>
    <row r="230" spans="9:24" ht="26" x14ac:dyDescent="0.6">
      <c r="W230" s="169"/>
      <c r="X230" s="143"/>
    </row>
    <row r="231" spans="9:24" ht="16" thickBot="1" x14ac:dyDescent="0.4"/>
    <row r="232" spans="9:24" ht="30.5" thickBot="1" x14ac:dyDescent="0.85">
      <c r="U232" s="145" t="s">
        <v>387</v>
      </c>
      <c r="V232" s="218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337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35" t="str">
        <f>P14</f>
        <v>R10</v>
      </c>
      <c r="Q267" s="162" t="str">
        <f>Q14</f>
        <v xml:space="preserve"> =</v>
      </c>
      <c r="R267" s="135">
        <f>R14</f>
        <v>1</v>
      </c>
      <c r="S267" s="158" t="str">
        <f>S14</f>
        <v>Ω</v>
      </c>
      <c r="U267" s="178" t="str">
        <f>U15</f>
        <v>UTot</v>
      </c>
      <c r="V267" s="216" t="str">
        <f>V15</f>
        <v xml:space="preserve"> =</v>
      </c>
      <c r="W267" s="178">
        <f>W15</f>
        <v>12</v>
      </c>
      <c r="X267" s="184" t="str">
        <f>X15</f>
        <v>V</v>
      </c>
    </row>
    <row r="268" spans="3:24" x14ac:dyDescent="0.35">
      <c r="H268" s="183">
        <f>$W$273</f>
        <v>7.8930481283422456</v>
      </c>
      <c r="P268" s="135" t="str">
        <f>P226</f>
        <v>R123456789</v>
      </c>
      <c r="Q268" s="162" t="str">
        <f>Q226</f>
        <v xml:space="preserve"> =</v>
      </c>
      <c r="R268" s="135">
        <f>R226</f>
        <v>0.52032520325203258</v>
      </c>
      <c r="S268" s="158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0" t="s">
        <v>375</v>
      </c>
      <c r="Q272" s="150" t="s">
        <v>346</v>
      </c>
      <c r="R272" s="141" t="s">
        <v>373</v>
      </c>
      <c r="S272" s="196"/>
      <c r="U272" s="142" t="s">
        <v>374</v>
      </c>
      <c r="V272" s="213" t="s">
        <v>346</v>
      </c>
      <c r="W272" s="164" t="s">
        <v>383</v>
      </c>
      <c r="X272" s="211"/>
    </row>
    <row r="273" spans="9:24" ht="30" x14ac:dyDescent="0.8">
      <c r="I273" s="179">
        <f>W267</f>
        <v>12</v>
      </c>
      <c r="P273" s="166" t="s">
        <v>375</v>
      </c>
      <c r="Q273" s="155" t="s">
        <v>346</v>
      </c>
      <c r="R273" s="167">
        <f>R267+R268</f>
        <v>1.5203252032520327</v>
      </c>
      <c r="S273" s="197" t="s">
        <v>334</v>
      </c>
      <c r="U273" s="170" t="s">
        <v>424</v>
      </c>
      <c r="V273" s="220" t="s">
        <v>346</v>
      </c>
      <c r="W273" s="171">
        <f>W267/W268</f>
        <v>7.8930481283422456</v>
      </c>
      <c r="X273" s="171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5E31-BD52-49B7-B221-15FC507F40B8}">
  <dimension ref="C2"/>
  <sheetViews>
    <sheetView showGridLines="0" workbookViewId="0">
      <selection activeCell="C2" sqref="C2"/>
    </sheetView>
  </sheetViews>
  <sheetFormatPr baseColWidth="10" defaultRowHeight="14.5" x14ac:dyDescent="0.35"/>
  <sheetData>
    <row r="2" spans="3:3" ht="23.5" x14ac:dyDescent="0.55000000000000004">
      <c r="C2" s="22" t="s">
        <v>503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D7C9-FA96-41B1-AAEB-6B6309042A17}">
  <dimension ref="C2:M89"/>
  <sheetViews>
    <sheetView showGridLines="0" workbookViewId="0">
      <selection activeCell="F26" sqref="F26"/>
    </sheetView>
  </sheetViews>
  <sheetFormatPr baseColWidth="10" defaultRowHeight="14.5" x14ac:dyDescent="0.35"/>
  <sheetData>
    <row r="2" spans="3:3" ht="23.5" x14ac:dyDescent="0.55000000000000004">
      <c r="C2" s="22" t="s">
        <v>504</v>
      </c>
    </row>
    <row r="21" spans="3:13" ht="15" thickBot="1" x14ac:dyDescent="0.4"/>
    <row r="22" spans="3:13" ht="16.5" x14ac:dyDescent="0.45">
      <c r="C22" s="276" t="s">
        <v>513</v>
      </c>
      <c r="D22" s="277" t="s">
        <v>429</v>
      </c>
      <c r="E22" s="277" t="s">
        <v>430</v>
      </c>
      <c r="F22" s="277" t="s">
        <v>505</v>
      </c>
      <c r="G22" s="277" t="s">
        <v>506</v>
      </c>
      <c r="H22" s="278" t="s">
        <v>507</v>
      </c>
      <c r="L22" t="s">
        <v>524</v>
      </c>
      <c r="M22" t="s">
        <v>525</v>
      </c>
    </row>
    <row r="23" spans="3:13" x14ac:dyDescent="0.35">
      <c r="C23" s="279" t="s">
        <v>509</v>
      </c>
      <c r="D23" s="4">
        <v>0</v>
      </c>
      <c r="E23" s="4">
        <v>0</v>
      </c>
      <c r="F23" s="92">
        <f>D23*E24</f>
        <v>0</v>
      </c>
      <c r="G23" s="92">
        <f>D24*E23</f>
        <v>0</v>
      </c>
      <c r="H23" s="283">
        <f>F23-G23</f>
        <v>0</v>
      </c>
      <c r="L23">
        <f>D23+D24</f>
        <v>4</v>
      </c>
    </row>
    <row r="24" spans="3:13" x14ac:dyDescent="0.35">
      <c r="C24" s="279" t="s">
        <v>510</v>
      </c>
      <c r="D24" s="4">
        <v>4</v>
      </c>
      <c r="E24" s="4">
        <v>0</v>
      </c>
      <c r="F24" s="92">
        <f>D24*E25</f>
        <v>12</v>
      </c>
      <c r="G24" s="92">
        <f>D25*E24</f>
        <v>0</v>
      </c>
      <c r="H24" s="283">
        <f t="shared" ref="H24" si="0">F24-G24</f>
        <v>12</v>
      </c>
    </row>
    <row r="25" spans="3:13" x14ac:dyDescent="0.35">
      <c r="C25" s="279" t="s">
        <v>511</v>
      </c>
      <c r="D25" s="4">
        <v>2</v>
      </c>
      <c r="E25" s="4">
        <v>3</v>
      </c>
      <c r="F25" s="92">
        <f t="shared" ref="F25:F36" si="1">D25*E26</f>
        <v>6</v>
      </c>
      <c r="G25" s="92">
        <f t="shared" ref="G25:G36" si="2">D26*E25</f>
        <v>3</v>
      </c>
      <c r="H25" s="283">
        <f t="shared" ref="H25:H36" si="3">F25-G25</f>
        <v>3</v>
      </c>
    </row>
    <row r="26" spans="3:13" x14ac:dyDescent="0.35">
      <c r="C26" s="279" t="s">
        <v>512</v>
      </c>
      <c r="D26" s="4">
        <v>1</v>
      </c>
      <c r="E26" s="4">
        <v>3</v>
      </c>
      <c r="F26" s="92">
        <f t="shared" si="1"/>
        <v>0</v>
      </c>
      <c r="G26" s="92">
        <f t="shared" si="2"/>
        <v>0</v>
      </c>
      <c r="H26" s="283">
        <f t="shared" si="3"/>
        <v>0</v>
      </c>
    </row>
    <row r="27" spans="3:13" x14ac:dyDescent="0.35">
      <c r="C27" s="279" t="s">
        <v>514</v>
      </c>
      <c r="D27" s="4">
        <v>0</v>
      </c>
      <c r="E27" s="4">
        <v>0</v>
      </c>
      <c r="F27" s="92">
        <f t="shared" si="1"/>
        <v>0</v>
      </c>
      <c r="G27" s="92">
        <f t="shared" si="2"/>
        <v>0</v>
      </c>
      <c r="H27" s="283">
        <f t="shared" si="3"/>
        <v>0</v>
      </c>
    </row>
    <row r="28" spans="3:13" x14ac:dyDescent="0.35">
      <c r="C28" s="279" t="s">
        <v>515</v>
      </c>
      <c r="D28" s="4">
        <v>0</v>
      </c>
      <c r="E28" s="4">
        <v>0</v>
      </c>
      <c r="F28" s="92">
        <f t="shared" si="1"/>
        <v>0</v>
      </c>
      <c r="G28" s="92">
        <f t="shared" si="2"/>
        <v>0</v>
      </c>
      <c r="H28" s="283">
        <f t="shared" si="3"/>
        <v>0</v>
      </c>
    </row>
    <row r="29" spans="3:13" x14ac:dyDescent="0.35">
      <c r="C29" s="279" t="s">
        <v>516</v>
      </c>
      <c r="D29" s="4">
        <v>0</v>
      </c>
      <c r="E29" s="4">
        <v>0</v>
      </c>
      <c r="F29" s="92">
        <f t="shared" si="1"/>
        <v>0</v>
      </c>
      <c r="G29" s="92">
        <f t="shared" si="2"/>
        <v>0</v>
      </c>
      <c r="H29" s="283">
        <f t="shared" si="3"/>
        <v>0</v>
      </c>
    </row>
    <row r="30" spans="3:13" x14ac:dyDescent="0.35">
      <c r="C30" s="279" t="s">
        <v>517</v>
      </c>
      <c r="D30" s="4">
        <v>0</v>
      </c>
      <c r="E30" s="4">
        <v>0</v>
      </c>
      <c r="F30" s="92">
        <f t="shared" si="1"/>
        <v>0</v>
      </c>
      <c r="G30" s="92">
        <f t="shared" si="2"/>
        <v>0</v>
      </c>
      <c r="H30" s="283">
        <f t="shared" si="3"/>
        <v>0</v>
      </c>
    </row>
    <row r="31" spans="3:13" x14ac:dyDescent="0.35">
      <c r="C31" s="279" t="s">
        <v>518</v>
      </c>
      <c r="D31" s="4">
        <v>0</v>
      </c>
      <c r="E31" s="4">
        <v>0</v>
      </c>
      <c r="F31" s="92">
        <f t="shared" si="1"/>
        <v>0</v>
      </c>
      <c r="G31" s="92">
        <f t="shared" si="2"/>
        <v>0</v>
      </c>
      <c r="H31" s="283">
        <f t="shared" si="3"/>
        <v>0</v>
      </c>
    </row>
    <row r="32" spans="3:13" x14ac:dyDescent="0.35">
      <c r="C32" s="279" t="s">
        <v>519</v>
      </c>
      <c r="D32" s="4">
        <v>0</v>
      </c>
      <c r="E32" s="4">
        <v>0</v>
      </c>
      <c r="F32" s="92">
        <f t="shared" si="1"/>
        <v>0</v>
      </c>
      <c r="G32" s="92">
        <f t="shared" si="2"/>
        <v>0</v>
      </c>
      <c r="H32" s="283">
        <f t="shared" si="3"/>
        <v>0</v>
      </c>
    </row>
    <row r="33" spans="3:12" x14ac:dyDescent="0.35">
      <c r="C33" s="279" t="s">
        <v>520</v>
      </c>
      <c r="D33" s="4">
        <v>0</v>
      </c>
      <c r="E33" s="4">
        <v>0</v>
      </c>
      <c r="F33" s="92">
        <f t="shared" si="1"/>
        <v>0</v>
      </c>
      <c r="G33" s="92">
        <f t="shared" si="2"/>
        <v>0</v>
      </c>
      <c r="H33" s="283">
        <f t="shared" si="3"/>
        <v>0</v>
      </c>
    </row>
    <row r="34" spans="3:12" x14ac:dyDescent="0.35">
      <c r="C34" s="279" t="s">
        <v>521</v>
      </c>
      <c r="D34" s="4">
        <v>0</v>
      </c>
      <c r="E34" s="4">
        <v>0</v>
      </c>
      <c r="F34" s="92">
        <f t="shared" si="1"/>
        <v>0</v>
      </c>
      <c r="G34" s="92">
        <f t="shared" si="2"/>
        <v>0</v>
      </c>
      <c r="H34" s="283">
        <f t="shared" si="3"/>
        <v>0</v>
      </c>
    </row>
    <row r="35" spans="3:12" x14ac:dyDescent="0.35">
      <c r="C35" s="279" t="s">
        <v>522</v>
      </c>
      <c r="D35" s="4">
        <v>0</v>
      </c>
      <c r="E35" s="4">
        <v>0</v>
      </c>
      <c r="F35" s="92">
        <f t="shared" si="1"/>
        <v>0</v>
      </c>
      <c r="G35" s="92">
        <f t="shared" si="2"/>
        <v>0</v>
      </c>
      <c r="H35" s="283">
        <f t="shared" si="3"/>
        <v>0</v>
      </c>
    </row>
    <row r="36" spans="3:12" x14ac:dyDescent="0.35">
      <c r="C36" s="279" t="s">
        <v>523</v>
      </c>
      <c r="D36" s="4">
        <v>0</v>
      </c>
      <c r="E36" s="4">
        <v>0</v>
      </c>
      <c r="F36" s="92">
        <f t="shared" si="1"/>
        <v>0</v>
      </c>
      <c r="G36" s="92">
        <f t="shared" si="2"/>
        <v>0</v>
      </c>
      <c r="H36" s="283">
        <f t="shared" si="3"/>
        <v>0</v>
      </c>
    </row>
    <row r="37" spans="3:12" ht="19" thickBot="1" x14ac:dyDescent="0.5">
      <c r="C37" s="280" t="s">
        <v>508</v>
      </c>
      <c r="D37" s="281"/>
      <c r="E37" s="281"/>
      <c r="F37" s="281"/>
      <c r="G37" s="281"/>
      <c r="H37" s="282">
        <f>ABS(SUM(H23:H36))/2</f>
        <v>7.5</v>
      </c>
    </row>
    <row r="38" spans="3:12" x14ac:dyDescent="0.35">
      <c r="C38" s="1"/>
    </row>
    <row r="39" spans="3:12" x14ac:dyDescent="0.35">
      <c r="C39" s="1"/>
    </row>
    <row r="40" spans="3:12" x14ac:dyDescent="0.35">
      <c r="C40" s="1"/>
    </row>
    <row r="41" spans="3:12" x14ac:dyDescent="0.35">
      <c r="C41" s="1"/>
    </row>
    <row r="42" spans="3:12" x14ac:dyDescent="0.35">
      <c r="C42" s="1"/>
      <c r="D42" s="285" t="s">
        <v>526</v>
      </c>
      <c r="E42" s="285"/>
      <c r="F42" s="285"/>
      <c r="G42" s="285"/>
      <c r="H42" s="285"/>
      <c r="I42" s="285"/>
      <c r="J42" s="285"/>
      <c r="K42" s="284"/>
      <c r="L42" s="284"/>
    </row>
    <row r="43" spans="3:12" x14ac:dyDescent="0.35">
      <c r="D43" s="285" t="s">
        <v>527</v>
      </c>
      <c r="E43" s="285"/>
      <c r="F43" s="285"/>
      <c r="G43" s="285"/>
      <c r="H43" s="285"/>
      <c r="I43" s="285"/>
      <c r="J43" s="285"/>
      <c r="K43" s="284"/>
      <c r="L43" s="284"/>
    </row>
    <row r="44" spans="3:12" x14ac:dyDescent="0.35">
      <c r="D44" s="285" t="s">
        <v>528</v>
      </c>
      <c r="E44" s="285"/>
      <c r="F44" s="285"/>
      <c r="G44" s="285"/>
      <c r="H44" s="285"/>
      <c r="I44" s="285"/>
      <c r="J44" s="285"/>
      <c r="K44" s="284"/>
      <c r="L44" s="284"/>
    </row>
    <row r="45" spans="3:12" x14ac:dyDescent="0.35">
      <c r="D45" s="285" t="s">
        <v>529</v>
      </c>
      <c r="E45" s="285"/>
      <c r="F45" s="285"/>
      <c r="G45" s="285"/>
      <c r="H45" s="285"/>
      <c r="I45" s="285"/>
      <c r="J45" s="285"/>
      <c r="K45" s="284"/>
      <c r="L45" s="284"/>
    </row>
    <row r="46" spans="3:12" x14ac:dyDescent="0.35">
      <c r="D46" s="285" t="s">
        <v>530</v>
      </c>
      <c r="E46" s="285"/>
      <c r="F46" s="285"/>
      <c r="G46" s="285"/>
      <c r="H46" s="285"/>
      <c r="I46" s="285"/>
      <c r="J46" s="285"/>
      <c r="K46" s="284"/>
      <c r="L46" s="284"/>
    </row>
    <row r="47" spans="3:12" x14ac:dyDescent="0.35">
      <c r="D47" s="285" t="s">
        <v>531</v>
      </c>
      <c r="E47" s="285"/>
      <c r="F47" s="285"/>
      <c r="G47" s="285"/>
      <c r="H47" s="285"/>
      <c r="I47" s="285"/>
      <c r="J47" s="285"/>
      <c r="K47" s="284"/>
      <c r="L47" s="284"/>
    </row>
    <row r="48" spans="3:12" x14ac:dyDescent="0.35">
      <c r="D48" s="285" t="s">
        <v>532</v>
      </c>
      <c r="E48" s="285"/>
      <c r="F48" s="285"/>
      <c r="G48" s="285"/>
      <c r="H48" s="285"/>
      <c r="I48" s="285"/>
      <c r="J48" s="285"/>
      <c r="K48" s="284"/>
      <c r="L48" s="284"/>
    </row>
    <row r="49" spans="4:12" x14ac:dyDescent="0.35">
      <c r="D49" s="285" t="s">
        <v>533</v>
      </c>
      <c r="E49" s="285"/>
      <c r="F49" s="285"/>
      <c r="G49" s="285"/>
      <c r="H49" s="285"/>
      <c r="I49" s="285"/>
      <c r="J49" s="285"/>
      <c r="K49" s="284"/>
      <c r="L49" s="284"/>
    </row>
    <row r="50" spans="4:12" x14ac:dyDescent="0.35">
      <c r="D50" s="285" t="s">
        <v>534</v>
      </c>
      <c r="E50" s="285"/>
      <c r="F50" s="285"/>
      <c r="G50" s="285"/>
      <c r="H50" s="285"/>
      <c r="I50" s="285"/>
      <c r="J50" s="285"/>
      <c r="K50" s="284"/>
      <c r="L50" s="284"/>
    </row>
    <row r="51" spans="4:12" x14ac:dyDescent="0.35">
      <c r="D51" s="285" t="s">
        <v>535</v>
      </c>
      <c r="E51" s="285"/>
      <c r="F51" s="285"/>
      <c r="G51" s="285"/>
      <c r="H51" s="285"/>
      <c r="I51" s="285"/>
      <c r="J51" s="285"/>
      <c r="K51" s="284"/>
      <c r="L51" s="284"/>
    </row>
    <row r="52" spans="4:12" x14ac:dyDescent="0.35">
      <c r="D52" s="285" t="s">
        <v>527</v>
      </c>
      <c r="E52" s="285"/>
      <c r="F52" s="285"/>
      <c r="G52" s="285"/>
      <c r="H52" s="285"/>
      <c r="I52" s="285"/>
      <c r="J52" s="285"/>
      <c r="K52" s="284"/>
      <c r="L52" s="284"/>
    </row>
    <row r="53" spans="4:12" x14ac:dyDescent="0.35">
      <c r="D53" s="285" t="s">
        <v>536</v>
      </c>
      <c r="E53" s="285"/>
      <c r="F53" s="285"/>
      <c r="G53" s="285"/>
      <c r="H53" s="285"/>
      <c r="I53" s="285"/>
      <c r="J53" s="285"/>
      <c r="K53" s="284"/>
      <c r="L53" s="284"/>
    </row>
    <row r="54" spans="4:12" x14ac:dyDescent="0.35">
      <c r="D54" s="285" t="s">
        <v>537</v>
      </c>
      <c r="E54" s="285"/>
      <c r="F54" s="285"/>
      <c r="G54" s="285"/>
      <c r="H54" s="285"/>
      <c r="I54" s="285"/>
      <c r="J54" s="285"/>
      <c r="K54" s="284"/>
      <c r="L54" s="284"/>
    </row>
    <row r="55" spans="4:12" x14ac:dyDescent="0.35">
      <c r="D55" s="285" t="s">
        <v>538</v>
      </c>
      <c r="E55" s="285"/>
      <c r="F55" s="285"/>
      <c r="G55" s="285"/>
      <c r="H55" s="285"/>
      <c r="I55" s="285"/>
      <c r="J55" s="285"/>
      <c r="K55" s="284"/>
      <c r="L55" s="284"/>
    </row>
    <row r="56" spans="4:12" x14ac:dyDescent="0.35">
      <c r="D56" s="285"/>
      <c r="E56" s="285"/>
      <c r="F56" s="285"/>
      <c r="G56" s="285"/>
      <c r="H56" s="285"/>
      <c r="I56" s="285"/>
      <c r="J56" s="285"/>
      <c r="K56" s="284"/>
      <c r="L56" s="284"/>
    </row>
    <row r="57" spans="4:12" x14ac:dyDescent="0.35">
      <c r="D57" s="285" t="s">
        <v>539</v>
      </c>
      <c r="E57" s="285"/>
      <c r="F57" s="285"/>
      <c r="G57" s="285"/>
      <c r="H57" s="285"/>
      <c r="I57" s="285"/>
      <c r="J57" s="285"/>
      <c r="K57" s="284"/>
      <c r="L57" s="284"/>
    </row>
    <row r="58" spans="4:12" x14ac:dyDescent="0.35">
      <c r="D58" s="285" t="s">
        <v>540</v>
      </c>
      <c r="E58" s="285"/>
      <c r="F58" s="285"/>
      <c r="G58" s="285"/>
      <c r="H58" s="285"/>
      <c r="I58" s="285"/>
      <c r="J58" s="285"/>
      <c r="K58" s="284"/>
      <c r="L58" s="284"/>
    </row>
    <row r="59" spans="4:12" x14ac:dyDescent="0.35">
      <c r="D59" s="285"/>
      <c r="E59" s="285"/>
      <c r="F59" s="285"/>
      <c r="G59" s="285"/>
      <c r="H59" s="285"/>
      <c r="I59" s="285"/>
      <c r="J59" s="285"/>
      <c r="K59" s="284"/>
      <c r="L59" s="284"/>
    </row>
    <row r="60" spans="4:12" x14ac:dyDescent="0.35">
      <c r="D60" s="285" t="s">
        <v>541</v>
      </c>
      <c r="E60" s="285"/>
      <c r="F60" s="285"/>
      <c r="G60" s="285"/>
      <c r="H60" s="285"/>
      <c r="I60" s="285"/>
      <c r="J60" s="285"/>
      <c r="K60" s="284"/>
      <c r="L60" s="284"/>
    </row>
    <row r="61" spans="4:12" x14ac:dyDescent="0.35">
      <c r="D61" s="285" t="s">
        <v>542</v>
      </c>
      <c r="E61" s="285"/>
      <c r="F61" s="285"/>
      <c r="G61" s="285"/>
      <c r="H61" s="285"/>
      <c r="I61" s="285"/>
      <c r="J61" s="285"/>
      <c r="K61" s="284"/>
      <c r="L61" s="284"/>
    </row>
    <row r="62" spans="4:12" x14ac:dyDescent="0.35">
      <c r="D62" s="285" t="s">
        <v>543</v>
      </c>
      <c r="E62" s="285"/>
      <c r="F62" s="285"/>
      <c r="G62" s="285"/>
      <c r="H62" s="285"/>
      <c r="I62" s="285"/>
      <c r="J62" s="285"/>
      <c r="K62" s="284"/>
      <c r="L62" s="284"/>
    </row>
    <row r="63" spans="4:12" x14ac:dyDescent="0.35">
      <c r="D63" s="285"/>
      <c r="E63" s="285"/>
      <c r="F63" s="285"/>
      <c r="G63" s="285"/>
      <c r="H63" s="285"/>
      <c r="I63" s="285"/>
      <c r="J63" s="285"/>
      <c r="K63" s="284"/>
      <c r="L63" s="284"/>
    </row>
    <row r="64" spans="4:12" x14ac:dyDescent="0.35">
      <c r="D64" s="285" t="s">
        <v>544</v>
      </c>
      <c r="E64" s="285"/>
      <c r="F64" s="285"/>
      <c r="G64" s="285"/>
      <c r="H64" s="285"/>
      <c r="I64" s="285"/>
      <c r="J64" s="285"/>
      <c r="K64" s="284"/>
      <c r="L64" s="284"/>
    </row>
    <row r="65" spans="4:12" x14ac:dyDescent="0.35">
      <c r="D65" s="285" t="s">
        <v>545</v>
      </c>
      <c r="E65" s="285"/>
      <c r="F65" s="285"/>
      <c r="G65" s="285"/>
      <c r="H65" s="285"/>
      <c r="I65" s="285"/>
      <c r="J65" s="285"/>
      <c r="K65" s="284"/>
      <c r="L65" s="284"/>
    </row>
    <row r="66" spans="4:12" x14ac:dyDescent="0.35">
      <c r="D66" s="285" t="s">
        <v>546</v>
      </c>
      <c r="E66" s="285"/>
      <c r="F66" s="285"/>
      <c r="G66" s="285"/>
      <c r="H66" s="285"/>
      <c r="I66" s="285"/>
      <c r="J66" s="285"/>
      <c r="K66" s="284"/>
      <c r="L66" s="284"/>
    </row>
    <row r="67" spans="4:12" x14ac:dyDescent="0.35">
      <c r="D67" s="285" t="s">
        <v>547</v>
      </c>
      <c r="E67" s="285"/>
      <c r="F67" s="285"/>
      <c r="G67" s="285"/>
      <c r="H67" s="285"/>
      <c r="I67" s="285"/>
      <c r="J67" s="285"/>
      <c r="K67" s="284"/>
      <c r="L67" s="284"/>
    </row>
    <row r="68" spans="4:12" x14ac:dyDescent="0.35">
      <c r="D68" s="285" t="s">
        <v>548</v>
      </c>
      <c r="E68" s="285"/>
      <c r="F68" s="285"/>
      <c r="G68" s="285"/>
      <c r="H68" s="285"/>
      <c r="I68" s="285"/>
      <c r="J68" s="285"/>
      <c r="K68" s="284"/>
      <c r="L68" s="284"/>
    </row>
    <row r="69" spans="4:12" x14ac:dyDescent="0.35">
      <c r="D69" s="285" t="s">
        <v>549</v>
      </c>
      <c r="E69" s="285"/>
      <c r="F69" s="285"/>
      <c r="G69" s="285"/>
      <c r="H69" s="285"/>
      <c r="I69" s="285"/>
      <c r="J69" s="285"/>
      <c r="K69" s="284"/>
      <c r="L69" s="284"/>
    </row>
    <row r="70" spans="4:12" x14ac:dyDescent="0.35">
      <c r="D70" s="285" t="s">
        <v>550</v>
      </c>
      <c r="E70" s="285"/>
      <c r="F70" s="285"/>
      <c r="G70" s="285"/>
      <c r="H70" s="285"/>
      <c r="I70" s="285"/>
      <c r="J70" s="285"/>
      <c r="K70" s="284"/>
      <c r="L70" s="284"/>
    </row>
    <row r="71" spans="4:12" x14ac:dyDescent="0.35">
      <c r="D71" s="285"/>
      <c r="E71" s="285"/>
      <c r="F71" s="285"/>
      <c r="G71" s="285"/>
      <c r="H71" s="285"/>
      <c r="I71" s="285"/>
      <c r="J71" s="285"/>
      <c r="K71" s="284"/>
      <c r="L71" s="284"/>
    </row>
    <row r="72" spans="4:12" x14ac:dyDescent="0.35">
      <c r="D72" s="285" t="s">
        <v>551</v>
      </c>
      <c r="E72" s="285"/>
      <c r="F72" s="285"/>
      <c r="G72" s="285"/>
      <c r="H72" s="285"/>
      <c r="I72" s="285"/>
      <c r="J72" s="285"/>
      <c r="K72" s="284"/>
      <c r="L72" s="284"/>
    </row>
    <row r="73" spans="4:12" x14ac:dyDescent="0.35">
      <c r="D73" s="285" t="s">
        <v>552</v>
      </c>
      <c r="E73" s="285"/>
      <c r="F73" s="285"/>
      <c r="G73" s="285"/>
      <c r="H73" s="285"/>
      <c r="I73" s="285"/>
      <c r="J73" s="285"/>
      <c r="K73" s="284"/>
      <c r="L73" s="284"/>
    </row>
    <row r="74" spans="4:12" x14ac:dyDescent="0.35">
      <c r="D74" s="285" t="s">
        <v>553</v>
      </c>
      <c r="E74" s="285"/>
      <c r="F74" s="285"/>
      <c r="G74" s="285"/>
      <c r="H74" s="285"/>
      <c r="I74" s="285"/>
      <c r="J74" s="285"/>
      <c r="K74" s="284"/>
      <c r="L74" s="284"/>
    </row>
    <row r="75" spans="4:12" x14ac:dyDescent="0.35">
      <c r="D75" s="285" t="s">
        <v>529</v>
      </c>
      <c r="E75" s="285"/>
      <c r="F75" s="285"/>
      <c r="G75" s="285"/>
      <c r="H75" s="285"/>
      <c r="I75" s="285"/>
      <c r="J75" s="285"/>
      <c r="K75" s="284"/>
      <c r="L75" s="284"/>
    </row>
    <row r="76" spans="4:12" x14ac:dyDescent="0.35">
      <c r="D76" s="285" t="s">
        <v>554</v>
      </c>
      <c r="E76" s="285"/>
      <c r="F76" s="285"/>
      <c r="G76" s="285"/>
      <c r="H76" s="285"/>
      <c r="I76" s="285"/>
      <c r="J76" s="285"/>
      <c r="K76" s="284"/>
      <c r="L76" s="284"/>
    </row>
    <row r="77" spans="4:12" x14ac:dyDescent="0.35">
      <c r="D77" s="285" t="s">
        <v>555</v>
      </c>
      <c r="E77" s="285"/>
      <c r="F77" s="285"/>
      <c r="G77" s="285"/>
      <c r="H77" s="285"/>
      <c r="I77" s="285"/>
      <c r="J77" s="285"/>
      <c r="K77" s="284"/>
      <c r="L77" s="284"/>
    </row>
    <row r="78" spans="4:12" x14ac:dyDescent="0.35">
      <c r="D78" s="285"/>
      <c r="E78" s="285"/>
      <c r="F78" s="285"/>
      <c r="G78" s="285"/>
      <c r="H78" s="285"/>
      <c r="I78" s="285"/>
      <c r="J78" s="285"/>
      <c r="K78" s="284"/>
      <c r="L78" s="284"/>
    </row>
    <row r="79" spans="4:12" x14ac:dyDescent="0.35">
      <c r="D79" s="285" t="s">
        <v>556</v>
      </c>
      <c r="E79" s="285"/>
      <c r="F79" s="285"/>
      <c r="G79" s="285"/>
      <c r="H79" s="285"/>
      <c r="I79" s="285"/>
      <c r="J79" s="285"/>
      <c r="K79" s="284"/>
      <c r="L79" s="284"/>
    </row>
    <row r="80" spans="4:12" x14ac:dyDescent="0.35">
      <c r="D80" s="285"/>
      <c r="E80" s="285"/>
      <c r="F80" s="285"/>
      <c r="G80" s="285"/>
      <c r="H80" s="285"/>
      <c r="I80" s="285"/>
      <c r="J80" s="285"/>
      <c r="K80" s="284"/>
      <c r="L80" s="284"/>
    </row>
    <row r="82" spans="4:12" x14ac:dyDescent="0.35">
      <c r="D82" s="285" t="s">
        <v>557</v>
      </c>
      <c r="E82" s="285"/>
      <c r="F82" s="285"/>
      <c r="G82" s="285"/>
      <c r="H82" s="285"/>
      <c r="I82" s="285"/>
      <c r="J82" s="285"/>
      <c r="K82" s="285"/>
      <c r="L82" s="285"/>
    </row>
    <row r="83" spans="4:12" x14ac:dyDescent="0.35">
      <c r="D83" s="285" t="s">
        <v>558</v>
      </c>
      <c r="E83" s="285"/>
      <c r="F83" s="285"/>
      <c r="G83" s="285"/>
      <c r="H83" s="285"/>
      <c r="I83" s="285"/>
      <c r="J83" s="285"/>
      <c r="K83" s="285"/>
      <c r="L83" s="285"/>
    </row>
    <row r="84" spans="4:12" x14ac:dyDescent="0.35">
      <c r="D84" s="285"/>
      <c r="E84" s="285"/>
      <c r="F84" s="285"/>
      <c r="G84" s="285"/>
      <c r="H84" s="285"/>
      <c r="I84" s="285"/>
      <c r="J84" s="285"/>
      <c r="K84" s="285"/>
      <c r="L84" s="285"/>
    </row>
    <row r="85" spans="4:12" x14ac:dyDescent="0.35">
      <c r="D85" s="285" t="s">
        <v>559</v>
      </c>
      <c r="E85" s="285"/>
      <c r="F85" s="285"/>
      <c r="G85" s="285"/>
      <c r="H85" s="285"/>
      <c r="I85" s="285"/>
      <c r="J85" s="285"/>
      <c r="K85" s="285"/>
      <c r="L85" s="285"/>
    </row>
    <row r="86" spans="4:12" x14ac:dyDescent="0.35">
      <c r="D86" s="285" t="s">
        <v>560</v>
      </c>
      <c r="E86" s="285"/>
      <c r="F86" s="285"/>
      <c r="G86" s="285"/>
      <c r="H86" s="285"/>
      <c r="I86" s="285"/>
      <c r="J86" s="285"/>
      <c r="K86" s="285"/>
      <c r="L86" s="285"/>
    </row>
    <row r="88" spans="4:12" x14ac:dyDescent="0.35">
      <c r="D88" s="285" t="s">
        <v>561</v>
      </c>
      <c r="E88" s="284"/>
      <c r="F88" s="284"/>
      <c r="G88" s="284"/>
      <c r="H88" s="284"/>
      <c r="I88" s="284"/>
      <c r="J88" s="284"/>
      <c r="K88" s="284"/>
      <c r="L88" s="284"/>
    </row>
    <row r="89" spans="4:12" x14ac:dyDescent="0.35">
      <c r="D89" s="285" t="s">
        <v>562</v>
      </c>
      <c r="E89" s="284"/>
      <c r="F89" s="284"/>
      <c r="G89" s="284"/>
      <c r="H89" s="284"/>
      <c r="I89" s="284"/>
      <c r="J89" s="284"/>
      <c r="K89" s="284"/>
      <c r="L89" s="284"/>
    </row>
  </sheetData>
  <phoneticPr fontId="37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4390-BAED-44B4-AA9A-09C4333BEBF1}">
  <dimension ref="B2:AT17"/>
  <sheetViews>
    <sheetView showGridLines="0" tabSelected="1" zoomScale="70" zoomScaleNormal="70" workbookViewId="0">
      <selection activeCell="B10" sqref="B10"/>
    </sheetView>
  </sheetViews>
  <sheetFormatPr baseColWidth="10" defaultRowHeight="14.5" x14ac:dyDescent="0.35"/>
  <cols>
    <col min="2" max="2" width="7.81640625" customWidth="1"/>
    <col min="3" max="3" width="21" customWidth="1"/>
    <col min="4" max="4" width="31.6328125" customWidth="1"/>
    <col min="5" max="5" width="14.6328125" customWidth="1"/>
    <col min="6" max="6" width="16.1796875" bestFit="1" customWidth="1"/>
  </cols>
  <sheetData>
    <row r="2" spans="2:46" ht="23.5" x14ac:dyDescent="0.55000000000000004">
      <c r="C2" s="22" t="s">
        <v>579</v>
      </c>
      <c r="D2" s="105"/>
    </row>
    <row r="4" spans="2:46" ht="16.5" x14ac:dyDescent="0.45">
      <c r="E4" s="19" t="s">
        <v>563</v>
      </c>
      <c r="F4" s="4">
        <v>1</v>
      </c>
      <c r="G4" s="5" t="s">
        <v>333</v>
      </c>
      <c r="I4" s="287" t="s">
        <v>565</v>
      </c>
      <c r="J4" s="4">
        <v>120</v>
      </c>
      <c r="K4" s="5" t="s">
        <v>566</v>
      </c>
      <c r="L4" s="92">
        <f>RADIANS(J4)</f>
        <v>2.0943951023931953</v>
      </c>
      <c r="M4" s="5" t="s">
        <v>211</v>
      </c>
      <c r="T4" s="5" t="s">
        <v>488</v>
      </c>
      <c r="U4" s="92">
        <f>MIN(F8:AT8)</f>
        <v>0</v>
      </c>
      <c r="V4" s="92">
        <f>MAX(F8:AT8)</f>
        <v>400</v>
      </c>
      <c r="Y4" s="5" t="s">
        <v>489</v>
      </c>
      <c r="Z4" s="5">
        <v>0</v>
      </c>
      <c r="AA4" s="5">
        <v>0</v>
      </c>
      <c r="AC4" s="5" t="s">
        <v>71</v>
      </c>
    </row>
    <row r="5" spans="2:46" ht="16.5" x14ac:dyDescent="0.45">
      <c r="E5" s="19" t="s">
        <v>564</v>
      </c>
      <c r="F5" s="4">
        <v>2</v>
      </c>
      <c r="G5" s="5" t="s">
        <v>44</v>
      </c>
      <c r="I5" s="287" t="s">
        <v>569</v>
      </c>
      <c r="J5" s="4">
        <v>90</v>
      </c>
      <c r="K5" s="5" t="s">
        <v>566</v>
      </c>
      <c r="L5" s="92">
        <f>RADIANS(J5)</f>
        <v>1.5707963267948966</v>
      </c>
      <c r="M5" s="5" t="s">
        <v>211</v>
      </c>
      <c r="T5" s="5"/>
      <c r="U5" s="5">
        <v>0</v>
      </c>
      <c r="V5" s="5">
        <v>0</v>
      </c>
      <c r="Y5" s="89"/>
      <c r="Z5" s="227">
        <f>MIN(F10:AT13)</f>
        <v>-1</v>
      </c>
      <c r="AA5" s="227">
        <f>MAX(F10:AT13)</f>
        <v>1</v>
      </c>
      <c r="AC5" s="5" t="s">
        <v>72</v>
      </c>
    </row>
    <row r="6" spans="2:46" x14ac:dyDescent="0.35">
      <c r="E6" s="1"/>
      <c r="H6" s="286"/>
    </row>
    <row r="7" spans="2:46" x14ac:dyDescent="0.35">
      <c r="E7" s="19" t="s">
        <v>328</v>
      </c>
      <c r="F7" s="4">
        <v>10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x14ac:dyDescent="0.35">
      <c r="C8" s="110" t="s">
        <v>429</v>
      </c>
      <c r="D8" s="5"/>
      <c r="E8" s="110" t="s">
        <v>307</v>
      </c>
      <c r="F8" s="240">
        <v>0</v>
      </c>
      <c r="G8" s="92">
        <f>F8+$F$7</f>
        <v>10</v>
      </c>
      <c r="H8" s="92">
        <f t="shared" ref="H8:AT8" si="0">G8+$F$7</f>
        <v>20</v>
      </c>
      <c r="I8" s="92">
        <f t="shared" si="0"/>
        <v>30</v>
      </c>
      <c r="J8" s="92">
        <f t="shared" si="0"/>
        <v>40</v>
      </c>
      <c r="K8" s="92">
        <f t="shared" si="0"/>
        <v>50</v>
      </c>
      <c r="L8" s="92">
        <f t="shared" si="0"/>
        <v>60</v>
      </c>
      <c r="M8" s="92">
        <f t="shared" si="0"/>
        <v>70</v>
      </c>
      <c r="N8" s="92">
        <f t="shared" si="0"/>
        <v>80</v>
      </c>
      <c r="O8" s="92">
        <f t="shared" si="0"/>
        <v>90</v>
      </c>
      <c r="P8" s="92">
        <f t="shared" si="0"/>
        <v>100</v>
      </c>
      <c r="Q8" s="92">
        <f t="shared" si="0"/>
        <v>110</v>
      </c>
      <c r="R8" s="92">
        <f t="shared" si="0"/>
        <v>120</v>
      </c>
      <c r="S8" s="92">
        <f t="shared" si="0"/>
        <v>130</v>
      </c>
      <c r="T8" s="92">
        <f t="shared" si="0"/>
        <v>140</v>
      </c>
      <c r="U8" s="92">
        <f t="shared" si="0"/>
        <v>150</v>
      </c>
      <c r="V8" s="92">
        <f t="shared" si="0"/>
        <v>160</v>
      </c>
      <c r="W8" s="92">
        <f t="shared" si="0"/>
        <v>170</v>
      </c>
      <c r="X8" s="92">
        <f t="shared" si="0"/>
        <v>180</v>
      </c>
      <c r="Y8" s="92">
        <f t="shared" si="0"/>
        <v>190</v>
      </c>
      <c r="Z8" s="92">
        <f t="shared" si="0"/>
        <v>200</v>
      </c>
      <c r="AA8" s="92">
        <f t="shared" si="0"/>
        <v>210</v>
      </c>
      <c r="AB8" s="92">
        <f t="shared" si="0"/>
        <v>220</v>
      </c>
      <c r="AC8" s="92">
        <f t="shared" si="0"/>
        <v>230</v>
      </c>
      <c r="AD8" s="92">
        <f t="shared" si="0"/>
        <v>240</v>
      </c>
      <c r="AE8" s="92">
        <f t="shared" si="0"/>
        <v>250</v>
      </c>
      <c r="AF8" s="92">
        <f t="shared" si="0"/>
        <v>260</v>
      </c>
      <c r="AG8" s="92">
        <f t="shared" si="0"/>
        <v>270</v>
      </c>
      <c r="AH8" s="92">
        <f t="shared" si="0"/>
        <v>280</v>
      </c>
      <c r="AI8" s="92">
        <f t="shared" si="0"/>
        <v>290</v>
      </c>
      <c r="AJ8" s="92">
        <f t="shared" si="0"/>
        <v>300</v>
      </c>
      <c r="AK8" s="92">
        <f t="shared" si="0"/>
        <v>310</v>
      </c>
      <c r="AL8" s="92">
        <f t="shared" si="0"/>
        <v>320</v>
      </c>
      <c r="AM8" s="92">
        <f t="shared" si="0"/>
        <v>330</v>
      </c>
      <c r="AN8" s="92">
        <f t="shared" si="0"/>
        <v>340</v>
      </c>
      <c r="AO8" s="92">
        <f t="shared" si="0"/>
        <v>350</v>
      </c>
      <c r="AP8" s="92">
        <f t="shared" si="0"/>
        <v>360</v>
      </c>
      <c r="AQ8" s="92">
        <f t="shared" si="0"/>
        <v>370</v>
      </c>
      <c r="AR8" s="92">
        <f t="shared" si="0"/>
        <v>380</v>
      </c>
      <c r="AS8" s="92">
        <f t="shared" si="0"/>
        <v>390</v>
      </c>
      <c r="AT8" s="92">
        <f t="shared" si="0"/>
        <v>400</v>
      </c>
    </row>
    <row r="9" spans="2:46" x14ac:dyDescent="0.35">
      <c r="C9" s="110" t="s">
        <v>429</v>
      </c>
      <c r="D9" s="5"/>
      <c r="E9" s="110" t="s">
        <v>309</v>
      </c>
      <c r="F9" s="227">
        <f>F8*PI()/180</f>
        <v>0</v>
      </c>
      <c r="G9" s="227">
        <f t="shared" ref="G9:AT9" si="1">G8*PI()/180</f>
        <v>0.17453292519943295</v>
      </c>
      <c r="H9" s="227">
        <f t="shared" si="1"/>
        <v>0.3490658503988659</v>
      </c>
      <c r="I9" s="227">
        <f t="shared" si="1"/>
        <v>0.52359877559829882</v>
      </c>
      <c r="J9" s="227">
        <f t="shared" si="1"/>
        <v>0.69813170079773179</v>
      </c>
      <c r="K9" s="227">
        <f t="shared" si="1"/>
        <v>0.87266462599716477</v>
      </c>
      <c r="L9" s="227">
        <f t="shared" si="1"/>
        <v>1.0471975511965976</v>
      </c>
      <c r="M9" s="227">
        <f t="shared" si="1"/>
        <v>1.2217304763960306</v>
      </c>
      <c r="N9" s="227">
        <f t="shared" si="1"/>
        <v>1.3962634015954636</v>
      </c>
      <c r="O9" s="227">
        <f t="shared" si="1"/>
        <v>1.5707963267948966</v>
      </c>
      <c r="P9" s="227">
        <f t="shared" si="1"/>
        <v>1.7453292519943295</v>
      </c>
      <c r="Q9" s="227">
        <f t="shared" si="1"/>
        <v>1.9198621771937625</v>
      </c>
      <c r="R9" s="227">
        <f t="shared" si="1"/>
        <v>2.0943951023931953</v>
      </c>
      <c r="S9" s="227">
        <f t="shared" si="1"/>
        <v>2.2689280275926285</v>
      </c>
      <c r="T9" s="227">
        <f t="shared" si="1"/>
        <v>2.4434609527920612</v>
      </c>
      <c r="U9" s="227">
        <f t="shared" si="1"/>
        <v>2.6179938779914944</v>
      </c>
      <c r="V9" s="227">
        <f t="shared" si="1"/>
        <v>2.7925268031909272</v>
      </c>
      <c r="W9" s="227">
        <f t="shared" si="1"/>
        <v>2.9670597283903604</v>
      </c>
      <c r="X9" s="227">
        <f t="shared" si="1"/>
        <v>3.1415926535897931</v>
      </c>
      <c r="Y9" s="227">
        <f t="shared" si="1"/>
        <v>3.3161255787892263</v>
      </c>
      <c r="Z9" s="227">
        <f t="shared" si="1"/>
        <v>3.4906585039886591</v>
      </c>
      <c r="AA9" s="227">
        <f t="shared" si="1"/>
        <v>3.6651914291880923</v>
      </c>
      <c r="AB9" s="227">
        <f t="shared" si="1"/>
        <v>3.839724354387525</v>
      </c>
      <c r="AC9" s="227">
        <f t="shared" si="1"/>
        <v>4.0142572795869578</v>
      </c>
      <c r="AD9" s="227">
        <f t="shared" si="1"/>
        <v>4.1887902047863905</v>
      </c>
      <c r="AE9" s="227">
        <f t="shared" si="1"/>
        <v>4.3633231299858233</v>
      </c>
      <c r="AF9" s="227">
        <f t="shared" si="1"/>
        <v>4.5378560551852569</v>
      </c>
      <c r="AG9" s="227">
        <f t="shared" si="1"/>
        <v>4.7123889803846897</v>
      </c>
      <c r="AH9" s="227">
        <f t="shared" si="1"/>
        <v>4.8869219055841224</v>
      </c>
      <c r="AI9" s="227">
        <f t="shared" si="1"/>
        <v>5.0614548307835552</v>
      </c>
      <c r="AJ9" s="227">
        <f t="shared" si="1"/>
        <v>5.2359877559829888</v>
      </c>
      <c r="AK9" s="227">
        <f t="shared" si="1"/>
        <v>5.4105206811824216</v>
      </c>
      <c r="AL9" s="227">
        <f t="shared" si="1"/>
        <v>5.5850536063818543</v>
      </c>
      <c r="AM9" s="227">
        <f t="shared" si="1"/>
        <v>5.7595865315812871</v>
      </c>
      <c r="AN9" s="227">
        <f t="shared" si="1"/>
        <v>5.9341194567807207</v>
      </c>
      <c r="AO9" s="227">
        <f t="shared" si="1"/>
        <v>6.1086523819801526</v>
      </c>
      <c r="AP9" s="227">
        <f t="shared" si="1"/>
        <v>6.2831853071795862</v>
      </c>
      <c r="AQ9" s="227">
        <f t="shared" si="1"/>
        <v>6.457718232379019</v>
      </c>
      <c r="AR9" s="227">
        <f t="shared" si="1"/>
        <v>6.6322511575784526</v>
      </c>
      <c r="AS9" s="227">
        <f t="shared" si="1"/>
        <v>6.8067840827778845</v>
      </c>
      <c r="AT9" s="227">
        <f t="shared" si="1"/>
        <v>6.9813170079773181</v>
      </c>
    </row>
    <row r="10" spans="2:46" ht="24" x14ac:dyDescent="0.65">
      <c r="B10" s="119" t="s">
        <v>71</v>
      </c>
      <c r="C10" s="288" t="s">
        <v>571</v>
      </c>
      <c r="D10" s="292" t="s">
        <v>573</v>
      </c>
      <c r="E10" s="289" t="s">
        <v>567</v>
      </c>
      <c r="F10" s="227">
        <f>IF($B$10=$AC$4,$F$4*SIN(F9+$L$4),0)</f>
        <v>0.86602540378443871</v>
      </c>
      <c r="G10" s="227">
        <f t="shared" ref="G10:AT10" si="2">IF($B$10=$AC$4,$F$4*SIN(G9+$L$4),0)</f>
        <v>0.76604444311897835</v>
      </c>
      <c r="H10" s="227">
        <f t="shared" si="2"/>
        <v>0.64278760968653947</v>
      </c>
      <c r="I10" s="227">
        <f t="shared" si="2"/>
        <v>0.50000000000000033</v>
      </c>
      <c r="J10" s="227">
        <f t="shared" si="2"/>
        <v>0.34202014332566888</v>
      </c>
      <c r="K10" s="227">
        <f t="shared" si="2"/>
        <v>0.17364817766693069</v>
      </c>
      <c r="L10" s="227">
        <f t="shared" si="2"/>
        <v>1.22514845490862E-16</v>
      </c>
      <c r="M10" s="227">
        <f t="shared" si="2"/>
        <v>-0.17364817766693003</v>
      </c>
      <c r="N10" s="227">
        <f t="shared" si="2"/>
        <v>-0.34202014332566821</v>
      </c>
      <c r="O10" s="227">
        <f t="shared" si="2"/>
        <v>-0.49999999999999972</v>
      </c>
      <c r="P10" s="227">
        <f t="shared" si="2"/>
        <v>-0.64278760968653925</v>
      </c>
      <c r="Q10" s="227">
        <f t="shared" si="2"/>
        <v>-0.7660444431189779</v>
      </c>
      <c r="R10" s="227">
        <f t="shared" si="2"/>
        <v>-0.86602540378443837</v>
      </c>
      <c r="S10" s="227">
        <f t="shared" si="2"/>
        <v>-0.93969262078590843</v>
      </c>
      <c r="T10" s="227">
        <f t="shared" si="2"/>
        <v>-0.98480775301220802</v>
      </c>
      <c r="U10" s="227">
        <f t="shared" si="2"/>
        <v>-1</v>
      </c>
      <c r="V10" s="227">
        <f t="shared" si="2"/>
        <v>-0.98480775301220813</v>
      </c>
      <c r="W10" s="227">
        <f t="shared" si="2"/>
        <v>-0.93969262078590854</v>
      </c>
      <c r="X10" s="227">
        <f t="shared" si="2"/>
        <v>-0.86602540378443904</v>
      </c>
      <c r="Y10" s="227">
        <f t="shared" si="2"/>
        <v>-0.76604444311897812</v>
      </c>
      <c r="Z10" s="227">
        <f t="shared" si="2"/>
        <v>-0.64278760968653958</v>
      </c>
      <c r="AA10" s="227">
        <f t="shared" si="2"/>
        <v>-0.49999999999999967</v>
      </c>
      <c r="AB10" s="227">
        <f t="shared" si="2"/>
        <v>-0.3420201433256686</v>
      </c>
      <c r="AC10" s="227">
        <f t="shared" si="2"/>
        <v>-0.17364817766693039</v>
      </c>
      <c r="AD10" s="227">
        <f t="shared" si="2"/>
        <v>-2.45029690981724E-16</v>
      </c>
      <c r="AE10" s="227">
        <f t="shared" si="2"/>
        <v>0.17364817766692991</v>
      </c>
      <c r="AF10" s="227">
        <f t="shared" si="2"/>
        <v>0.3420201433256681</v>
      </c>
      <c r="AG10" s="227">
        <f t="shared" si="2"/>
        <v>0.49999999999999928</v>
      </c>
      <c r="AH10" s="227">
        <f t="shared" si="2"/>
        <v>0.64278760968653847</v>
      </c>
      <c r="AI10" s="227">
        <f t="shared" si="2"/>
        <v>0.76604444311897724</v>
      </c>
      <c r="AJ10" s="227">
        <f t="shared" si="2"/>
        <v>0.86602540378443882</v>
      </c>
      <c r="AK10" s="227">
        <f t="shared" si="2"/>
        <v>0.93969262078590843</v>
      </c>
      <c r="AL10" s="227">
        <f t="shared" si="2"/>
        <v>0.98480775301220802</v>
      </c>
      <c r="AM10" s="227">
        <f t="shared" si="2"/>
        <v>1</v>
      </c>
      <c r="AN10" s="227">
        <f t="shared" si="2"/>
        <v>0.98480775301220813</v>
      </c>
      <c r="AO10" s="227">
        <f t="shared" si="2"/>
        <v>0.93969262078590865</v>
      </c>
      <c r="AP10" s="227">
        <f t="shared" si="2"/>
        <v>0.86602540378443915</v>
      </c>
      <c r="AQ10" s="227">
        <f t="shared" si="2"/>
        <v>0.76604444311897879</v>
      </c>
      <c r="AR10" s="227">
        <f t="shared" si="2"/>
        <v>0.64278760968653903</v>
      </c>
      <c r="AS10" s="227">
        <f t="shared" si="2"/>
        <v>0.50000000000000133</v>
      </c>
      <c r="AT10" s="227">
        <f t="shared" si="2"/>
        <v>0.34202014332566871</v>
      </c>
    </row>
    <row r="11" spans="2:46" ht="24" x14ac:dyDescent="0.65">
      <c r="B11" s="119" t="s">
        <v>72</v>
      </c>
      <c r="C11" s="290" t="s">
        <v>572</v>
      </c>
      <c r="D11" s="293" t="s">
        <v>574</v>
      </c>
      <c r="E11" s="291" t="s">
        <v>568</v>
      </c>
      <c r="F11" s="227">
        <f>IF($B$11=$AC$4,$F$5*SIN(F9+$L$5),0)</f>
        <v>0</v>
      </c>
      <c r="G11" s="227">
        <f t="shared" ref="G11:AT11" si="3">IF($B$11=$AC$4,$F$5*SIN(G9+$L$5),0)</f>
        <v>0</v>
      </c>
      <c r="H11" s="227">
        <f t="shared" si="3"/>
        <v>0</v>
      </c>
      <c r="I11" s="227">
        <f t="shared" si="3"/>
        <v>0</v>
      </c>
      <c r="J11" s="227">
        <f t="shared" si="3"/>
        <v>0</v>
      </c>
      <c r="K11" s="227">
        <f t="shared" si="3"/>
        <v>0</v>
      </c>
      <c r="L11" s="227">
        <f t="shared" si="3"/>
        <v>0</v>
      </c>
      <c r="M11" s="227">
        <f t="shared" si="3"/>
        <v>0</v>
      </c>
      <c r="N11" s="227">
        <f t="shared" si="3"/>
        <v>0</v>
      </c>
      <c r="O11" s="227">
        <f t="shared" si="3"/>
        <v>0</v>
      </c>
      <c r="P11" s="227">
        <f t="shared" si="3"/>
        <v>0</v>
      </c>
      <c r="Q11" s="227">
        <f t="shared" si="3"/>
        <v>0</v>
      </c>
      <c r="R11" s="227">
        <f t="shared" si="3"/>
        <v>0</v>
      </c>
      <c r="S11" s="227">
        <f t="shared" si="3"/>
        <v>0</v>
      </c>
      <c r="T11" s="227">
        <f t="shared" si="3"/>
        <v>0</v>
      </c>
      <c r="U11" s="227">
        <f t="shared" si="3"/>
        <v>0</v>
      </c>
      <c r="V11" s="227">
        <f t="shared" si="3"/>
        <v>0</v>
      </c>
      <c r="W11" s="227">
        <f t="shared" si="3"/>
        <v>0</v>
      </c>
      <c r="X11" s="227">
        <f t="shared" si="3"/>
        <v>0</v>
      </c>
      <c r="Y11" s="227">
        <f t="shared" si="3"/>
        <v>0</v>
      </c>
      <c r="Z11" s="227">
        <f t="shared" si="3"/>
        <v>0</v>
      </c>
      <c r="AA11" s="227">
        <f t="shared" si="3"/>
        <v>0</v>
      </c>
      <c r="AB11" s="227">
        <f t="shared" si="3"/>
        <v>0</v>
      </c>
      <c r="AC11" s="227">
        <f t="shared" si="3"/>
        <v>0</v>
      </c>
      <c r="AD11" s="227">
        <f t="shared" si="3"/>
        <v>0</v>
      </c>
      <c r="AE11" s="227">
        <f t="shared" si="3"/>
        <v>0</v>
      </c>
      <c r="AF11" s="227">
        <f t="shared" si="3"/>
        <v>0</v>
      </c>
      <c r="AG11" s="227">
        <f t="shared" si="3"/>
        <v>0</v>
      </c>
      <c r="AH11" s="227">
        <f t="shared" si="3"/>
        <v>0</v>
      </c>
      <c r="AI11" s="227">
        <f t="shared" si="3"/>
        <v>0</v>
      </c>
      <c r="AJ11" s="227">
        <f t="shared" si="3"/>
        <v>0</v>
      </c>
      <c r="AK11" s="227">
        <f t="shared" si="3"/>
        <v>0</v>
      </c>
      <c r="AL11" s="227">
        <f t="shared" si="3"/>
        <v>0</v>
      </c>
      <c r="AM11" s="227">
        <f t="shared" si="3"/>
        <v>0</v>
      </c>
      <c r="AN11" s="227">
        <f t="shared" si="3"/>
        <v>0</v>
      </c>
      <c r="AO11" s="227">
        <f t="shared" si="3"/>
        <v>0</v>
      </c>
      <c r="AP11" s="227">
        <f t="shared" si="3"/>
        <v>0</v>
      </c>
      <c r="AQ11" s="227">
        <f t="shared" si="3"/>
        <v>0</v>
      </c>
      <c r="AR11" s="227">
        <f t="shared" si="3"/>
        <v>0</v>
      </c>
      <c r="AS11" s="227">
        <f t="shared" si="3"/>
        <v>0</v>
      </c>
      <c r="AT11" s="227">
        <f t="shared" si="3"/>
        <v>0</v>
      </c>
    </row>
    <row r="12" spans="2:46" ht="25.5" x14ac:dyDescent="0.65">
      <c r="B12" s="119" t="s">
        <v>72</v>
      </c>
      <c r="C12" s="294" t="s">
        <v>575</v>
      </c>
      <c r="D12" s="295" t="str">
        <f>IF($J$4=$J$5,"Umomentan^2 / R","Nicht gleichphasig")</f>
        <v>Nicht gleichphasig</v>
      </c>
      <c r="E12" s="296" t="s">
        <v>570</v>
      </c>
      <c r="F12" s="227">
        <f>IF($B$12=$AC$4,IF($J$4=$J$5,F10^2,0),0)</f>
        <v>0</v>
      </c>
      <c r="G12" s="227">
        <f t="shared" ref="G12:AT12" si="4">IF($B$12=$AC$4,IF($J$4=$J$5,G10^2,0),0)</f>
        <v>0</v>
      </c>
      <c r="H12" s="227">
        <f t="shared" si="4"/>
        <v>0</v>
      </c>
      <c r="I12" s="227">
        <f t="shared" si="4"/>
        <v>0</v>
      </c>
      <c r="J12" s="227">
        <f t="shared" si="4"/>
        <v>0</v>
      </c>
      <c r="K12" s="227">
        <f t="shared" si="4"/>
        <v>0</v>
      </c>
      <c r="L12" s="227">
        <f t="shared" si="4"/>
        <v>0</v>
      </c>
      <c r="M12" s="227">
        <f t="shared" si="4"/>
        <v>0</v>
      </c>
      <c r="N12" s="227">
        <f t="shared" si="4"/>
        <v>0</v>
      </c>
      <c r="O12" s="227">
        <f t="shared" si="4"/>
        <v>0</v>
      </c>
      <c r="P12" s="227">
        <f t="shared" si="4"/>
        <v>0</v>
      </c>
      <c r="Q12" s="227">
        <f t="shared" si="4"/>
        <v>0</v>
      </c>
      <c r="R12" s="227">
        <f t="shared" si="4"/>
        <v>0</v>
      </c>
      <c r="S12" s="227">
        <f t="shared" si="4"/>
        <v>0</v>
      </c>
      <c r="T12" s="227">
        <f t="shared" si="4"/>
        <v>0</v>
      </c>
      <c r="U12" s="227">
        <f t="shared" si="4"/>
        <v>0</v>
      </c>
      <c r="V12" s="227">
        <f t="shared" si="4"/>
        <v>0</v>
      </c>
      <c r="W12" s="227">
        <f t="shared" si="4"/>
        <v>0</v>
      </c>
      <c r="X12" s="227">
        <f t="shared" si="4"/>
        <v>0</v>
      </c>
      <c r="Y12" s="227">
        <f t="shared" si="4"/>
        <v>0</v>
      </c>
      <c r="Z12" s="227">
        <f t="shared" si="4"/>
        <v>0</v>
      </c>
      <c r="AA12" s="227">
        <f t="shared" si="4"/>
        <v>0</v>
      </c>
      <c r="AB12" s="227">
        <f t="shared" si="4"/>
        <v>0</v>
      </c>
      <c r="AC12" s="227">
        <f t="shared" si="4"/>
        <v>0</v>
      </c>
      <c r="AD12" s="227">
        <f t="shared" si="4"/>
        <v>0</v>
      </c>
      <c r="AE12" s="227">
        <f t="shared" si="4"/>
        <v>0</v>
      </c>
      <c r="AF12" s="227">
        <f t="shared" si="4"/>
        <v>0</v>
      </c>
      <c r="AG12" s="227">
        <f t="shared" si="4"/>
        <v>0</v>
      </c>
      <c r="AH12" s="227">
        <f t="shared" si="4"/>
        <v>0</v>
      </c>
      <c r="AI12" s="227">
        <f t="shared" si="4"/>
        <v>0</v>
      </c>
      <c r="AJ12" s="227">
        <f t="shared" si="4"/>
        <v>0</v>
      </c>
      <c r="AK12" s="227">
        <f t="shared" si="4"/>
        <v>0</v>
      </c>
      <c r="AL12" s="227">
        <f t="shared" si="4"/>
        <v>0</v>
      </c>
      <c r="AM12" s="227">
        <f t="shared" si="4"/>
        <v>0</v>
      </c>
      <c r="AN12" s="227">
        <f t="shared" si="4"/>
        <v>0</v>
      </c>
      <c r="AO12" s="227">
        <f t="shared" si="4"/>
        <v>0</v>
      </c>
      <c r="AP12" s="227">
        <f t="shared" si="4"/>
        <v>0</v>
      </c>
      <c r="AQ12" s="227">
        <f t="shared" si="4"/>
        <v>0</v>
      </c>
      <c r="AR12" s="227">
        <f t="shared" si="4"/>
        <v>0</v>
      </c>
      <c r="AS12" s="227">
        <f t="shared" si="4"/>
        <v>0</v>
      </c>
      <c r="AT12" s="227">
        <f t="shared" si="4"/>
        <v>0</v>
      </c>
    </row>
    <row r="13" spans="2:46" ht="21.5" x14ac:dyDescent="0.55000000000000004">
      <c r="B13" s="119" t="s">
        <v>71</v>
      </c>
      <c r="C13" s="294" t="s">
        <v>575</v>
      </c>
      <c r="D13" s="293" t="s">
        <v>576</v>
      </c>
      <c r="E13" s="296" t="s">
        <v>570</v>
      </c>
      <c r="F13" s="227">
        <f>IF($B$13=$AC$4,F10*F11,0)</f>
        <v>0</v>
      </c>
      <c r="G13" s="227">
        <f t="shared" ref="G13:AT13" si="5">IF($B$13=$AC$4,G10*G11,0)</f>
        <v>0</v>
      </c>
      <c r="H13" s="227">
        <f t="shared" si="5"/>
        <v>0</v>
      </c>
      <c r="I13" s="227">
        <f t="shared" si="5"/>
        <v>0</v>
      </c>
      <c r="J13" s="227">
        <f t="shared" si="5"/>
        <v>0</v>
      </c>
      <c r="K13" s="227">
        <f t="shared" si="5"/>
        <v>0</v>
      </c>
      <c r="L13" s="227">
        <f t="shared" si="5"/>
        <v>0</v>
      </c>
      <c r="M13" s="227">
        <f t="shared" si="5"/>
        <v>0</v>
      </c>
      <c r="N13" s="227">
        <f t="shared" si="5"/>
        <v>0</v>
      </c>
      <c r="O13" s="227">
        <f t="shared" si="5"/>
        <v>0</v>
      </c>
      <c r="P13" s="227">
        <f t="shared" si="5"/>
        <v>0</v>
      </c>
      <c r="Q13" s="227">
        <f t="shared" si="5"/>
        <v>0</v>
      </c>
      <c r="R13" s="227">
        <f t="shared" si="5"/>
        <v>0</v>
      </c>
      <c r="S13" s="227">
        <f t="shared" si="5"/>
        <v>0</v>
      </c>
      <c r="T13" s="227">
        <f t="shared" si="5"/>
        <v>0</v>
      </c>
      <c r="U13" s="227">
        <f t="shared" si="5"/>
        <v>0</v>
      </c>
      <c r="V13" s="227">
        <f t="shared" si="5"/>
        <v>0</v>
      </c>
      <c r="W13" s="227">
        <f t="shared" si="5"/>
        <v>0</v>
      </c>
      <c r="X13" s="227">
        <f t="shared" si="5"/>
        <v>0</v>
      </c>
      <c r="Y13" s="227">
        <f t="shared" si="5"/>
        <v>0</v>
      </c>
      <c r="Z13" s="227">
        <f t="shared" si="5"/>
        <v>0</v>
      </c>
      <c r="AA13" s="227">
        <f t="shared" si="5"/>
        <v>0</v>
      </c>
      <c r="AB13" s="227">
        <f t="shared" si="5"/>
        <v>0</v>
      </c>
      <c r="AC13" s="227">
        <f t="shared" si="5"/>
        <v>0</v>
      </c>
      <c r="AD13" s="227">
        <f t="shared" si="5"/>
        <v>0</v>
      </c>
      <c r="AE13" s="227">
        <f t="shared" si="5"/>
        <v>0</v>
      </c>
      <c r="AF13" s="227">
        <f t="shared" si="5"/>
        <v>0</v>
      </c>
      <c r="AG13" s="227">
        <f t="shared" si="5"/>
        <v>0</v>
      </c>
      <c r="AH13" s="227">
        <f t="shared" si="5"/>
        <v>0</v>
      </c>
      <c r="AI13" s="227">
        <f t="shared" si="5"/>
        <v>0</v>
      </c>
      <c r="AJ13" s="227">
        <f t="shared" si="5"/>
        <v>0</v>
      </c>
      <c r="AK13" s="227">
        <f t="shared" si="5"/>
        <v>0</v>
      </c>
      <c r="AL13" s="227">
        <f t="shared" si="5"/>
        <v>0</v>
      </c>
      <c r="AM13" s="227">
        <f t="shared" si="5"/>
        <v>0</v>
      </c>
      <c r="AN13" s="227">
        <f t="shared" si="5"/>
        <v>0</v>
      </c>
      <c r="AO13" s="227">
        <f t="shared" si="5"/>
        <v>0</v>
      </c>
      <c r="AP13" s="227">
        <f t="shared" si="5"/>
        <v>0</v>
      </c>
      <c r="AQ13" s="227">
        <f t="shared" si="5"/>
        <v>0</v>
      </c>
      <c r="AR13" s="227">
        <f t="shared" si="5"/>
        <v>0</v>
      </c>
      <c r="AS13" s="227">
        <f t="shared" si="5"/>
        <v>0</v>
      </c>
      <c r="AT13" s="227">
        <f t="shared" si="5"/>
        <v>0</v>
      </c>
    </row>
    <row r="16" spans="2:46" ht="15" thickBot="1" x14ac:dyDescent="0.4"/>
    <row r="17" spans="6:10" ht="26.5" thickBot="1" x14ac:dyDescent="0.65">
      <c r="F17" s="297" t="str">
        <f>IF(J4=J5,"Phasengleich (Ohmsche Last)",IF(J4&gt;J5,"Spannung voreilend (Induktive Last)",IF(J4&lt;J5,"Strom voreilend (Kapazitive Last)","ERROR")))</f>
        <v>Spannung voreilend (Induktive Last)</v>
      </c>
      <c r="G17" s="298"/>
      <c r="H17" s="298"/>
      <c r="I17" s="298"/>
      <c r="J17" s="299"/>
    </row>
  </sheetData>
  <dataValidations count="1">
    <dataValidation type="list" allowBlank="1" showInputMessage="1" showErrorMessage="1" sqref="B10:B13" xr:uid="{20FCF022-FBF5-47BC-A2B3-BAFD880D50E7}">
      <formula1>$AC$4:$AC$5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zoomScale="70" zoomScaleNormal="70" workbookViewId="0"/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325</v>
      </c>
    </row>
    <row r="3" spans="3:45" x14ac:dyDescent="0.35">
      <c r="J3" s="5" t="s">
        <v>307</v>
      </c>
    </row>
    <row r="4" spans="3:45" x14ac:dyDescent="0.35">
      <c r="J4" s="5" t="s">
        <v>309</v>
      </c>
    </row>
    <row r="6" spans="3:45" x14ac:dyDescent="0.35">
      <c r="C6" s="5"/>
      <c r="D6" s="19" t="s">
        <v>328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40" t="s">
        <v>307</v>
      </c>
      <c r="E7" s="240">
        <v>0</v>
      </c>
      <c r="F7" s="92">
        <f>E7+$E$6</f>
        <v>10</v>
      </c>
      <c r="G7" s="92">
        <f t="shared" ref="G7:AS7" si="0">F7+$E$6</f>
        <v>20</v>
      </c>
      <c r="H7" s="92">
        <f t="shared" si="0"/>
        <v>30</v>
      </c>
      <c r="I7" s="92">
        <f t="shared" si="0"/>
        <v>40</v>
      </c>
      <c r="J7" s="92">
        <f t="shared" si="0"/>
        <v>50</v>
      </c>
      <c r="K7" s="92">
        <f t="shared" si="0"/>
        <v>60</v>
      </c>
      <c r="L7" s="92">
        <f t="shared" si="0"/>
        <v>70</v>
      </c>
      <c r="M7" s="92">
        <f t="shared" si="0"/>
        <v>80</v>
      </c>
      <c r="N7" s="92">
        <f t="shared" si="0"/>
        <v>90</v>
      </c>
      <c r="O7" s="92">
        <f t="shared" si="0"/>
        <v>100</v>
      </c>
      <c r="P7" s="92">
        <f t="shared" si="0"/>
        <v>110</v>
      </c>
      <c r="Q7" s="92">
        <f t="shared" si="0"/>
        <v>120</v>
      </c>
      <c r="R7" s="92">
        <f t="shared" si="0"/>
        <v>130</v>
      </c>
      <c r="S7" s="92">
        <f t="shared" si="0"/>
        <v>140</v>
      </c>
      <c r="T7" s="92">
        <f t="shared" si="0"/>
        <v>150</v>
      </c>
      <c r="U7" s="92">
        <f t="shared" si="0"/>
        <v>160</v>
      </c>
      <c r="V7" s="92">
        <f t="shared" si="0"/>
        <v>170</v>
      </c>
      <c r="W7" s="92">
        <f t="shared" si="0"/>
        <v>180</v>
      </c>
      <c r="X7" s="92">
        <f t="shared" si="0"/>
        <v>190</v>
      </c>
      <c r="Y7" s="92">
        <f t="shared" si="0"/>
        <v>200</v>
      </c>
      <c r="Z7" s="92">
        <f t="shared" si="0"/>
        <v>210</v>
      </c>
      <c r="AA7" s="92">
        <f t="shared" si="0"/>
        <v>220</v>
      </c>
      <c r="AB7" s="92">
        <f t="shared" si="0"/>
        <v>230</v>
      </c>
      <c r="AC7" s="92">
        <f t="shared" si="0"/>
        <v>240</v>
      </c>
      <c r="AD7" s="92">
        <f t="shared" si="0"/>
        <v>250</v>
      </c>
      <c r="AE7" s="92">
        <f t="shared" si="0"/>
        <v>260</v>
      </c>
      <c r="AF7" s="92">
        <f t="shared" si="0"/>
        <v>270</v>
      </c>
      <c r="AG7" s="92">
        <f t="shared" si="0"/>
        <v>280</v>
      </c>
      <c r="AH7" s="92">
        <f t="shared" si="0"/>
        <v>290</v>
      </c>
      <c r="AI7" s="92">
        <f t="shared" si="0"/>
        <v>300</v>
      </c>
      <c r="AJ7" s="92">
        <f t="shared" si="0"/>
        <v>310</v>
      </c>
      <c r="AK7" s="92">
        <f t="shared" si="0"/>
        <v>320</v>
      </c>
      <c r="AL7" s="92">
        <f t="shared" si="0"/>
        <v>330</v>
      </c>
      <c r="AM7" s="92">
        <f t="shared" si="0"/>
        <v>340</v>
      </c>
      <c r="AN7" s="92">
        <f t="shared" si="0"/>
        <v>350</v>
      </c>
      <c r="AO7" s="92">
        <f t="shared" si="0"/>
        <v>360</v>
      </c>
      <c r="AP7" s="92">
        <f t="shared" si="0"/>
        <v>370</v>
      </c>
      <c r="AQ7" s="92">
        <f t="shared" si="0"/>
        <v>380</v>
      </c>
      <c r="AR7" s="92">
        <f t="shared" si="0"/>
        <v>390</v>
      </c>
      <c r="AS7" s="92">
        <f t="shared" si="0"/>
        <v>400</v>
      </c>
    </row>
    <row r="8" spans="3:45" x14ac:dyDescent="0.35">
      <c r="C8" s="5"/>
      <c r="D8" s="19" t="s">
        <v>309</v>
      </c>
      <c r="E8" s="227">
        <f>IF($D$7=$J$3,E7*PI()/180,E7)</f>
        <v>0</v>
      </c>
      <c r="F8" s="227">
        <f t="shared" ref="F8:N8" si="1">IF($D$7=$J$3,F7*PI()/180,F7)</f>
        <v>0.17453292519943295</v>
      </c>
      <c r="G8" s="227">
        <f t="shared" si="1"/>
        <v>0.3490658503988659</v>
      </c>
      <c r="H8" s="227">
        <f t="shared" si="1"/>
        <v>0.52359877559829882</v>
      </c>
      <c r="I8" s="227">
        <f t="shared" si="1"/>
        <v>0.69813170079773179</v>
      </c>
      <c r="J8" s="227">
        <f t="shared" si="1"/>
        <v>0.87266462599716477</v>
      </c>
      <c r="K8" s="227">
        <f t="shared" si="1"/>
        <v>1.0471975511965976</v>
      </c>
      <c r="L8" s="227">
        <f t="shared" si="1"/>
        <v>1.2217304763960306</v>
      </c>
      <c r="M8" s="227">
        <f t="shared" si="1"/>
        <v>1.3962634015954636</v>
      </c>
      <c r="N8" s="227">
        <f t="shared" si="1"/>
        <v>1.5707963267948966</v>
      </c>
      <c r="O8" s="227">
        <f t="shared" ref="O8" si="2">IF($D$7=$J$3,O7*PI()/180,O7)</f>
        <v>1.7453292519943295</v>
      </c>
      <c r="P8" s="227">
        <f t="shared" ref="P8" si="3">IF($D$7=$J$3,P7*PI()/180,P7)</f>
        <v>1.9198621771937625</v>
      </c>
      <c r="Q8" s="227">
        <f t="shared" ref="Q8" si="4">IF($D$7=$J$3,Q7*PI()/180,Q7)</f>
        <v>2.0943951023931953</v>
      </c>
      <c r="R8" s="227">
        <f t="shared" ref="R8" si="5">IF($D$7=$J$3,R7*PI()/180,R7)</f>
        <v>2.2689280275926285</v>
      </c>
      <c r="S8" s="227">
        <f t="shared" ref="S8" si="6">IF($D$7=$J$3,S7*PI()/180,S7)</f>
        <v>2.4434609527920612</v>
      </c>
      <c r="T8" s="227">
        <f t="shared" ref="T8" si="7">IF($D$7=$J$3,T7*PI()/180,T7)</f>
        <v>2.6179938779914944</v>
      </c>
      <c r="U8" s="227">
        <f t="shared" ref="U8" si="8">IF($D$7=$J$3,U7*PI()/180,U7)</f>
        <v>2.7925268031909272</v>
      </c>
      <c r="V8" s="227">
        <f t="shared" ref="V8:W8" si="9">IF($D$7=$J$3,V7*PI()/180,V7)</f>
        <v>2.9670597283903604</v>
      </c>
      <c r="W8" s="227">
        <f t="shared" si="9"/>
        <v>3.1415926535897931</v>
      </c>
      <c r="X8" s="227">
        <f t="shared" ref="X8" si="10">IF($D$7=$J$3,X7*PI()/180,X7)</f>
        <v>3.3161255787892263</v>
      </c>
      <c r="Y8" s="227">
        <f t="shared" ref="Y8" si="11">IF($D$7=$J$3,Y7*PI()/180,Y7)</f>
        <v>3.4906585039886591</v>
      </c>
      <c r="Z8" s="227">
        <f t="shared" ref="Z8" si="12">IF($D$7=$J$3,Z7*PI()/180,Z7)</f>
        <v>3.6651914291880923</v>
      </c>
      <c r="AA8" s="227">
        <f t="shared" ref="AA8" si="13">IF($D$7=$J$3,AA7*PI()/180,AA7)</f>
        <v>3.839724354387525</v>
      </c>
      <c r="AB8" s="227">
        <f t="shared" ref="AB8" si="14">IF($D$7=$J$3,AB7*PI()/180,AB7)</f>
        <v>4.0142572795869578</v>
      </c>
      <c r="AC8" s="227">
        <f t="shared" ref="AC8" si="15">IF($D$7=$J$3,AC7*PI()/180,AC7)</f>
        <v>4.1887902047863905</v>
      </c>
      <c r="AD8" s="227">
        <f t="shared" ref="AD8" si="16">IF($D$7=$J$3,AD7*PI()/180,AD7)</f>
        <v>4.3633231299858233</v>
      </c>
      <c r="AE8" s="227">
        <f t="shared" ref="AE8:AF8" si="17">IF($D$7=$J$3,AE7*PI()/180,AE7)</f>
        <v>4.5378560551852569</v>
      </c>
      <c r="AF8" s="227">
        <f t="shared" si="17"/>
        <v>4.7123889803846897</v>
      </c>
      <c r="AG8" s="227">
        <f t="shared" ref="AG8" si="18">IF($D$7=$J$3,AG7*PI()/180,AG7)</f>
        <v>4.8869219055841224</v>
      </c>
      <c r="AH8" s="227">
        <f t="shared" ref="AH8" si="19">IF($D$7=$J$3,AH7*PI()/180,AH7)</f>
        <v>5.0614548307835552</v>
      </c>
      <c r="AI8" s="227">
        <f t="shared" ref="AI8" si="20">IF($D$7=$J$3,AI7*PI()/180,AI7)</f>
        <v>5.2359877559829888</v>
      </c>
      <c r="AJ8" s="227">
        <f t="shared" ref="AJ8" si="21">IF($D$7=$J$3,AJ7*PI()/180,AJ7)</f>
        <v>5.4105206811824216</v>
      </c>
      <c r="AK8" s="227">
        <f t="shared" ref="AK8" si="22">IF($D$7=$J$3,AK7*PI()/180,AK7)</f>
        <v>5.5850536063818543</v>
      </c>
      <c r="AL8" s="227">
        <f t="shared" ref="AL8" si="23">IF($D$7=$J$3,AL7*PI()/180,AL7)</f>
        <v>5.7595865315812871</v>
      </c>
      <c r="AM8" s="227">
        <f t="shared" ref="AM8" si="24">IF($D$7=$J$3,AM7*PI()/180,AM7)</f>
        <v>5.9341194567807207</v>
      </c>
      <c r="AN8" s="227">
        <f t="shared" ref="AN8:AO8" si="25">IF($D$7=$J$3,AN7*PI()/180,AN7)</f>
        <v>6.1086523819801526</v>
      </c>
      <c r="AO8" s="227">
        <f t="shared" si="25"/>
        <v>6.2831853071795862</v>
      </c>
      <c r="AP8" s="227">
        <f t="shared" ref="AP8" si="26">IF($D$7=$J$3,AP7*PI()/180,AP7)</f>
        <v>6.457718232379019</v>
      </c>
      <c r="AQ8" s="227">
        <f t="shared" ref="AQ8" si="27">IF($D$7=$J$3,AQ7*PI()/180,AQ7)</f>
        <v>6.6322511575784526</v>
      </c>
      <c r="AR8" s="227">
        <f t="shared" ref="AR8" si="28">IF($D$7=$J$3,AR7*PI()/180,AR7)</f>
        <v>6.8067840827778845</v>
      </c>
      <c r="AS8" s="227">
        <f t="shared" ref="AS8" si="29">IF($D$7=$J$3,AS7*PI()/180,AS7)</f>
        <v>6.9813170079773181</v>
      </c>
    </row>
    <row r="9" spans="3:45" x14ac:dyDescent="0.35">
      <c r="C9" s="19" t="s">
        <v>326</v>
      </c>
      <c r="D9" s="5" t="s">
        <v>327</v>
      </c>
      <c r="E9" s="227">
        <f>SIN(E8)</f>
        <v>0</v>
      </c>
      <c r="F9" s="227">
        <f t="shared" ref="F9:AS9" si="30">SIN(F8)</f>
        <v>0.17364817766693033</v>
      </c>
      <c r="G9" s="227">
        <f t="shared" si="30"/>
        <v>0.34202014332566871</v>
      </c>
      <c r="H9" s="227">
        <f t="shared" si="30"/>
        <v>0.49999999999999994</v>
      </c>
      <c r="I9" s="227">
        <f t="shared" si="30"/>
        <v>0.64278760968653925</v>
      </c>
      <c r="J9" s="227">
        <f t="shared" si="30"/>
        <v>0.76604444311897801</v>
      </c>
      <c r="K9" s="227">
        <f t="shared" si="30"/>
        <v>0.8660254037844386</v>
      </c>
      <c r="L9" s="227">
        <f t="shared" si="30"/>
        <v>0.93969262078590832</v>
      </c>
      <c r="M9" s="227">
        <f t="shared" si="30"/>
        <v>0.98480775301220802</v>
      </c>
      <c r="N9" s="227">
        <f t="shared" si="30"/>
        <v>1</v>
      </c>
      <c r="O9" s="227">
        <f t="shared" si="30"/>
        <v>0.98480775301220802</v>
      </c>
      <c r="P9" s="227">
        <f t="shared" si="30"/>
        <v>0.93969262078590843</v>
      </c>
      <c r="Q9" s="227">
        <f t="shared" si="30"/>
        <v>0.86602540378443871</v>
      </c>
      <c r="R9" s="227">
        <f t="shared" si="30"/>
        <v>0.76604444311897801</v>
      </c>
      <c r="S9" s="227">
        <f t="shared" si="30"/>
        <v>0.64278760968653947</v>
      </c>
      <c r="T9" s="227">
        <f t="shared" si="30"/>
        <v>0.49999999999999994</v>
      </c>
      <c r="U9" s="227">
        <f t="shared" si="30"/>
        <v>0.34202014332566888</v>
      </c>
      <c r="V9" s="227">
        <f t="shared" si="30"/>
        <v>0.17364817766693028</v>
      </c>
      <c r="W9" s="227">
        <f t="shared" si="30"/>
        <v>1.22514845490862E-16</v>
      </c>
      <c r="X9" s="227">
        <f t="shared" si="30"/>
        <v>-0.17364817766693047</v>
      </c>
      <c r="Y9" s="227">
        <f t="shared" si="30"/>
        <v>-0.34202014332566866</v>
      </c>
      <c r="Z9" s="227">
        <f t="shared" si="30"/>
        <v>-0.50000000000000011</v>
      </c>
      <c r="AA9" s="227">
        <f t="shared" si="30"/>
        <v>-0.64278760968653925</v>
      </c>
      <c r="AB9" s="227">
        <f t="shared" si="30"/>
        <v>-0.7660444431189779</v>
      </c>
      <c r="AC9" s="227">
        <f t="shared" si="30"/>
        <v>-0.86602540378443837</v>
      </c>
      <c r="AD9" s="227">
        <f t="shared" si="30"/>
        <v>-0.93969262078590821</v>
      </c>
      <c r="AE9" s="227">
        <f t="shared" si="30"/>
        <v>-0.98480775301220802</v>
      </c>
      <c r="AF9" s="227">
        <f t="shared" si="30"/>
        <v>-1</v>
      </c>
      <c r="AG9" s="227">
        <f t="shared" si="30"/>
        <v>-0.98480775301220813</v>
      </c>
      <c r="AH9" s="227">
        <f t="shared" si="30"/>
        <v>-0.93969262078590854</v>
      </c>
      <c r="AI9" s="227">
        <f t="shared" si="30"/>
        <v>-0.8660254037844386</v>
      </c>
      <c r="AJ9" s="227">
        <f t="shared" si="30"/>
        <v>-0.76604444311897812</v>
      </c>
      <c r="AK9" s="227">
        <f t="shared" si="30"/>
        <v>-0.64278760968653958</v>
      </c>
      <c r="AL9" s="227">
        <f t="shared" si="30"/>
        <v>-0.50000000000000044</v>
      </c>
      <c r="AM9" s="227">
        <f t="shared" si="30"/>
        <v>-0.3420201433256686</v>
      </c>
      <c r="AN9" s="227">
        <f t="shared" si="30"/>
        <v>-0.17364817766693127</v>
      </c>
      <c r="AO9" s="227">
        <f t="shared" si="30"/>
        <v>-2.45029690981724E-16</v>
      </c>
      <c r="AP9" s="227">
        <f t="shared" si="30"/>
        <v>0.17364817766692991</v>
      </c>
      <c r="AQ9" s="227">
        <f t="shared" si="30"/>
        <v>0.34202014332566893</v>
      </c>
      <c r="AR9" s="227">
        <f t="shared" si="30"/>
        <v>0.49999999999999928</v>
      </c>
      <c r="AS9" s="227">
        <f t="shared" si="30"/>
        <v>0.64278760968653914</v>
      </c>
    </row>
    <row r="10" spans="3:45" x14ac:dyDescent="0.35">
      <c r="C10" s="19" t="s">
        <v>331</v>
      </c>
      <c r="D10" s="5" t="s">
        <v>329</v>
      </c>
      <c r="E10" s="227">
        <f>COS(E8)</f>
        <v>1</v>
      </c>
      <c r="F10" s="227">
        <f t="shared" ref="F10:AS10" si="31">COS(F8)</f>
        <v>0.98480775301220802</v>
      </c>
      <c r="G10" s="227">
        <f t="shared" si="31"/>
        <v>0.93969262078590843</v>
      </c>
      <c r="H10" s="227">
        <f t="shared" si="31"/>
        <v>0.86602540378443871</v>
      </c>
      <c r="I10" s="227">
        <f t="shared" si="31"/>
        <v>0.76604444311897801</v>
      </c>
      <c r="J10" s="227">
        <f t="shared" si="31"/>
        <v>0.64278760968653936</v>
      </c>
      <c r="K10" s="227">
        <f t="shared" si="31"/>
        <v>0.50000000000000011</v>
      </c>
      <c r="L10" s="227">
        <f t="shared" si="31"/>
        <v>0.34202014332566882</v>
      </c>
      <c r="M10" s="227">
        <f t="shared" si="31"/>
        <v>0.17364817766693041</v>
      </c>
      <c r="N10" s="227">
        <f t="shared" si="31"/>
        <v>6.1257422745431001E-17</v>
      </c>
      <c r="O10" s="227">
        <f t="shared" si="31"/>
        <v>-0.1736481776669303</v>
      </c>
      <c r="P10" s="227">
        <f t="shared" si="31"/>
        <v>-0.34202014332566871</v>
      </c>
      <c r="Q10" s="227">
        <f t="shared" si="31"/>
        <v>-0.49999999999999978</v>
      </c>
      <c r="R10" s="227">
        <f t="shared" si="31"/>
        <v>-0.64278760968653936</v>
      </c>
      <c r="S10" s="227">
        <f t="shared" si="31"/>
        <v>-0.7660444431189779</v>
      </c>
      <c r="T10" s="227">
        <f t="shared" si="31"/>
        <v>-0.86602540378443871</v>
      </c>
      <c r="U10" s="227">
        <f t="shared" si="31"/>
        <v>-0.93969262078590832</v>
      </c>
      <c r="V10" s="227">
        <f t="shared" si="31"/>
        <v>-0.98480775301220802</v>
      </c>
      <c r="W10" s="227">
        <f t="shared" si="31"/>
        <v>-1</v>
      </c>
      <c r="X10" s="227">
        <f t="shared" si="31"/>
        <v>-0.98480775301220802</v>
      </c>
      <c r="Y10" s="227">
        <f t="shared" si="31"/>
        <v>-0.93969262078590843</v>
      </c>
      <c r="Z10" s="227">
        <f t="shared" si="31"/>
        <v>-0.8660254037844386</v>
      </c>
      <c r="AA10" s="227">
        <f t="shared" si="31"/>
        <v>-0.76604444311897801</v>
      </c>
      <c r="AB10" s="227">
        <f t="shared" si="31"/>
        <v>-0.64278760968653947</v>
      </c>
      <c r="AC10" s="227">
        <f t="shared" si="31"/>
        <v>-0.50000000000000044</v>
      </c>
      <c r="AD10" s="227">
        <f t="shared" si="31"/>
        <v>-0.34202014332566938</v>
      </c>
      <c r="AE10" s="227">
        <f t="shared" si="31"/>
        <v>-0.17364817766693033</v>
      </c>
      <c r="AF10" s="227">
        <f t="shared" si="31"/>
        <v>-1.83772268236293E-16</v>
      </c>
      <c r="AG10" s="227">
        <f t="shared" si="31"/>
        <v>0.17364817766692997</v>
      </c>
      <c r="AH10" s="227">
        <f t="shared" si="31"/>
        <v>0.34202014332566816</v>
      </c>
      <c r="AI10" s="227">
        <f t="shared" si="31"/>
        <v>0.50000000000000011</v>
      </c>
      <c r="AJ10" s="227">
        <f t="shared" si="31"/>
        <v>0.64278760968653925</v>
      </c>
      <c r="AK10" s="227">
        <f t="shared" si="31"/>
        <v>0.76604444311897779</v>
      </c>
      <c r="AL10" s="227">
        <f t="shared" si="31"/>
        <v>0.86602540378443837</v>
      </c>
      <c r="AM10" s="227">
        <f t="shared" si="31"/>
        <v>0.93969262078590843</v>
      </c>
      <c r="AN10" s="227">
        <f t="shared" si="31"/>
        <v>0.98480775301220791</v>
      </c>
      <c r="AO10" s="227">
        <f t="shared" si="31"/>
        <v>1</v>
      </c>
      <c r="AP10" s="227">
        <f t="shared" si="31"/>
        <v>0.98480775301220813</v>
      </c>
      <c r="AQ10" s="227">
        <f t="shared" si="31"/>
        <v>0.93969262078590832</v>
      </c>
      <c r="AR10" s="227">
        <f t="shared" si="31"/>
        <v>0.86602540378443904</v>
      </c>
      <c r="AS10" s="227">
        <f t="shared" si="31"/>
        <v>0.76604444311897812</v>
      </c>
    </row>
    <row r="11" spans="3:45" x14ac:dyDescent="0.35">
      <c r="C11" s="19" t="s">
        <v>332</v>
      </c>
      <c r="D11" s="5" t="s">
        <v>330</v>
      </c>
      <c r="E11" s="227">
        <f>TAN(E8)</f>
        <v>0</v>
      </c>
      <c r="F11" s="227">
        <f t="shared" ref="F11:AS11" si="32">TAN(F8)</f>
        <v>0.17632698070846498</v>
      </c>
      <c r="G11" s="227">
        <f t="shared" si="32"/>
        <v>0.36397023426620234</v>
      </c>
      <c r="H11" s="227">
        <f t="shared" si="32"/>
        <v>0.57735026918962573</v>
      </c>
      <c r="I11" s="227">
        <f t="shared" si="32"/>
        <v>0.83909963117727993</v>
      </c>
      <c r="J11" s="227">
        <f t="shared" si="32"/>
        <v>1.19175359259421</v>
      </c>
      <c r="K11" s="227">
        <f t="shared" si="32"/>
        <v>1.7320508075688767</v>
      </c>
      <c r="L11" s="227">
        <f t="shared" si="32"/>
        <v>2.7474774194546216</v>
      </c>
      <c r="M11" s="227">
        <f t="shared" si="32"/>
        <v>5.6712818196177066</v>
      </c>
      <c r="N11" s="227">
        <f t="shared" si="32"/>
        <v>1.6324552277619072E+16</v>
      </c>
      <c r="O11" s="227">
        <f t="shared" si="32"/>
        <v>-5.6712818196177111</v>
      </c>
      <c r="P11" s="227">
        <f t="shared" si="32"/>
        <v>-2.7474774194546225</v>
      </c>
      <c r="Q11" s="227">
        <f t="shared" si="32"/>
        <v>-1.7320508075688783</v>
      </c>
      <c r="R11" s="227">
        <f t="shared" si="32"/>
        <v>-1.19175359259421</v>
      </c>
      <c r="S11" s="227">
        <f t="shared" si="32"/>
        <v>-0.83909963117728037</v>
      </c>
      <c r="T11" s="227">
        <f t="shared" si="32"/>
        <v>-0.57735026918962573</v>
      </c>
      <c r="U11" s="227">
        <f t="shared" si="32"/>
        <v>-0.36397023426620256</v>
      </c>
      <c r="V11" s="227">
        <f t="shared" si="32"/>
        <v>-0.17632698070846489</v>
      </c>
      <c r="W11" s="227">
        <f t="shared" si="32"/>
        <v>-1.22514845490862E-16</v>
      </c>
      <c r="X11" s="227">
        <f t="shared" si="32"/>
        <v>0.17632698070846509</v>
      </c>
      <c r="Y11" s="227">
        <f t="shared" si="32"/>
        <v>0.36397023426620229</v>
      </c>
      <c r="Z11" s="227">
        <f t="shared" si="32"/>
        <v>0.57735026918962595</v>
      </c>
      <c r="AA11" s="227">
        <f t="shared" si="32"/>
        <v>0.83909963117727993</v>
      </c>
      <c r="AB11" s="227">
        <f t="shared" si="32"/>
        <v>1.1917535925942093</v>
      </c>
      <c r="AC11" s="227">
        <f t="shared" si="32"/>
        <v>1.7320508075688754</v>
      </c>
      <c r="AD11" s="227">
        <f t="shared" si="32"/>
        <v>2.7474774194546168</v>
      </c>
      <c r="AE11" s="227">
        <f t="shared" si="32"/>
        <v>5.6712818196177102</v>
      </c>
      <c r="AF11" s="227">
        <f t="shared" si="32"/>
        <v>5441517425873024</v>
      </c>
      <c r="AG11" s="227">
        <f t="shared" si="32"/>
        <v>-5.6712818196177226</v>
      </c>
      <c r="AH11" s="227">
        <f t="shared" si="32"/>
        <v>-2.7474774194546274</v>
      </c>
      <c r="AI11" s="227">
        <f t="shared" si="32"/>
        <v>-1.732050807568877</v>
      </c>
      <c r="AJ11" s="227">
        <f t="shared" si="32"/>
        <v>-1.1917535925942102</v>
      </c>
      <c r="AK11" s="227">
        <f t="shared" si="32"/>
        <v>-0.83909963117728059</v>
      </c>
      <c r="AL11" s="227">
        <f t="shared" si="32"/>
        <v>-0.57735026918962651</v>
      </c>
      <c r="AM11" s="227">
        <f t="shared" si="32"/>
        <v>-0.36397023426620218</v>
      </c>
      <c r="AN11" s="227">
        <f t="shared" si="32"/>
        <v>-0.17632698070846592</v>
      </c>
      <c r="AO11" s="227">
        <f t="shared" si="32"/>
        <v>-2.45029690981724E-16</v>
      </c>
      <c r="AP11" s="227">
        <f t="shared" si="32"/>
        <v>0.1763269807084645</v>
      </c>
      <c r="AQ11" s="227">
        <f t="shared" si="32"/>
        <v>0.36397023426620262</v>
      </c>
      <c r="AR11" s="227">
        <f t="shared" si="32"/>
        <v>0.57735026918962462</v>
      </c>
      <c r="AS11" s="227">
        <f t="shared" si="32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7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247</v>
      </c>
      <c r="D2" s="44"/>
      <c r="L2" s="120" t="s">
        <v>263</v>
      </c>
      <c r="M2" s="121" t="s">
        <v>266</v>
      </c>
      <c r="N2" s="106"/>
    </row>
    <row r="3" spans="3:25" x14ac:dyDescent="0.35">
      <c r="L3" s="110" t="s">
        <v>210</v>
      </c>
      <c r="M3" s="110" t="s">
        <v>268</v>
      </c>
      <c r="T3" s="81"/>
      <c r="X3" s="114"/>
      <c r="Y3" s="114"/>
    </row>
    <row r="4" spans="3:25" x14ac:dyDescent="0.35">
      <c r="L4" s="110" t="s">
        <v>211</v>
      </c>
      <c r="M4" s="110" t="s">
        <v>267</v>
      </c>
      <c r="T4" s="81"/>
    </row>
    <row r="5" spans="3:25" x14ac:dyDescent="0.35">
      <c r="L5" s="110"/>
      <c r="M5" s="110" t="s">
        <v>256</v>
      </c>
      <c r="T5" s="81"/>
    </row>
    <row r="6" spans="3:25" x14ac:dyDescent="0.35">
      <c r="L6" s="110"/>
      <c r="M6" s="110" t="s">
        <v>265</v>
      </c>
    </row>
    <row r="20" spans="4:35" x14ac:dyDescent="0.35">
      <c r="D20" s="5" t="s">
        <v>253</v>
      </c>
      <c r="E20" s="19" t="s">
        <v>254</v>
      </c>
      <c r="F20" s="90">
        <v>5</v>
      </c>
      <c r="G20" s="4" t="s">
        <v>267</v>
      </c>
      <c r="I20" s="114"/>
      <c r="K20" s="5" t="s">
        <v>271</v>
      </c>
      <c r="L20" s="5"/>
    </row>
    <row r="21" spans="4:35" x14ac:dyDescent="0.35">
      <c r="D21" s="5" t="s">
        <v>261</v>
      </c>
      <c r="E21" s="19" t="s">
        <v>262</v>
      </c>
      <c r="F21" s="90">
        <v>31</v>
      </c>
      <c r="G21" s="4" t="s">
        <v>210</v>
      </c>
      <c r="I21" s="114"/>
      <c r="K21" s="19" t="s">
        <v>274</v>
      </c>
      <c r="L21" s="128">
        <v>0.6</v>
      </c>
    </row>
    <row r="22" spans="4:35" x14ac:dyDescent="0.35">
      <c r="D22" s="122"/>
      <c r="E22" s="19" t="str">
        <f>E21</f>
        <v xml:space="preserve">α = </v>
      </c>
      <c r="F22" s="123">
        <f>IF(G21=G22,F21,F21*180/PI())</f>
        <v>31</v>
      </c>
      <c r="G22" s="122" t="str">
        <f>L3</f>
        <v>°</v>
      </c>
      <c r="I22" s="114"/>
      <c r="K22" s="19" t="s">
        <v>275</v>
      </c>
      <c r="L22" s="130">
        <v>0.2</v>
      </c>
    </row>
    <row r="23" spans="4:35" x14ac:dyDescent="0.35">
      <c r="D23" s="122"/>
      <c r="E23" s="19" t="str">
        <f>E21</f>
        <v xml:space="preserve">α = </v>
      </c>
      <c r="F23" s="123">
        <f>IF(G21=G23,F21,F21*PI()/180)</f>
        <v>0.54105206811824214</v>
      </c>
      <c r="G23" s="122" t="str">
        <f>L4</f>
        <v>rad</v>
      </c>
      <c r="I23" s="114"/>
      <c r="K23" s="5" t="s">
        <v>306</v>
      </c>
      <c r="L23" s="129">
        <f>DEGREES(ATAN(L21))</f>
        <v>30.963756532073521</v>
      </c>
      <c r="M23" s="5" t="s">
        <v>307</v>
      </c>
      <c r="O23" s="5">
        <f>L23*PI()/180</f>
        <v>0.54041950027058416</v>
      </c>
      <c r="P23" s="5" t="s">
        <v>309</v>
      </c>
    </row>
    <row r="24" spans="4:35" ht="16.5" x14ac:dyDescent="0.35">
      <c r="D24" s="5" t="s">
        <v>255</v>
      </c>
      <c r="E24" s="19" t="s">
        <v>311</v>
      </c>
      <c r="F24" s="89">
        <v>9.81</v>
      </c>
      <c r="G24" s="5" t="s">
        <v>257</v>
      </c>
      <c r="K24" s="5" t="s">
        <v>308</v>
      </c>
      <c r="L24" s="129">
        <f>DEGREES(ATAN(L22))</f>
        <v>11.309932474020215</v>
      </c>
      <c r="M24" s="5" t="s">
        <v>307</v>
      </c>
      <c r="O24" s="5">
        <f>L24*PI()/180</f>
        <v>0.1973955598498808</v>
      </c>
      <c r="P24" s="5" t="s">
        <v>309</v>
      </c>
    </row>
    <row r="26" spans="4:35" ht="16.5" x14ac:dyDescent="0.45">
      <c r="D26" s="5" t="s">
        <v>264</v>
      </c>
      <c r="E26" s="19" t="s">
        <v>248</v>
      </c>
      <c r="F26" s="5" t="s">
        <v>258</v>
      </c>
      <c r="G26" s="89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249</v>
      </c>
      <c r="E27" s="19" t="s">
        <v>251</v>
      </c>
      <c r="F27" s="5" t="s">
        <v>260</v>
      </c>
      <c r="G27" s="89">
        <f>$G$26*SIN($F$23)</f>
        <v>25.262617574338158</v>
      </c>
      <c r="H27" s="5" t="str">
        <f>H26</f>
        <v>mN</v>
      </c>
    </row>
    <row r="28" spans="4:35" ht="16.5" x14ac:dyDescent="0.45">
      <c r="D28" s="5" t="s">
        <v>250</v>
      </c>
      <c r="E28" s="19" t="s">
        <v>252</v>
      </c>
      <c r="F28" s="5" t="s">
        <v>259</v>
      </c>
      <c r="G28" s="89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89"/>
      <c r="H29" s="5"/>
    </row>
    <row r="30" spans="4:35" ht="16.5" x14ac:dyDescent="0.45">
      <c r="D30" s="5" t="s">
        <v>291</v>
      </c>
      <c r="E30" s="19" t="s">
        <v>295</v>
      </c>
      <c r="F30" s="5" t="s">
        <v>290</v>
      </c>
      <c r="G30" s="89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292</v>
      </c>
      <c r="E31" s="19" t="s">
        <v>300</v>
      </c>
      <c r="F31" s="5" t="s">
        <v>296</v>
      </c>
      <c r="G31" s="89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27" t="s">
        <v>276</v>
      </c>
      <c r="L31" s="127" t="s">
        <v>272</v>
      </c>
      <c r="M31" s="127" t="s">
        <v>273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294</v>
      </c>
      <c r="E32" s="19" t="s">
        <v>297</v>
      </c>
      <c r="F32" s="5" t="s">
        <v>293</v>
      </c>
      <c r="G32" s="89">
        <f>$G$28*$L$22</f>
        <v>8.4088112198877223</v>
      </c>
      <c r="H32" s="5" t="str">
        <f>H31</f>
        <v>mN</v>
      </c>
      <c r="K32" s="126" t="s">
        <v>277</v>
      </c>
      <c r="L32" s="126" t="s">
        <v>278</v>
      </c>
      <c r="M32" s="126" t="s">
        <v>279</v>
      </c>
      <c r="O32" s="131" t="s">
        <v>262</v>
      </c>
      <c r="P32" s="131" t="s">
        <v>303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298</v>
      </c>
      <c r="E33" s="19" t="s">
        <v>301</v>
      </c>
      <c r="F33" s="5" t="s">
        <v>299</v>
      </c>
      <c r="G33" s="89">
        <f>$G$27-G32</f>
        <v>16.853806354450434</v>
      </c>
      <c r="H33" s="5" t="str">
        <f>H32</f>
        <v>mN</v>
      </c>
      <c r="K33" s="126" t="s">
        <v>280</v>
      </c>
      <c r="L33" s="126" t="s">
        <v>281</v>
      </c>
      <c r="M33" s="126" t="s">
        <v>282</v>
      </c>
      <c r="O33" s="131" t="s">
        <v>262</v>
      </c>
      <c r="P33" s="131" t="s">
        <v>304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26" t="s">
        <v>283</v>
      </c>
      <c r="L34" s="126" t="s">
        <v>282</v>
      </c>
      <c r="M34" s="126" t="s">
        <v>284</v>
      </c>
      <c r="O34" s="19" t="s">
        <v>251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26" t="s">
        <v>285</v>
      </c>
      <c r="L35" s="126" t="s">
        <v>286</v>
      </c>
      <c r="M35" s="126" t="s">
        <v>287</v>
      </c>
      <c r="O35" s="19" t="s">
        <v>295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26" t="s">
        <v>288</v>
      </c>
      <c r="L36" s="126" t="s">
        <v>289</v>
      </c>
      <c r="M36" s="126" t="s">
        <v>289</v>
      </c>
      <c r="O36" s="19" t="s">
        <v>297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300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301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302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305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2">
        <f t="shared" si="10"/>
        <v>9.6016704210091195</v>
      </c>
      <c r="AI40" s="132">
        <f t="shared" si="10"/>
        <v>9.81</v>
      </c>
    </row>
    <row r="41" spans="4:37" x14ac:dyDescent="0.35">
      <c r="AH41" s="5" t="s">
        <v>310</v>
      </c>
      <c r="AI41" s="89">
        <v>0</v>
      </c>
      <c r="AJ41" s="89">
        <f>$L$23</f>
        <v>30.963756532073521</v>
      </c>
      <c r="AK41" s="89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311</v>
      </c>
      <c r="F12" s="2">
        <v>9.81</v>
      </c>
      <c r="G12" t="s">
        <v>257</v>
      </c>
    </row>
    <row r="13" spans="5:8" x14ac:dyDescent="0.35">
      <c r="E13" s="1" t="s">
        <v>254</v>
      </c>
      <c r="F13" s="2">
        <v>5</v>
      </c>
      <c r="G13" t="s">
        <v>256</v>
      </c>
    </row>
    <row r="15" spans="5:8" ht="16.5" x14ac:dyDescent="0.45">
      <c r="E15" s="1" t="s">
        <v>248</v>
      </c>
      <c r="F15" t="s">
        <v>312</v>
      </c>
      <c r="G15">
        <f>F13*F12</f>
        <v>49.050000000000004</v>
      </c>
      <c r="H15" t="s">
        <v>313</v>
      </c>
    </row>
    <row r="17" spans="5:8" x14ac:dyDescent="0.35">
      <c r="E17" s="1" t="s">
        <v>262</v>
      </c>
      <c r="F17" s="2">
        <v>30</v>
      </c>
      <c r="G17" t="s">
        <v>210</v>
      </c>
    </row>
    <row r="18" spans="5:8" x14ac:dyDescent="0.35">
      <c r="E18" s="1" t="s">
        <v>262</v>
      </c>
      <c r="F18">
        <f>F17*PI()/180</f>
        <v>0.52359877559829882</v>
      </c>
      <c r="G18" t="s">
        <v>211</v>
      </c>
    </row>
    <row r="19" spans="5:8" x14ac:dyDescent="0.35">
      <c r="E19" s="1"/>
    </row>
    <row r="20" spans="5:8" ht="16.5" x14ac:dyDescent="0.45">
      <c r="E20" s="1" t="s">
        <v>252</v>
      </c>
      <c r="F20" t="s">
        <v>314</v>
      </c>
      <c r="G20" s="114">
        <f>$G$15*COS($F$18)</f>
        <v>42.478546055626722</v>
      </c>
      <c r="H20" t="s">
        <v>313</v>
      </c>
    </row>
    <row r="21" spans="5:8" ht="16.5" x14ac:dyDescent="0.45">
      <c r="E21" s="1" t="s">
        <v>251</v>
      </c>
      <c r="F21" t="s">
        <v>315</v>
      </c>
      <c r="G21" s="114">
        <f>$G$15*SIN($F$18)</f>
        <v>24.524999999999999</v>
      </c>
      <c r="H21" t="s">
        <v>313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8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204</v>
      </c>
      <c r="D2" s="44"/>
      <c r="L2" s="41"/>
      <c r="M2" s="106"/>
      <c r="R2" s="88" t="s">
        <v>243</v>
      </c>
      <c r="S2" s="88" t="s">
        <v>212</v>
      </c>
      <c r="T2" s="88" t="s">
        <v>220</v>
      </c>
      <c r="V2" s="88" t="s">
        <v>240</v>
      </c>
      <c r="W2" s="88"/>
      <c r="Y2" s="88" t="s">
        <v>239</v>
      </c>
      <c r="Z2" s="88"/>
      <c r="AA2" s="88"/>
      <c r="AB2" s="88"/>
      <c r="AC2" s="88"/>
    </row>
    <row r="3" spans="3:29" x14ac:dyDescent="0.35">
      <c r="R3" s="124" t="s">
        <v>244</v>
      </c>
      <c r="S3" s="5" t="s">
        <v>210</v>
      </c>
      <c r="T3" s="5" t="s">
        <v>221</v>
      </c>
      <c r="V3" s="89">
        <f>MIN(K14:L20)</f>
        <v>-20</v>
      </c>
      <c r="W3" s="89">
        <f>MAX(K14:L20)</f>
        <v>19.696155060244159</v>
      </c>
      <c r="Y3" s="5" t="s">
        <v>241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4" t="s">
        <v>245</v>
      </c>
      <c r="S4" s="5" t="s">
        <v>211</v>
      </c>
      <c r="T4" s="5" t="s">
        <v>222</v>
      </c>
      <c r="V4" s="5">
        <f>ABS(V3)</f>
        <v>20</v>
      </c>
      <c r="W4" s="5">
        <f>ABS(W3)</f>
        <v>19.696155060244159</v>
      </c>
      <c r="Y4" s="5" t="s">
        <v>242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4" t="s">
        <v>246</v>
      </c>
      <c r="S5" s="5" t="s">
        <v>214</v>
      </c>
      <c r="T5" s="5" t="s">
        <v>223</v>
      </c>
      <c r="V5" s="5">
        <f>MAX(V4:W4)</f>
        <v>20</v>
      </c>
      <c r="W5" s="5">
        <f>V5*1.1</f>
        <v>22</v>
      </c>
    </row>
    <row r="6" spans="3:29" x14ac:dyDescent="0.35">
      <c r="R6" s="5" t="s">
        <v>269</v>
      </c>
      <c r="S6" s="5"/>
      <c r="T6" s="5" t="s">
        <v>224</v>
      </c>
    </row>
    <row r="7" spans="3:29" x14ac:dyDescent="0.35">
      <c r="R7" s="5" t="s">
        <v>70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304" t="s">
        <v>225</v>
      </c>
      <c r="D12" s="304"/>
      <c r="E12" s="304"/>
      <c r="F12" s="304"/>
      <c r="G12" s="304"/>
      <c r="H12" s="71"/>
      <c r="I12" s="304" t="s">
        <v>226</v>
      </c>
      <c r="J12" s="304"/>
      <c r="K12" s="304" t="s">
        <v>221</v>
      </c>
      <c r="L12" s="304"/>
      <c r="M12" s="304" t="s">
        <v>227</v>
      </c>
      <c r="N12" s="304"/>
      <c r="O12" s="304"/>
      <c r="P12" s="303" t="s">
        <v>238</v>
      </c>
      <c r="Q12" s="303"/>
      <c r="R12" s="303"/>
      <c r="S12" s="303"/>
      <c r="T12" s="303" t="s">
        <v>270</v>
      </c>
      <c r="U12" s="303"/>
      <c r="V12" s="303"/>
      <c r="W12" s="303"/>
    </row>
    <row r="13" spans="3:29" x14ac:dyDescent="0.35">
      <c r="C13" s="115" t="s">
        <v>205</v>
      </c>
      <c r="D13" s="115" t="s">
        <v>207</v>
      </c>
      <c r="E13" s="115" t="s">
        <v>206</v>
      </c>
      <c r="F13" s="115" t="s">
        <v>208</v>
      </c>
      <c r="G13" s="115" t="s">
        <v>209</v>
      </c>
      <c r="H13" s="115" t="s">
        <v>243</v>
      </c>
      <c r="I13" s="115" t="s">
        <v>220</v>
      </c>
      <c r="J13" s="115" t="s">
        <v>217</v>
      </c>
      <c r="K13" s="115" t="s">
        <v>218</v>
      </c>
      <c r="L13" s="115" t="s">
        <v>219</v>
      </c>
      <c r="M13" s="115" t="s">
        <v>215</v>
      </c>
      <c r="N13" s="115" t="s">
        <v>216</v>
      </c>
      <c r="O13" s="115" t="s">
        <v>217</v>
      </c>
      <c r="P13" s="115" t="s">
        <v>234</v>
      </c>
      <c r="Q13" s="115" t="s">
        <v>235</v>
      </c>
      <c r="R13" s="115" t="s">
        <v>236</v>
      </c>
      <c r="S13" s="115" t="s">
        <v>237</v>
      </c>
      <c r="T13" s="115" t="s">
        <v>234</v>
      </c>
      <c r="U13" s="115" t="s">
        <v>235</v>
      </c>
      <c r="V13" s="115" t="s">
        <v>236</v>
      </c>
      <c r="W13" s="115" t="s">
        <v>237</v>
      </c>
    </row>
    <row r="14" spans="3:29" x14ac:dyDescent="0.35">
      <c r="C14" s="4" t="s">
        <v>213</v>
      </c>
      <c r="D14" s="4">
        <v>10</v>
      </c>
      <c r="E14" s="107" t="s">
        <v>214</v>
      </c>
      <c r="F14" s="4">
        <v>5</v>
      </c>
      <c r="G14" s="4" t="s">
        <v>214</v>
      </c>
      <c r="H14" s="118"/>
      <c r="I14" s="5" t="str">
        <f>IF(AND(E14=$S$5,G14=$S$5),$T$3,IF(AND(E14=$S$5,G14=$S$4),$T$4,IF(AND(E14=$S$5,G14=$S$3),$T$5,$T$6)))</f>
        <v>Kartesisch</v>
      </c>
      <c r="J14" s="89" t="str">
        <f>IF(I14=$T$5,F14*PI()/180,IF(I14=$T$4,F14,""))</f>
        <v/>
      </c>
      <c r="K14" s="116">
        <f>IF(I14=$T$3,D14,D14*COS(J14))</f>
        <v>10</v>
      </c>
      <c r="L14" s="116">
        <f>IF(I14=$T$3,F14,D14*SIN(J14))</f>
        <v>5</v>
      </c>
      <c r="M14" s="117">
        <f>SQRT(K14^2 + L14^2)</f>
        <v>11.180339887498949</v>
      </c>
      <c r="N14" s="117">
        <f>DEGREES(ATAN2(K14,L14))</f>
        <v>26.56505117707799</v>
      </c>
      <c r="O14" s="117">
        <f>ATAN2(K14,L14)</f>
        <v>0.46364760900080609</v>
      </c>
      <c r="P14" s="89">
        <v>0</v>
      </c>
      <c r="Q14" s="89">
        <f>K14</f>
        <v>10</v>
      </c>
      <c r="R14" s="89">
        <v>0</v>
      </c>
      <c r="S14" s="89">
        <f>L14</f>
        <v>5</v>
      </c>
      <c r="T14" s="125"/>
      <c r="U14" s="125"/>
      <c r="V14" s="125"/>
      <c r="W14" s="125"/>
    </row>
    <row r="15" spans="3:29" x14ac:dyDescent="0.35">
      <c r="C15" s="4" t="s">
        <v>228</v>
      </c>
      <c r="D15" s="4">
        <v>10</v>
      </c>
      <c r="E15" s="107" t="s">
        <v>214</v>
      </c>
      <c r="F15" s="4">
        <v>-12</v>
      </c>
      <c r="G15" s="4" t="s">
        <v>214</v>
      </c>
      <c r="H15" s="119" t="s">
        <v>244</v>
      </c>
      <c r="I15" s="5" t="str">
        <f t="shared" ref="I15:I20" si="0">IF(AND(E15=$S$5,G15=$S$5),$T$3,IF(AND(E15=$S$5,G15=$S$4),$T$4,IF(AND(E15=$S$5,G15=$S$3),$T$5,$T$6)))</f>
        <v>Kartesisch</v>
      </c>
      <c r="J15" s="89" t="str">
        <f t="shared" ref="J15:J20" si="1">IF(I15=$T$5,F15*PI()/180,IF(I15=$T$4,F15,""))</f>
        <v/>
      </c>
      <c r="K15" s="116">
        <f t="shared" ref="K15:K20" si="2">IF(I15=$T$3,D15,D15*COS(J15))</f>
        <v>10</v>
      </c>
      <c r="L15" s="116">
        <f t="shared" ref="L15:L20" si="3">IF(I15=$T$3,F15,D15*SIN(J15))</f>
        <v>-12</v>
      </c>
      <c r="M15" s="117">
        <f t="shared" ref="M15:M20" si="4">SQRT(K15^2 + L15^2)</f>
        <v>15.620499351813308</v>
      </c>
      <c r="N15" s="117">
        <f t="shared" ref="N15:N20" si="5">DEGREES(ATAN2(K15,L15))</f>
        <v>-50.19442890773481</v>
      </c>
      <c r="O15" s="117">
        <f t="shared" ref="O15:O20" si="6">ATAN2(K15,L15)</f>
        <v>-0.87605805059819342</v>
      </c>
      <c r="P15" s="89">
        <f t="shared" ref="P15:P20" si="7">IF(H15=$R$6,0,IF(H15=$R$3,Q14,0))</f>
        <v>10</v>
      </c>
      <c r="Q15" s="89">
        <f t="shared" ref="Q15:Q20" si="8">IF(H15=$R$6,0,IF(H15=$R$3,K15+Q14,K15))</f>
        <v>20</v>
      </c>
      <c r="R15" s="89">
        <f t="shared" ref="R15:R20" si="9">IF(H15=$R$6,0,IF(H15=$R$3,S14,0))</f>
        <v>5</v>
      </c>
      <c r="S15" s="89">
        <f t="shared" ref="S15:S20" si="10">IF(H15=$R$6,0,IF(H15=$R$3,S14+L15,L15))</f>
        <v>-7</v>
      </c>
      <c r="T15" s="89">
        <v>0</v>
      </c>
      <c r="U15" s="89">
        <v>0</v>
      </c>
      <c r="V15" s="89">
        <f t="shared" ref="V15:V20" si="11">IF(P15&lt;&gt;0,Q15,0)</f>
        <v>20</v>
      </c>
      <c r="W15" s="89">
        <f t="shared" ref="W15:W20" si="12">IF(R15&lt;&gt;0,S15,0)</f>
        <v>-7</v>
      </c>
    </row>
    <row r="16" spans="3:29" x14ac:dyDescent="0.35">
      <c r="C16" s="4" t="s">
        <v>229</v>
      </c>
      <c r="D16" s="4">
        <v>-8</v>
      </c>
      <c r="E16" s="107" t="s">
        <v>214</v>
      </c>
      <c r="F16" s="4">
        <v>15</v>
      </c>
      <c r="G16" s="4" t="s">
        <v>214</v>
      </c>
      <c r="H16" s="119" t="s">
        <v>244</v>
      </c>
      <c r="I16" s="5" t="str">
        <f t="shared" si="0"/>
        <v>Kartesisch</v>
      </c>
      <c r="J16" s="89" t="str">
        <f t="shared" si="1"/>
        <v/>
      </c>
      <c r="K16" s="116">
        <f t="shared" si="2"/>
        <v>-8</v>
      </c>
      <c r="L16" s="116">
        <f t="shared" si="3"/>
        <v>15</v>
      </c>
      <c r="M16" s="117">
        <f t="shared" si="4"/>
        <v>17</v>
      </c>
      <c r="N16" s="117">
        <f t="shared" si="5"/>
        <v>118.07248693585296</v>
      </c>
      <c r="O16" s="117">
        <f t="shared" si="6"/>
        <v>2.060753653048625</v>
      </c>
      <c r="P16" s="89">
        <f t="shared" si="7"/>
        <v>20</v>
      </c>
      <c r="Q16" s="89">
        <f t="shared" si="8"/>
        <v>12</v>
      </c>
      <c r="R16" s="89">
        <f t="shared" si="9"/>
        <v>-7</v>
      </c>
      <c r="S16" s="89">
        <f t="shared" si="10"/>
        <v>8</v>
      </c>
      <c r="T16" s="89">
        <v>0</v>
      </c>
      <c r="U16" s="89">
        <v>0</v>
      </c>
      <c r="V16" s="89">
        <f t="shared" si="11"/>
        <v>12</v>
      </c>
      <c r="W16" s="89">
        <f t="shared" si="12"/>
        <v>8</v>
      </c>
    </row>
    <row r="17" spans="3:23" x14ac:dyDescent="0.35">
      <c r="C17" s="4" t="s">
        <v>230</v>
      </c>
      <c r="D17" s="4">
        <v>-10</v>
      </c>
      <c r="E17" s="107" t="s">
        <v>214</v>
      </c>
      <c r="F17" s="4">
        <v>-20</v>
      </c>
      <c r="G17" s="4" t="s">
        <v>214</v>
      </c>
      <c r="H17" s="119" t="s">
        <v>269</v>
      </c>
      <c r="I17" s="5" t="str">
        <f t="shared" si="0"/>
        <v>Kartesisch</v>
      </c>
      <c r="J17" s="89" t="str">
        <f t="shared" si="1"/>
        <v/>
      </c>
      <c r="K17" s="116">
        <f t="shared" si="2"/>
        <v>-10</v>
      </c>
      <c r="L17" s="116">
        <f t="shared" si="3"/>
        <v>-20</v>
      </c>
      <c r="M17" s="117">
        <f t="shared" si="4"/>
        <v>22.360679774997898</v>
      </c>
      <c r="N17" s="117">
        <f t="shared" si="5"/>
        <v>-116.56505117707799</v>
      </c>
      <c r="O17" s="117">
        <f t="shared" si="6"/>
        <v>-2.0344439357957027</v>
      </c>
      <c r="P17" s="89">
        <f t="shared" si="7"/>
        <v>0</v>
      </c>
      <c r="Q17" s="89">
        <f t="shared" si="8"/>
        <v>0</v>
      </c>
      <c r="R17" s="89">
        <f t="shared" si="9"/>
        <v>0</v>
      </c>
      <c r="S17" s="89">
        <f t="shared" si="10"/>
        <v>0</v>
      </c>
      <c r="T17" s="89">
        <v>0</v>
      </c>
      <c r="U17" s="89">
        <v>0</v>
      </c>
      <c r="V17" s="89">
        <f t="shared" si="11"/>
        <v>0</v>
      </c>
      <c r="W17" s="89">
        <f t="shared" si="12"/>
        <v>0</v>
      </c>
    </row>
    <row r="18" spans="3:23" x14ac:dyDescent="0.35">
      <c r="C18" s="4" t="s">
        <v>231</v>
      </c>
      <c r="D18" s="4">
        <v>20</v>
      </c>
      <c r="E18" s="107" t="s">
        <v>214</v>
      </c>
      <c r="F18" s="4">
        <v>100</v>
      </c>
      <c r="G18" s="4" t="s">
        <v>210</v>
      </c>
      <c r="H18" s="119" t="s">
        <v>269</v>
      </c>
      <c r="I18" s="5" t="str">
        <f t="shared" si="0"/>
        <v>Polar [°]</v>
      </c>
      <c r="J18" s="89">
        <f t="shared" si="1"/>
        <v>1.7453292519943295</v>
      </c>
      <c r="K18" s="116">
        <f t="shared" si="2"/>
        <v>-3.4729635533386061</v>
      </c>
      <c r="L18" s="116">
        <f t="shared" si="3"/>
        <v>19.696155060244159</v>
      </c>
      <c r="M18" s="117">
        <f t="shared" si="4"/>
        <v>19.999999999999996</v>
      </c>
      <c r="N18" s="117">
        <f t="shared" si="5"/>
        <v>100</v>
      </c>
      <c r="O18" s="117">
        <f t="shared" si="6"/>
        <v>1.7453292519943295</v>
      </c>
      <c r="P18" s="89">
        <f t="shared" si="7"/>
        <v>0</v>
      </c>
      <c r="Q18" s="89">
        <f t="shared" si="8"/>
        <v>0</v>
      </c>
      <c r="R18" s="89">
        <f t="shared" si="9"/>
        <v>0</v>
      </c>
      <c r="S18" s="89">
        <f t="shared" si="10"/>
        <v>0</v>
      </c>
      <c r="T18" s="89">
        <v>0</v>
      </c>
      <c r="U18" s="89">
        <v>0</v>
      </c>
      <c r="V18" s="89">
        <f t="shared" si="11"/>
        <v>0</v>
      </c>
      <c r="W18" s="89">
        <f t="shared" si="12"/>
        <v>0</v>
      </c>
    </row>
    <row r="19" spans="3:23" x14ac:dyDescent="0.35">
      <c r="C19" s="4" t="s">
        <v>232</v>
      </c>
      <c r="D19" s="4">
        <v>20</v>
      </c>
      <c r="E19" s="107" t="s">
        <v>214</v>
      </c>
      <c r="F19" s="4">
        <v>180</v>
      </c>
      <c r="G19" s="4" t="s">
        <v>210</v>
      </c>
      <c r="H19" s="119" t="s">
        <v>269</v>
      </c>
      <c r="I19" s="5" t="str">
        <f t="shared" si="0"/>
        <v>Polar [°]</v>
      </c>
      <c r="J19" s="89">
        <f t="shared" si="1"/>
        <v>3.1415926535897931</v>
      </c>
      <c r="K19" s="116">
        <f t="shared" si="2"/>
        <v>-20</v>
      </c>
      <c r="L19" s="116">
        <f t="shared" si="3"/>
        <v>2.45029690981724E-15</v>
      </c>
      <c r="M19" s="117">
        <f t="shared" si="4"/>
        <v>20</v>
      </c>
      <c r="N19" s="117">
        <f t="shared" si="5"/>
        <v>180</v>
      </c>
      <c r="O19" s="117">
        <f t="shared" si="6"/>
        <v>3.1415926535897931</v>
      </c>
      <c r="P19" s="89">
        <f t="shared" si="7"/>
        <v>0</v>
      </c>
      <c r="Q19" s="89">
        <f t="shared" si="8"/>
        <v>0</v>
      </c>
      <c r="R19" s="89">
        <f t="shared" si="9"/>
        <v>0</v>
      </c>
      <c r="S19" s="89">
        <f t="shared" si="10"/>
        <v>0</v>
      </c>
      <c r="T19" s="89">
        <v>0</v>
      </c>
      <c r="U19" s="89">
        <v>0</v>
      </c>
      <c r="V19" s="89">
        <f t="shared" si="11"/>
        <v>0</v>
      </c>
      <c r="W19" s="89">
        <f t="shared" si="12"/>
        <v>0</v>
      </c>
    </row>
    <row r="20" spans="3:23" x14ac:dyDescent="0.35">
      <c r="C20" s="4" t="s">
        <v>233</v>
      </c>
      <c r="D20" s="4">
        <v>20</v>
      </c>
      <c r="E20" s="107" t="s">
        <v>214</v>
      </c>
      <c r="F20" s="4">
        <v>6.5</v>
      </c>
      <c r="G20" s="4" t="s">
        <v>211</v>
      </c>
      <c r="H20" s="119" t="s">
        <v>269</v>
      </c>
      <c r="I20" s="5" t="str">
        <f t="shared" si="0"/>
        <v>Polar [rad]</v>
      </c>
      <c r="J20" s="89">
        <f t="shared" si="1"/>
        <v>6.5</v>
      </c>
      <c r="K20" s="116">
        <f t="shared" si="2"/>
        <v>19.53175251456047</v>
      </c>
      <c r="L20" s="116">
        <f t="shared" si="3"/>
        <v>4.3023997617563108</v>
      </c>
      <c r="M20" s="117">
        <f t="shared" si="4"/>
        <v>20</v>
      </c>
      <c r="N20" s="117">
        <f t="shared" si="5"/>
        <v>12.422566835035086</v>
      </c>
      <c r="O20" s="117">
        <f t="shared" si="6"/>
        <v>0.21681469282041352</v>
      </c>
      <c r="P20" s="89">
        <f t="shared" si="7"/>
        <v>0</v>
      </c>
      <c r="Q20" s="89">
        <f t="shared" si="8"/>
        <v>0</v>
      </c>
      <c r="R20" s="89">
        <f t="shared" si="9"/>
        <v>0</v>
      </c>
      <c r="S20" s="89">
        <f t="shared" si="10"/>
        <v>0</v>
      </c>
      <c r="T20" s="89">
        <v>0</v>
      </c>
      <c r="U20" s="89">
        <v>0</v>
      </c>
      <c r="V20" s="89">
        <f t="shared" si="11"/>
        <v>0</v>
      </c>
      <c r="W20" s="89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BB46"/>
  <sheetViews>
    <sheetView showGridLines="0" zoomScaleNormal="100" workbookViewId="0">
      <selection activeCell="G47" sqref="G47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1" ht="40" customHeight="1" x14ac:dyDescent="0.35"/>
    <row r="2" spans="2:21" ht="23.5" x14ac:dyDescent="0.55000000000000004">
      <c r="B2" s="22" t="s">
        <v>343</v>
      </c>
      <c r="M2" s="232"/>
    </row>
    <row r="3" spans="2:21" ht="12" customHeight="1" x14ac:dyDescent="0.55000000000000004">
      <c r="B3" s="22"/>
      <c r="M3" s="232"/>
    </row>
    <row r="4" spans="2:21" ht="12" customHeight="1" x14ac:dyDescent="0.55000000000000004">
      <c r="B4" s="22"/>
      <c r="M4" s="232"/>
    </row>
    <row r="5" spans="2:21" x14ac:dyDescent="0.35">
      <c r="C5" s="225" t="s">
        <v>427</v>
      </c>
      <c r="D5" s="224"/>
      <c r="E5" s="224"/>
      <c r="F5" s="224"/>
      <c r="G5" s="224"/>
      <c r="M5" s="224" t="s">
        <v>263</v>
      </c>
    </row>
    <row r="6" spans="2:21" x14ac:dyDescent="0.35">
      <c r="C6" s="221">
        <v>180</v>
      </c>
      <c r="D6" s="5" t="str">
        <f>M6</f>
        <v>°</v>
      </c>
      <c r="E6" s="222" t="s">
        <v>344</v>
      </c>
      <c r="F6" s="227">
        <f>PI()*C6/180</f>
        <v>3.1415926535897931</v>
      </c>
      <c r="G6" s="5" t="str">
        <f>M7</f>
        <v>rad</v>
      </c>
      <c r="M6" s="223" t="s">
        <v>210</v>
      </c>
    </row>
    <row r="7" spans="2:21" x14ac:dyDescent="0.35">
      <c r="C7" s="90">
        <v>3.1415000000000002</v>
      </c>
      <c r="D7" s="5" t="str">
        <f>M7</f>
        <v>rad</v>
      </c>
      <c r="E7" s="222" t="s">
        <v>344</v>
      </c>
      <c r="F7" s="227">
        <f>180*C7/PI()</f>
        <v>179.99469134034814</v>
      </c>
      <c r="G7" s="5" t="str">
        <f>M6</f>
        <v>°</v>
      </c>
      <c r="M7" s="223" t="s">
        <v>211</v>
      </c>
    </row>
    <row r="8" spans="2:21" x14ac:dyDescent="0.35">
      <c r="C8" s="90">
        <v>180</v>
      </c>
      <c r="D8" s="4" t="s">
        <v>210</v>
      </c>
      <c r="E8" s="222" t="s">
        <v>344</v>
      </c>
      <c r="F8" s="227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305" t="s">
        <v>431</v>
      </c>
      <c r="C13" s="307"/>
      <c r="D13" s="307"/>
      <c r="E13" s="307"/>
      <c r="F13" s="307"/>
      <c r="G13" s="307"/>
      <c r="H13" s="307"/>
      <c r="I13" s="307"/>
      <c r="L13" s="305" t="s">
        <v>432</v>
      </c>
      <c r="M13" s="306"/>
      <c r="N13" s="306"/>
      <c r="O13" s="306"/>
      <c r="Q13" s="305" t="s">
        <v>239</v>
      </c>
      <c r="R13" s="306"/>
      <c r="S13" s="306"/>
      <c r="T13" s="306"/>
      <c r="U13" s="306"/>
    </row>
    <row r="14" spans="2:21" x14ac:dyDescent="0.35">
      <c r="B14" s="229" t="s">
        <v>205</v>
      </c>
      <c r="C14" s="228" t="s">
        <v>215</v>
      </c>
      <c r="D14" s="228" t="s">
        <v>98</v>
      </c>
      <c r="E14" s="228" t="s">
        <v>428</v>
      </c>
      <c r="F14" s="228" t="s">
        <v>98</v>
      </c>
      <c r="G14" s="228" t="s">
        <v>428</v>
      </c>
      <c r="H14" s="228" t="s">
        <v>429</v>
      </c>
      <c r="I14" s="228" t="s">
        <v>430</v>
      </c>
      <c r="L14" s="234" t="s">
        <v>436</v>
      </c>
      <c r="M14" s="234" t="s">
        <v>437</v>
      </c>
      <c r="N14" s="234" t="s">
        <v>438</v>
      </c>
      <c r="O14" s="234" t="s">
        <v>439</v>
      </c>
      <c r="P14" s="232"/>
      <c r="Q14" s="238" t="s">
        <v>433</v>
      </c>
      <c r="R14" s="234"/>
      <c r="S14" s="234"/>
      <c r="T14" s="234"/>
      <c r="U14" s="234"/>
    </row>
    <row r="15" spans="2:21" x14ac:dyDescent="0.35">
      <c r="B15" s="230" t="s">
        <v>434</v>
      </c>
      <c r="C15" s="226">
        <v>10</v>
      </c>
      <c r="D15" s="90">
        <v>180</v>
      </c>
      <c r="E15" s="90" t="s">
        <v>210</v>
      </c>
      <c r="F15" s="227">
        <f>IF(E15=M7,D15,IF(D8=M6,D15*PI()/180,"Unknown"))</f>
        <v>3.1415926535897931</v>
      </c>
      <c r="G15" s="89" t="str">
        <f>M7</f>
        <v>rad</v>
      </c>
      <c r="H15" s="227">
        <f>C15*COS(F15)</f>
        <v>-10</v>
      </c>
      <c r="I15" s="227">
        <f>C15*SIN(F15)</f>
        <v>1.22514845490862E-15</v>
      </c>
      <c r="L15" s="235">
        <v>0</v>
      </c>
      <c r="M15" s="235">
        <f>H15</f>
        <v>-10</v>
      </c>
      <c r="N15" s="235">
        <v>0</v>
      </c>
      <c r="O15" s="235">
        <f>I15</f>
        <v>1.22514845490862E-15</v>
      </c>
      <c r="P15" s="236"/>
      <c r="Q15" s="237">
        <f>MAX(ABS(O15),ABS(M16),ABS(O16),ABS(M15),ABS(M17),ABS(O17))</f>
        <v>14</v>
      </c>
      <c r="R15" s="235">
        <f>Q16</f>
        <v>15.400000000000002</v>
      </c>
      <c r="S15" s="235">
        <v>0</v>
      </c>
      <c r="T15" s="235">
        <f>-R15</f>
        <v>-15.400000000000002</v>
      </c>
      <c r="U15" s="235">
        <v>0</v>
      </c>
    </row>
    <row r="16" spans="2:21" x14ac:dyDescent="0.35">
      <c r="B16" s="231" t="s">
        <v>435</v>
      </c>
      <c r="C16" s="227">
        <f>SQRT(H16^2+I16^2)</f>
        <v>6.4031242374328485</v>
      </c>
      <c r="D16" s="227">
        <f>F16*180/PI()</f>
        <v>128.65980825409008</v>
      </c>
      <c r="E16" s="89" t="str">
        <f>M6</f>
        <v>°</v>
      </c>
      <c r="F16" s="227">
        <f>ATAN2(H16,I16)</f>
        <v>2.245537269018449</v>
      </c>
      <c r="G16" s="89" t="str">
        <f>M7</f>
        <v>rad</v>
      </c>
      <c r="H16" s="90">
        <v>-4</v>
      </c>
      <c r="I16" s="90">
        <v>5</v>
      </c>
      <c r="L16" s="235">
        <v>0</v>
      </c>
      <c r="M16" s="235">
        <f>H16</f>
        <v>-4</v>
      </c>
      <c r="N16" s="235">
        <v>0</v>
      </c>
      <c r="O16" s="235">
        <f>I16</f>
        <v>5</v>
      </c>
      <c r="P16" s="236"/>
      <c r="Q16" s="237">
        <f>Q15*1.1</f>
        <v>15.400000000000002</v>
      </c>
      <c r="R16" s="235">
        <v>0</v>
      </c>
      <c r="S16" s="235">
        <f>R15</f>
        <v>15.400000000000002</v>
      </c>
      <c r="T16" s="235">
        <v>0</v>
      </c>
      <c r="U16" s="235">
        <f>T15</f>
        <v>-15.400000000000002</v>
      </c>
    </row>
    <row r="17" spans="2:54" ht="16.5" x14ac:dyDescent="0.45">
      <c r="B17" s="239" t="s">
        <v>446</v>
      </c>
      <c r="C17" s="227">
        <f>SQRT(H17^2+I17^2)</f>
        <v>14.866068747318506</v>
      </c>
      <c r="D17" s="227">
        <f>F17*180/PI()</f>
        <v>160.34617594194668</v>
      </c>
      <c r="E17" s="89" t="str">
        <f>E16</f>
        <v>°</v>
      </c>
      <c r="F17" s="227">
        <f>ATAN2(H17,I17)</f>
        <v>2.7985687131690895</v>
      </c>
      <c r="G17" s="89" t="str">
        <f>G16</f>
        <v>rad</v>
      </c>
      <c r="H17" s="227">
        <f>H16+H15</f>
        <v>-14</v>
      </c>
      <c r="I17" s="227">
        <f>I16+I15</f>
        <v>5.0000000000000009</v>
      </c>
      <c r="L17" s="235">
        <v>0</v>
      </c>
      <c r="M17" s="235">
        <f>H17</f>
        <v>-14</v>
      </c>
      <c r="N17" s="235">
        <v>0</v>
      </c>
      <c r="O17" s="235">
        <f>I17</f>
        <v>5.0000000000000009</v>
      </c>
    </row>
    <row r="18" spans="2:54" ht="16.5" x14ac:dyDescent="0.45">
      <c r="B18" s="19" t="s">
        <v>447</v>
      </c>
      <c r="C18" s="92">
        <f>C16*C15</f>
        <v>64.031242374328485</v>
      </c>
      <c r="D18" s="227">
        <f>D16+D15</f>
        <v>308.65980825409008</v>
      </c>
      <c r="E18" s="89" t="str">
        <f>E17</f>
        <v>°</v>
      </c>
      <c r="F18" s="227">
        <f>F15+F16</f>
        <v>5.3871299226082421</v>
      </c>
      <c r="G18" s="89" t="str">
        <f>G17</f>
        <v>rad</v>
      </c>
      <c r="H18" s="227">
        <f>C18*COS(F18)</f>
        <v>39.999999999999979</v>
      </c>
      <c r="I18" s="227">
        <f>C18*SIN(F18)</f>
        <v>-50.000000000000014</v>
      </c>
    </row>
    <row r="21" spans="2:54" x14ac:dyDescent="0.35">
      <c r="L21" s="233" t="s">
        <v>216</v>
      </c>
      <c r="M21" s="233">
        <v>0</v>
      </c>
      <c r="N21" s="233">
        <f>M21+10</f>
        <v>10</v>
      </c>
      <c r="O21" s="233">
        <f t="shared" ref="O21:AW21" si="0">N21+10</f>
        <v>20</v>
      </c>
      <c r="P21" s="233">
        <f t="shared" si="0"/>
        <v>30</v>
      </c>
      <c r="Q21" s="233">
        <f t="shared" si="0"/>
        <v>40</v>
      </c>
      <c r="R21" s="233">
        <f t="shared" si="0"/>
        <v>50</v>
      </c>
      <c r="S21" s="233">
        <f t="shared" si="0"/>
        <v>60</v>
      </c>
      <c r="T21" s="233">
        <f t="shared" si="0"/>
        <v>70</v>
      </c>
      <c r="U21" s="233">
        <f t="shared" si="0"/>
        <v>80</v>
      </c>
      <c r="V21" s="233">
        <f t="shared" si="0"/>
        <v>90</v>
      </c>
      <c r="W21" s="233">
        <f t="shared" si="0"/>
        <v>100</v>
      </c>
      <c r="X21" s="233">
        <f t="shared" si="0"/>
        <v>110</v>
      </c>
      <c r="Y21" s="233">
        <f t="shared" si="0"/>
        <v>120</v>
      </c>
      <c r="Z21" s="233">
        <f t="shared" si="0"/>
        <v>130</v>
      </c>
      <c r="AA21" s="233">
        <f t="shared" si="0"/>
        <v>140</v>
      </c>
      <c r="AB21" s="233">
        <f t="shared" si="0"/>
        <v>150</v>
      </c>
      <c r="AC21" s="233">
        <f t="shared" si="0"/>
        <v>160</v>
      </c>
      <c r="AD21" s="233">
        <f t="shared" si="0"/>
        <v>170</v>
      </c>
      <c r="AE21" s="233">
        <f t="shared" si="0"/>
        <v>180</v>
      </c>
      <c r="AF21" s="233">
        <f t="shared" si="0"/>
        <v>190</v>
      </c>
      <c r="AG21" s="233">
        <f t="shared" si="0"/>
        <v>200</v>
      </c>
      <c r="AH21" s="233">
        <f t="shared" si="0"/>
        <v>210</v>
      </c>
      <c r="AI21" s="233">
        <f t="shared" si="0"/>
        <v>220</v>
      </c>
      <c r="AJ21" s="233">
        <f t="shared" si="0"/>
        <v>230</v>
      </c>
      <c r="AK21" s="233">
        <f t="shared" si="0"/>
        <v>240</v>
      </c>
      <c r="AL21" s="233">
        <f t="shared" si="0"/>
        <v>250</v>
      </c>
      <c r="AM21" s="233">
        <f t="shared" si="0"/>
        <v>260</v>
      </c>
      <c r="AN21" s="233">
        <f t="shared" si="0"/>
        <v>270</v>
      </c>
      <c r="AO21" s="233">
        <f t="shared" si="0"/>
        <v>280</v>
      </c>
      <c r="AP21" s="233">
        <f t="shared" si="0"/>
        <v>290</v>
      </c>
      <c r="AQ21" s="233">
        <f t="shared" si="0"/>
        <v>300</v>
      </c>
      <c r="AR21" s="233">
        <f t="shared" si="0"/>
        <v>310</v>
      </c>
      <c r="AS21" s="233">
        <f t="shared" si="0"/>
        <v>320</v>
      </c>
      <c r="AT21" s="233">
        <f t="shared" si="0"/>
        <v>330</v>
      </c>
      <c r="AU21" s="233">
        <f t="shared" si="0"/>
        <v>340</v>
      </c>
      <c r="AV21" s="233">
        <f t="shared" si="0"/>
        <v>350</v>
      </c>
      <c r="AW21" s="233">
        <f t="shared" si="0"/>
        <v>360</v>
      </c>
      <c r="AX21" s="233"/>
      <c r="AY21" s="233"/>
      <c r="AZ21" s="233"/>
      <c r="BA21" s="233"/>
      <c r="BB21" s="233"/>
    </row>
    <row r="22" spans="2:54" x14ac:dyDescent="0.35">
      <c r="L22" s="233" t="s">
        <v>217</v>
      </c>
      <c r="M22" s="233">
        <f>M21*PI()/180</f>
        <v>0</v>
      </c>
      <c r="N22" s="233">
        <f t="shared" ref="N22:AW22" si="1">N21*PI()/180</f>
        <v>0.17453292519943295</v>
      </c>
      <c r="O22" s="233">
        <f t="shared" si="1"/>
        <v>0.3490658503988659</v>
      </c>
      <c r="P22" s="233">
        <f t="shared" si="1"/>
        <v>0.52359877559829882</v>
      </c>
      <c r="Q22" s="233">
        <f t="shared" si="1"/>
        <v>0.69813170079773179</v>
      </c>
      <c r="R22" s="233">
        <f t="shared" si="1"/>
        <v>0.87266462599716477</v>
      </c>
      <c r="S22" s="233">
        <f t="shared" si="1"/>
        <v>1.0471975511965976</v>
      </c>
      <c r="T22" s="233">
        <f t="shared" si="1"/>
        <v>1.2217304763960306</v>
      </c>
      <c r="U22" s="233">
        <f t="shared" si="1"/>
        <v>1.3962634015954636</v>
      </c>
      <c r="V22" s="233">
        <f t="shared" si="1"/>
        <v>1.5707963267948966</v>
      </c>
      <c r="W22" s="233">
        <f t="shared" si="1"/>
        <v>1.7453292519943295</v>
      </c>
      <c r="X22" s="233">
        <f t="shared" si="1"/>
        <v>1.9198621771937625</v>
      </c>
      <c r="Y22" s="233">
        <f t="shared" si="1"/>
        <v>2.0943951023931953</v>
      </c>
      <c r="Z22" s="233">
        <f t="shared" si="1"/>
        <v>2.2689280275926285</v>
      </c>
      <c r="AA22" s="233">
        <f t="shared" si="1"/>
        <v>2.4434609527920612</v>
      </c>
      <c r="AB22" s="233">
        <f t="shared" si="1"/>
        <v>2.6179938779914944</v>
      </c>
      <c r="AC22" s="233">
        <f t="shared" si="1"/>
        <v>2.7925268031909272</v>
      </c>
      <c r="AD22" s="233">
        <f t="shared" si="1"/>
        <v>2.9670597283903604</v>
      </c>
      <c r="AE22" s="233">
        <f t="shared" si="1"/>
        <v>3.1415926535897931</v>
      </c>
      <c r="AF22" s="233">
        <f t="shared" si="1"/>
        <v>3.3161255787892263</v>
      </c>
      <c r="AG22" s="233">
        <f t="shared" si="1"/>
        <v>3.4906585039886591</v>
      </c>
      <c r="AH22" s="233">
        <f t="shared" si="1"/>
        <v>3.6651914291880923</v>
      </c>
      <c r="AI22" s="233">
        <f t="shared" si="1"/>
        <v>3.839724354387525</v>
      </c>
      <c r="AJ22" s="233">
        <f t="shared" si="1"/>
        <v>4.0142572795869578</v>
      </c>
      <c r="AK22" s="233">
        <f t="shared" si="1"/>
        <v>4.1887902047863905</v>
      </c>
      <c r="AL22" s="233">
        <f t="shared" si="1"/>
        <v>4.3633231299858233</v>
      </c>
      <c r="AM22" s="233">
        <f t="shared" si="1"/>
        <v>4.5378560551852569</v>
      </c>
      <c r="AN22" s="233">
        <f t="shared" si="1"/>
        <v>4.7123889803846897</v>
      </c>
      <c r="AO22" s="233">
        <f t="shared" si="1"/>
        <v>4.8869219055841224</v>
      </c>
      <c r="AP22" s="233">
        <f t="shared" si="1"/>
        <v>5.0614548307835552</v>
      </c>
      <c r="AQ22" s="233">
        <f t="shared" si="1"/>
        <v>5.2359877559829888</v>
      </c>
      <c r="AR22" s="233">
        <f t="shared" si="1"/>
        <v>5.4105206811824216</v>
      </c>
      <c r="AS22" s="233">
        <f t="shared" si="1"/>
        <v>5.5850536063818543</v>
      </c>
      <c r="AT22" s="233">
        <f t="shared" si="1"/>
        <v>5.7595865315812871</v>
      </c>
      <c r="AU22" s="233">
        <f t="shared" si="1"/>
        <v>5.9341194567807207</v>
      </c>
      <c r="AV22" s="233">
        <f t="shared" si="1"/>
        <v>6.1086523819801526</v>
      </c>
      <c r="AW22" s="233">
        <f t="shared" si="1"/>
        <v>6.2831853071795862</v>
      </c>
    </row>
    <row r="23" spans="2:54" x14ac:dyDescent="0.35">
      <c r="L23" s="230" t="s">
        <v>434</v>
      </c>
      <c r="M23" s="233">
        <f>$C$15*SIN(M22+$F$15)</f>
        <v>1.22514845490862E-15</v>
      </c>
      <c r="N23" s="233">
        <f t="shared" ref="N23:AW23" si="2">$C$15*SIN(N22+$F$15)</f>
        <v>-1.7364817766693004</v>
      </c>
      <c r="O23" s="233">
        <f t="shared" si="2"/>
        <v>-3.4202014332566866</v>
      </c>
      <c r="P23" s="233">
        <f t="shared" si="2"/>
        <v>-4.9999999999999973</v>
      </c>
      <c r="Q23" s="233">
        <f t="shared" si="2"/>
        <v>-6.4278760968653925</v>
      </c>
      <c r="R23" s="233">
        <f t="shared" si="2"/>
        <v>-7.660444431189779</v>
      </c>
      <c r="S23" s="233">
        <f t="shared" si="2"/>
        <v>-8.6602540378443837</v>
      </c>
      <c r="T23" s="233">
        <f t="shared" si="2"/>
        <v>-9.3969262078590852</v>
      </c>
      <c r="U23" s="233">
        <f t="shared" si="2"/>
        <v>-9.8480775301220795</v>
      </c>
      <c r="V23" s="233">
        <f t="shared" si="2"/>
        <v>-10</v>
      </c>
      <c r="W23" s="233">
        <f t="shared" si="2"/>
        <v>-9.8480775301220813</v>
      </c>
      <c r="X23" s="233">
        <f t="shared" si="2"/>
        <v>-9.3969262078590852</v>
      </c>
      <c r="Y23" s="233">
        <f t="shared" si="2"/>
        <v>-8.6602540378443909</v>
      </c>
      <c r="Z23" s="233">
        <f t="shared" si="2"/>
        <v>-7.6604444311897808</v>
      </c>
      <c r="AA23" s="233">
        <f t="shared" si="2"/>
        <v>-6.4278760968653961</v>
      </c>
      <c r="AB23" s="233">
        <f t="shared" si="2"/>
        <v>-4.9999999999999964</v>
      </c>
      <c r="AC23" s="233">
        <f t="shared" si="2"/>
        <v>-3.4202014332566861</v>
      </c>
      <c r="AD23" s="233">
        <f t="shared" si="2"/>
        <v>-1.7364817766693039</v>
      </c>
      <c r="AE23" s="233">
        <f t="shared" si="2"/>
        <v>-2.45029690981724E-15</v>
      </c>
      <c r="AF23" s="233">
        <f t="shared" si="2"/>
        <v>1.736481776669299</v>
      </c>
      <c r="AG23" s="233">
        <f t="shared" si="2"/>
        <v>3.4202014332566808</v>
      </c>
      <c r="AH23" s="233">
        <f t="shared" si="2"/>
        <v>5</v>
      </c>
      <c r="AI23" s="233">
        <f t="shared" si="2"/>
        <v>6.4278760968653916</v>
      </c>
      <c r="AJ23" s="233">
        <f t="shared" si="2"/>
        <v>7.6604444311897781</v>
      </c>
      <c r="AK23" s="233">
        <f t="shared" si="2"/>
        <v>8.6602540378443837</v>
      </c>
      <c r="AL23" s="233">
        <f t="shared" si="2"/>
        <v>9.3969262078590816</v>
      </c>
      <c r="AM23" s="233">
        <f t="shared" si="2"/>
        <v>9.8480775301220795</v>
      </c>
      <c r="AN23" s="233">
        <f t="shared" si="2"/>
        <v>10</v>
      </c>
      <c r="AO23" s="233">
        <f t="shared" si="2"/>
        <v>9.8480775301220813</v>
      </c>
      <c r="AP23" s="233">
        <f t="shared" si="2"/>
        <v>9.3969262078590869</v>
      </c>
      <c r="AQ23" s="233">
        <f t="shared" si="2"/>
        <v>8.660254037844382</v>
      </c>
      <c r="AR23" s="233">
        <f t="shared" si="2"/>
        <v>7.6604444311897755</v>
      </c>
      <c r="AS23" s="233">
        <f t="shared" si="2"/>
        <v>6.4278760968653899</v>
      </c>
      <c r="AT23" s="233">
        <f t="shared" si="2"/>
        <v>4.9999999999999982</v>
      </c>
      <c r="AU23" s="233">
        <f t="shared" si="2"/>
        <v>3.420201433256687</v>
      </c>
      <c r="AV23" s="233">
        <f t="shared" si="2"/>
        <v>1.736481776669305</v>
      </c>
      <c r="AW23" s="233">
        <f t="shared" si="2"/>
        <v>3.67544536472586E-15</v>
      </c>
    </row>
    <row r="24" spans="2:54" ht="16" customHeight="1" x14ac:dyDescent="0.35">
      <c r="L24" s="231" t="s">
        <v>435</v>
      </c>
      <c r="M24" s="233">
        <f>$C$16*SIN(M22+$F$16)</f>
        <v>5.0000000000000009</v>
      </c>
      <c r="N24" s="233">
        <f t="shared" ref="N24:AW24" si="3">$C$16*SIN(N22+$F$16)</f>
        <v>4.2294460543933212</v>
      </c>
      <c r="O24" s="233">
        <f t="shared" si="3"/>
        <v>3.330382530626868</v>
      </c>
      <c r="P24" s="233">
        <f t="shared" si="3"/>
        <v>2.3301270189221959</v>
      </c>
      <c r="Q24" s="233">
        <f t="shared" si="3"/>
        <v>1.2590717768487343</v>
      </c>
      <c r="R24" s="233">
        <f t="shared" si="3"/>
        <v>0.14976027595678734</v>
      </c>
      <c r="S24" s="233">
        <f t="shared" si="3"/>
        <v>-0.9641016151377505</v>
      </c>
      <c r="T24" s="233">
        <f t="shared" si="3"/>
        <v>-2.0486697665152875</v>
      </c>
      <c r="U24" s="233">
        <f t="shared" si="3"/>
        <v>-3.0709901237141795</v>
      </c>
      <c r="V24" s="233">
        <f t="shared" si="3"/>
        <v>-3.9999999999999978</v>
      </c>
      <c r="W24" s="233">
        <f t="shared" si="3"/>
        <v>-4.807471900383482</v>
      </c>
      <c r="X24" s="233">
        <f t="shared" si="3"/>
        <v>-5.4688711997719741</v>
      </c>
      <c r="Y24" s="233">
        <f t="shared" si="3"/>
        <v>-5.9641016151377517</v>
      </c>
      <c r="Z24" s="233">
        <f t="shared" si="3"/>
        <v>-6.2781158209086083</v>
      </c>
      <c r="AA24" s="233">
        <f t="shared" si="3"/>
        <v>-6.4013726543410474</v>
      </c>
      <c r="AB24" s="233">
        <f t="shared" si="3"/>
        <v>-6.3301270189221928</v>
      </c>
      <c r="AC24" s="233">
        <f t="shared" si="3"/>
        <v>-6.0665436772322172</v>
      </c>
      <c r="AD24" s="233">
        <f t="shared" si="3"/>
        <v>-5.6186314757287628</v>
      </c>
      <c r="AE24" s="233">
        <f t="shared" si="3"/>
        <v>-5.0000000000000018</v>
      </c>
      <c r="AF24" s="233">
        <f t="shared" si="3"/>
        <v>-4.2294460543933221</v>
      </c>
      <c r="AG24" s="233">
        <f t="shared" si="3"/>
        <v>-3.3303825306268715</v>
      </c>
      <c r="AH24" s="233">
        <f t="shared" si="3"/>
        <v>-2.3301270189221941</v>
      </c>
      <c r="AI24" s="233">
        <f t="shared" si="3"/>
        <v>-1.2590717768487352</v>
      </c>
      <c r="AJ24" s="233">
        <f t="shared" si="3"/>
        <v>-0.14976027595678815</v>
      </c>
      <c r="AK24" s="233">
        <f t="shared" si="3"/>
        <v>0.96410161513774961</v>
      </c>
      <c r="AL24" s="233">
        <f t="shared" si="3"/>
        <v>2.048669766515284</v>
      </c>
      <c r="AM24" s="233">
        <f t="shared" si="3"/>
        <v>3.070990123714179</v>
      </c>
      <c r="AN24" s="233">
        <f t="shared" si="3"/>
        <v>3.9999999999999973</v>
      </c>
      <c r="AO24" s="233">
        <f t="shared" si="3"/>
        <v>4.8074719003834812</v>
      </c>
      <c r="AP24" s="233">
        <f t="shared" si="3"/>
        <v>5.4688711997719741</v>
      </c>
      <c r="AQ24" s="233">
        <f t="shared" si="3"/>
        <v>5.9641016151377544</v>
      </c>
      <c r="AR24" s="233">
        <f t="shared" si="3"/>
        <v>6.2781158209086083</v>
      </c>
      <c r="AS24" s="233">
        <f t="shared" si="3"/>
        <v>6.4013726543410474</v>
      </c>
      <c r="AT24" s="233">
        <f t="shared" si="3"/>
        <v>6.3301270189221928</v>
      </c>
      <c r="AU24" s="233">
        <f t="shared" si="3"/>
        <v>6.0665436772322172</v>
      </c>
      <c r="AV24" s="233">
        <f t="shared" si="3"/>
        <v>5.6186314757287628</v>
      </c>
      <c r="AW24" s="233">
        <f t="shared" si="3"/>
        <v>5.0000000000000027</v>
      </c>
    </row>
    <row r="25" spans="2:54" ht="16" customHeight="1" x14ac:dyDescent="0.45">
      <c r="L25" s="239" t="s">
        <v>446</v>
      </c>
      <c r="M25" s="233">
        <f>M23+M24</f>
        <v>5.0000000000000018</v>
      </c>
      <c r="N25" s="233">
        <f t="shared" ref="N25:AW25" si="4">N23+N24</f>
        <v>2.4929642777240208</v>
      </c>
      <c r="O25" s="233">
        <f t="shared" si="4"/>
        <v>-8.981890262981862E-2</v>
      </c>
      <c r="P25" s="233">
        <f t="shared" si="4"/>
        <v>-2.6698729810778015</v>
      </c>
      <c r="Q25" s="233">
        <f t="shared" si="4"/>
        <v>-5.1688043200166582</v>
      </c>
      <c r="R25" s="233">
        <f t="shared" si="4"/>
        <v>-7.5106841552329913</v>
      </c>
      <c r="S25" s="233">
        <f t="shared" si="4"/>
        <v>-9.6243556529821337</v>
      </c>
      <c r="T25" s="233">
        <f t="shared" si="4"/>
        <v>-11.445595974374372</v>
      </c>
      <c r="U25" s="233">
        <f t="shared" si="4"/>
        <v>-12.919067653836258</v>
      </c>
      <c r="V25" s="233">
        <f t="shared" si="4"/>
        <v>-13.999999999999998</v>
      </c>
      <c r="W25" s="233">
        <f t="shared" si="4"/>
        <v>-14.655549430505562</v>
      </c>
      <c r="X25" s="233">
        <f t="shared" si="4"/>
        <v>-14.86579740763106</v>
      </c>
      <c r="Y25" s="233">
        <f t="shared" si="4"/>
        <v>-14.624355652982143</v>
      </c>
      <c r="Z25" s="233">
        <f t="shared" si="4"/>
        <v>-13.938560252098389</v>
      </c>
      <c r="AA25" s="233">
        <f t="shared" si="4"/>
        <v>-12.829248751206443</v>
      </c>
      <c r="AB25" s="233">
        <f t="shared" si="4"/>
        <v>-11.330127018922189</v>
      </c>
      <c r="AC25" s="233">
        <f t="shared" si="4"/>
        <v>-9.4867451104889042</v>
      </c>
      <c r="AD25" s="233">
        <f t="shared" si="4"/>
        <v>-7.3551132523980662</v>
      </c>
      <c r="AE25" s="233">
        <f t="shared" si="4"/>
        <v>-5.0000000000000044</v>
      </c>
      <c r="AF25" s="233">
        <f t="shared" si="4"/>
        <v>-2.4929642777240231</v>
      </c>
      <c r="AG25" s="233">
        <f t="shared" si="4"/>
        <v>8.9818902629809294E-2</v>
      </c>
      <c r="AH25" s="233">
        <f t="shared" si="4"/>
        <v>2.6698729810778059</v>
      </c>
      <c r="AI25" s="233">
        <f t="shared" si="4"/>
        <v>5.1688043200166565</v>
      </c>
      <c r="AJ25" s="233">
        <f t="shared" si="4"/>
        <v>7.5106841552329904</v>
      </c>
      <c r="AK25" s="233">
        <f t="shared" si="4"/>
        <v>9.6243556529821337</v>
      </c>
      <c r="AL25" s="233">
        <f t="shared" si="4"/>
        <v>11.445595974374365</v>
      </c>
      <c r="AM25" s="233">
        <f t="shared" si="4"/>
        <v>12.919067653836258</v>
      </c>
      <c r="AN25" s="233">
        <f t="shared" si="4"/>
        <v>13.999999999999996</v>
      </c>
      <c r="AO25" s="233">
        <f t="shared" si="4"/>
        <v>14.655549430505562</v>
      </c>
      <c r="AP25" s="233">
        <f t="shared" si="4"/>
        <v>14.86579740763106</v>
      </c>
      <c r="AQ25" s="233">
        <f t="shared" si="4"/>
        <v>14.624355652982135</v>
      </c>
      <c r="AR25" s="233">
        <f t="shared" si="4"/>
        <v>13.938560252098384</v>
      </c>
      <c r="AS25" s="233">
        <f t="shared" si="4"/>
        <v>12.829248751206437</v>
      </c>
      <c r="AT25" s="233">
        <f t="shared" si="4"/>
        <v>11.330127018922191</v>
      </c>
      <c r="AU25" s="233">
        <f t="shared" si="4"/>
        <v>9.4867451104889042</v>
      </c>
      <c r="AV25" s="233">
        <f t="shared" si="4"/>
        <v>7.355113252398068</v>
      </c>
      <c r="AW25" s="233">
        <f t="shared" si="4"/>
        <v>5.0000000000000062</v>
      </c>
    </row>
    <row r="26" spans="2:54" ht="16" customHeight="1" x14ac:dyDescent="0.35"/>
    <row r="44" spans="2:4" x14ac:dyDescent="0.35">
      <c r="B44" s="2" t="s">
        <v>440</v>
      </c>
      <c r="C44" s="2"/>
      <c r="D44" t="s">
        <v>441</v>
      </c>
    </row>
    <row r="45" spans="2:4" x14ac:dyDescent="0.35">
      <c r="B45" s="3" t="s">
        <v>442</v>
      </c>
      <c r="C45" s="3"/>
      <c r="D45" t="s">
        <v>445</v>
      </c>
    </row>
    <row r="46" spans="2:4" x14ac:dyDescent="0.35">
      <c r="B46" t="s">
        <v>443</v>
      </c>
      <c r="D46" t="s">
        <v>444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zoomScale="85" zoomScaleNormal="85" workbookViewId="0">
      <selection activeCell="P36" sqref="P36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199</v>
      </c>
      <c r="J2" s="106">
        <f ca="1">NOW()</f>
        <v>45918.413753587964</v>
      </c>
    </row>
    <row r="3" spans="1:11" ht="26" x14ac:dyDescent="0.6">
      <c r="C3" s="44"/>
      <c r="D3" s="44"/>
      <c r="I3" s="41"/>
      <c r="J3" s="106"/>
    </row>
    <row r="4" spans="1:11" ht="28.5" customHeight="1" x14ac:dyDescent="0.35">
      <c r="A4" s="107" t="s">
        <v>200</v>
      </c>
      <c r="B4" s="107" t="s">
        <v>194</v>
      </c>
      <c r="C4" s="107" t="str">
        <f ca="1">_xlfn.CONCAT("Geburtstag im ",YEAR(J2))</f>
        <v>Geburtstag im 2025</v>
      </c>
      <c r="D4" s="107" t="s">
        <v>203</v>
      </c>
      <c r="E4" s="113" t="s">
        <v>201</v>
      </c>
      <c r="F4" s="113" t="s">
        <v>202</v>
      </c>
      <c r="G4" s="107" t="s">
        <v>194</v>
      </c>
      <c r="H4" s="107" t="s">
        <v>195</v>
      </c>
      <c r="I4" s="107" t="s">
        <v>196</v>
      </c>
      <c r="J4" s="107" t="s">
        <v>197</v>
      </c>
      <c r="K4" s="107" t="s">
        <v>198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08" t="str">
        <f t="shared" ref="B5:B34" si="1">_xlfn.CONCAT(TEXT(DAY(G5),"00"),".",TEXT(G5,"MMMM"))</f>
        <v>01.Januar</v>
      </c>
      <c r="C5" s="112">
        <f t="shared" ref="C5:C34" ca="1" si="2">DATE(YEAR($J$2),MONTH(G5),DAY(G5))</f>
        <v>45658</v>
      </c>
      <c r="D5" s="112">
        <f t="shared" ref="D5:D34" ca="1" si="3">IF(C5&lt;$J$2,DATE(YEAR($J$2)+1,MONTH(G5),DAY(G5)),DATE(YEAR($J$2),MONTH(G5),DAY(G5)))</f>
        <v>46023</v>
      </c>
      <c r="E5" s="109">
        <f t="shared" ref="E5:E34" ca="1" si="4">YEAR($J$2) - YEAR(G5) - IF(C5&gt;$J$2,1,0)</f>
        <v>62</v>
      </c>
      <c r="F5" s="110">
        <f t="shared" ref="F5:F34" ca="1" si="5">YEAR($J$2) - YEAR(G5)</f>
        <v>62</v>
      </c>
      <c r="G5" s="111">
        <v>23012</v>
      </c>
      <c r="H5" s="5" t="s">
        <v>136</v>
      </c>
      <c r="I5" s="5" t="s">
        <v>137</v>
      </c>
      <c r="J5" s="5" t="s">
        <v>176</v>
      </c>
      <c r="K5" s="92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08" t="str">
        <f t="shared" si="1"/>
        <v>02.Januar</v>
      </c>
      <c r="C6" s="112">
        <f t="shared" ca="1" si="2"/>
        <v>45659</v>
      </c>
      <c r="D6" s="112">
        <f t="shared" ca="1" si="3"/>
        <v>46024</v>
      </c>
      <c r="E6" s="109">
        <f t="shared" ca="1" si="4"/>
        <v>38</v>
      </c>
      <c r="F6" s="110">
        <f t="shared" ca="1" si="5"/>
        <v>38</v>
      </c>
      <c r="G6" s="111" t="s">
        <v>141</v>
      </c>
      <c r="H6" s="5" t="s">
        <v>138</v>
      </c>
      <c r="I6" s="5" t="s">
        <v>142</v>
      </c>
      <c r="J6" s="5" t="s">
        <v>143</v>
      </c>
      <c r="K6" s="92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08" t="str">
        <f t="shared" si="1"/>
        <v>02.Januar</v>
      </c>
      <c r="C7" s="112">
        <f t="shared" ca="1" si="2"/>
        <v>45659</v>
      </c>
      <c r="D7" s="112">
        <f t="shared" ca="1" si="3"/>
        <v>46024</v>
      </c>
      <c r="E7" s="109">
        <f t="shared" ca="1" si="4"/>
        <v>33</v>
      </c>
      <c r="F7" s="110">
        <f t="shared" ca="1" si="5"/>
        <v>33</v>
      </c>
      <c r="G7" s="111" t="s">
        <v>146</v>
      </c>
      <c r="H7" s="5" t="s">
        <v>138</v>
      </c>
      <c r="I7" s="5" t="s">
        <v>147</v>
      </c>
      <c r="J7" s="5" t="s">
        <v>140</v>
      </c>
      <c r="K7" s="92" t="str">
        <f t="shared" ca="1" si="6"/>
        <v>Schon Geburtstag gehabt</v>
      </c>
    </row>
    <row r="8" spans="1:11" x14ac:dyDescent="0.35">
      <c r="A8" s="5" t="str">
        <f t="shared" si="0"/>
        <v>01_06</v>
      </c>
      <c r="B8" s="108" t="str">
        <f t="shared" si="1"/>
        <v>06.Januar</v>
      </c>
      <c r="C8" s="112">
        <f t="shared" ca="1" si="2"/>
        <v>45663</v>
      </c>
      <c r="D8" s="112">
        <f t="shared" ca="1" si="3"/>
        <v>46028</v>
      </c>
      <c r="E8" s="109">
        <f t="shared" ca="1" si="4"/>
        <v>37</v>
      </c>
      <c r="F8" s="110">
        <f t="shared" ca="1" si="5"/>
        <v>37</v>
      </c>
      <c r="G8" s="111" t="s">
        <v>148</v>
      </c>
      <c r="H8" s="5" t="s">
        <v>138</v>
      </c>
      <c r="I8" s="5" t="s">
        <v>149</v>
      </c>
      <c r="J8" s="5" t="s">
        <v>181</v>
      </c>
      <c r="K8" s="92" t="str">
        <f t="shared" ca="1" si="6"/>
        <v>Schon Geburtstag gehabt</v>
      </c>
    </row>
    <row r="9" spans="1:11" x14ac:dyDescent="0.35">
      <c r="A9" s="5" t="str">
        <f t="shared" si="0"/>
        <v>01_07</v>
      </c>
      <c r="B9" s="108" t="str">
        <f t="shared" si="1"/>
        <v>07.Januar</v>
      </c>
      <c r="C9" s="112">
        <f t="shared" ca="1" si="2"/>
        <v>45664</v>
      </c>
      <c r="D9" s="112">
        <f t="shared" ca="1" si="3"/>
        <v>46029</v>
      </c>
      <c r="E9" s="109">
        <f t="shared" ca="1" si="4"/>
        <v>49</v>
      </c>
      <c r="F9" s="110">
        <f t="shared" ca="1" si="5"/>
        <v>49</v>
      </c>
      <c r="G9" s="111" t="s">
        <v>151</v>
      </c>
      <c r="H9" s="5" t="s">
        <v>136</v>
      </c>
      <c r="I9" s="5" t="s">
        <v>152</v>
      </c>
      <c r="J9" s="5" t="s">
        <v>150</v>
      </c>
      <c r="K9" s="92" t="str">
        <f t="shared" ca="1" si="6"/>
        <v>Schon Geburtstag gehabt</v>
      </c>
    </row>
    <row r="10" spans="1:11" x14ac:dyDescent="0.35">
      <c r="A10" s="5" t="str">
        <f t="shared" si="0"/>
        <v>01_09</v>
      </c>
      <c r="B10" s="108" t="str">
        <f t="shared" si="1"/>
        <v>09.Januar</v>
      </c>
      <c r="C10" s="112">
        <f t="shared" ca="1" si="2"/>
        <v>45666</v>
      </c>
      <c r="D10" s="112">
        <f t="shared" ca="1" si="3"/>
        <v>46031</v>
      </c>
      <c r="E10" s="109">
        <f t="shared" ca="1" si="4"/>
        <v>60</v>
      </c>
      <c r="F10" s="110">
        <f t="shared" ca="1" si="5"/>
        <v>60</v>
      </c>
      <c r="G10" s="111" t="s">
        <v>153</v>
      </c>
      <c r="H10" s="5" t="s">
        <v>136</v>
      </c>
      <c r="I10" s="5" t="s">
        <v>154</v>
      </c>
      <c r="J10" s="5" t="s">
        <v>182</v>
      </c>
      <c r="K10" s="92" t="str">
        <f t="shared" ca="1" si="6"/>
        <v>Schon Geburtstag gehabt</v>
      </c>
    </row>
    <row r="11" spans="1:11" x14ac:dyDescent="0.35">
      <c r="A11" s="5" t="str">
        <f t="shared" si="0"/>
        <v>01_09</v>
      </c>
      <c r="B11" s="108" t="str">
        <f t="shared" si="1"/>
        <v>09.Januar</v>
      </c>
      <c r="C11" s="112">
        <f t="shared" ca="1" si="2"/>
        <v>45666</v>
      </c>
      <c r="D11" s="112">
        <f t="shared" ca="1" si="3"/>
        <v>46031</v>
      </c>
      <c r="E11" s="109">
        <f t="shared" ca="1" si="4"/>
        <v>67</v>
      </c>
      <c r="F11" s="110">
        <f t="shared" ca="1" si="5"/>
        <v>67</v>
      </c>
      <c r="G11" s="111" t="s">
        <v>156</v>
      </c>
      <c r="H11" s="5" t="s">
        <v>138</v>
      </c>
      <c r="I11" s="5" t="s">
        <v>157</v>
      </c>
      <c r="J11" s="5" t="s">
        <v>150</v>
      </c>
      <c r="K11" s="92" t="str">
        <f t="shared" ca="1" si="6"/>
        <v>Schon Geburtstag gehabt</v>
      </c>
    </row>
    <row r="12" spans="1:11" x14ac:dyDescent="0.35">
      <c r="A12" s="5" t="str">
        <f t="shared" si="0"/>
        <v>01_10</v>
      </c>
      <c r="B12" s="108" t="str">
        <f t="shared" si="1"/>
        <v>10.Januar</v>
      </c>
      <c r="C12" s="112">
        <f t="shared" ca="1" si="2"/>
        <v>45667</v>
      </c>
      <c r="D12" s="112">
        <f t="shared" ca="1" si="3"/>
        <v>46032</v>
      </c>
      <c r="E12" s="109">
        <f t="shared" ca="1" si="4"/>
        <v>28</v>
      </c>
      <c r="F12" s="110">
        <f t="shared" ca="1" si="5"/>
        <v>28</v>
      </c>
      <c r="G12" s="111" t="s">
        <v>158</v>
      </c>
      <c r="H12" s="5" t="s">
        <v>138</v>
      </c>
      <c r="I12" s="5" t="s">
        <v>149</v>
      </c>
      <c r="J12" s="5" t="s">
        <v>184</v>
      </c>
      <c r="K12" s="92" t="str">
        <f t="shared" ca="1" si="6"/>
        <v>Schon Geburtstag gehabt</v>
      </c>
    </row>
    <row r="13" spans="1:11" x14ac:dyDescent="0.35">
      <c r="A13" s="5" t="str">
        <f t="shared" si="0"/>
        <v>01_11</v>
      </c>
      <c r="B13" s="108" t="str">
        <f t="shared" si="1"/>
        <v>11.Januar</v>
      </c>
      <c r="C13" s="112">
        <f t="shared" ca="1" si="2"/>
        <v>45668</v>
      </c>
      <c r="D13" s="112">
        <f t="shared" ca="1" si="3"/>
        <v>46033</v>
      </c>
      <c r="E13" s="109">
        <f t="shared" ca="1" si="4"/>
        <v>61</v>
      </c>
      <c r="F13" s="110">
        <f t="shared" ca="1" si="5"/>
        <v>61</v>
      </c>
      <c r="G13" s="111" t="s">
        <v>162</v>
      </c>
      <c r="H13" s="5" t="s">
        <v>136</v>
      </c>
      <c r="I13" s="5" t="s">
        <v>163</v>
      </c>
      <c r="J13" s="5" t="s">
        <v>187</v>
      </c>
      <c r="K13" s="92" t="str">
        <f t="shared" ca="1" si="6"/>
        <v>Schon Geburtstag gehabt</v>
      </c>
    </row>
    <row r="14" spans="1:11" x14ac:dyDescent="0.35">
      <c r="A14" s="5" t="str">
        <f t="shared" si="0"/>
        <v>01_11</v>
      </c>
      <c r="B14" s="108" t="str">
        <f t="shared" si="1"/>
        <v>11.Januar</v>
      </c>
      <c r="C14" s="112">
        <f t="shared" ca="1" si="2"/>
        <v>45668</v>
      </c>
      <c r="D14" s="112">
        <f t="shared" ca="1" si="3"/>
        <v>46033</v>
      </c>
      <c r="E14" s="109">
        <f t="shared" ca="1" si="4"/>
        <v>42</v>
      </c>
      <c r="F14" s="110">
        <f t="shared" ca="1" si="5"/>
        <v>42</v>
      </c>
      <c r="G14" s="111" t="s">
        <v>165</v>
      </c>
      <c r="H14" s="5" t="s">
        <v>138</v>
      </c>
      <c r="I14" s="5" t="s">
        <v>166</v>
      </c>
      <c r="J14" s="5" t="s">
        <v>189</v>
      </c>
      <c r="K14" s="92" t="str">
        <f t="shared" ca="1" si="6"/>
        <v>Schon Geburtstag gehabt</v>
      </c>
    </row>
    <row r="15" spans="1:11" x14ac:dyDescent="0.35">
      <c r="A15" s="5" t="str">
        <f t="shared" si="0"/>
        <v>01_14</v>
      </c>
      <c r="B15" s="108" t="str">
        <f t="shared" si="1"/>
        <v>14.Januar</v>
      </c>
      <c r="C15" s="112">
        <f t="shared" ca="1" si="2"/>
        <v>45671</v>
      </c>
      <c r="D15" s="112">
        <f t="shared" ca="1" si="3"/>
        <v>46036</v>
      </c>
      <c r="E15" s="109">
        <f t="shared" ca="1" si="4"/>
        <v>65</v>
      </c>
      <c r="F15" s="110">
        <f t="shared" ca="1" si="5"/>
        <v>65</v>
      </c>
      <c r="G15" s="111" t="s">
        <v>171</v>
      </c>
      <c r="H15" s="5" t="s">
        <v>138</v>
      </c>
      <c r="I15" s="5" t="s">
        <v>172</v>
      </c>
      <c r="J15" s="5" t="s">
        <v>192</v>
      </c>
      <c r="K15" s="92" t="str">
        <f t="shared" ca="1" si="6"/>
        <v>Schon Geburtstag gehabt</v>
      </c>
    </row>
    <row r="16" spans="1:11" x14ac:dyDescent="0.35">
      <c r="A16" s="5" t="str">
        <f t="shared" si="0"/>
        <v>01_15</v>
      </c>
      <c r="B16" s="108" t="str">
        <f t="shared" si="1"/>
        <v>15.Januar</v>
      </c>
      <c r="C16" s="112">
        <f t="shared" ca="1" si="2"/>
        <v>45672</v>
      </c>
      <c r="D16" s="112">
        <f t="shared" ca="1" si="3"/>
        <v>46037</v>
      </c>
      <c r="E16" s="109">
        <f t="shared" ca="1" si="4"/>
        <v>45</v>
      </c>
      <c r="F16" s="110">
        <f t="shared" ca="1" si="5"/>
        <v>45</v>
      </c>
      <c r="G16" s="111" t="s">
        <v>174</v>
      </c>
      <c r="H16" s="5" t="s">
        <v>138</v>
      </c>
      <c r="I16" s="5" t="s">
        <v>175</v>
      </c>
      <c r="J16" s="5" t="s">
        <v>150</v>
      </c>
      <c r="K16" s="92" t="str">
        <f t="shared" ca="1" si="6"/>
        <v>Schon Geburtstag gehabt</v>
      </c>
    </row>
    <row r="17" spans="1:11" x14ac:dyDescent="0.35">
      <c r="A17" s="5" t="str">
        <f t="shared" si="0"/>
        <v>02_09</v>
      </c>
      <c r="B17" s="108" t="str">
        <f t="shared" si="1"/>
        <v>09.Februar</v>
      </c>
      <c r="C17" s="112">
        <f t="shared" ca="1" si="2"/>
        <v>45697</v>
      </c>
      <c r="D17" s="112">
        <f t="shared" ca="1" si="3"/>
        <v>46062</v>
      </c>
      <c r="E17" s="109">
        <f t="shared" ca="1" si="4"/>
        <v>80</v>
      </c>
      <c r="F17" s="110">
        <f t="shared" ca="1" si="5"/>
        <v>80</v>
      </c>
      <c r="G17" s="111">
        <v>16477</v>
      </c>
      <c r="H17" s="5" t="s">
        <v>136</v>
      </c>
      <c r="I17" s="5" t="s">
        <v>155</v>
      </c>
      <c r="J17" s="5" t="s">
        <v>183</v>
      </c>
      <c r="K17" s="92" t="str">
        <f t="shared" ca="1" si="6"/>
        <v>Schon Geburtstag gehabt</v>
      </c>
    </row>
    <row r="18" spans="1:11" x14ac:dyDescent="0.35">
      <c r="A18" s="5" t="str">
        <f t="shared" si="0"/>
        <v>02_14</v>
      </c>
      <c r="B18" s="108" t="str">
        <f t="shared" si="1"/>
        <v>14.Februar</v>
      </c>
      <c r="C18" s="112">
        <f t="shared" ca="1" si="2"/>
        <v>45702</v>
      </c>
      <c r="D18" s="112">
        <f t="shared" ca="1" si="3"/>
        <v>46067</v>
      </c>
      <c r="E18" s="109">
        <f t="shared" ca="1" si="4"/>
        <v>52</v>
      </c>
      <c r="F18" s="110">
        <f t="shared" ca="1" si="5"/>
        <v>52</v>
      </c>
      <c r="G18" s="111">
        <v>26709</v>
      </c>
      <c r="H18" s="5" t="s">
        <v>138</v>
      </c>
      <c r="I18" s="5" t="s">
        <v>170</v>
      </c>
      <c r="J18" s="5" t="s">
        <v>191</v>
      </c>
      <c r="K18" s="92" t="str">
        <f t="shared" ca="1" si="6"/>
        <v>Schon Geburtstag gehabt</v>
      </c>
    </row>
    <row r="19" spans="1:11" x14ac:dyDescent="0.35">
      <c r="A19" s="5" t="str">
        <f t="shared" si="0"/>
        <v>03_02</v>
      </c>
      <c r="B19" s="108" t="str">
        <f t="shared" si="1"/>
        <v>02.März</v>
      </c>
      <c r="C19" s="112">
        <f t="shared" ca="1" si="2"/>
        <v>45718</v>
      </c>
      <c r="D19" s="112">
        <f t="shared" ca="1" si="3"/>
        <v>46083</v>
      </c>
      <c r="E19" s="109">
        <f t="shared" ca="1" si="4"/>
        <v>66</v>
      </c>
      <c r="F19" s="110">
        <f t="shared" ca="1" si="5"/>
        <v>66</v>
      </c>
      <c r="G19" s="111">
        <v>21611</v>
      </c>
      <c r="H19" s="5" t="s">
        <v>138</v>
      </c>
      <c r="I19" s="5" t="s">
        <v>144</v>
      </c>
      <c r="J19" s="5" t="s">
        <v>140</v>
      </c>
      <c r="K19" s="92" t="str">
        <f t="shared" ca="1" si="6"/>
        <v>Schon Geburtstag gehabt</v>
      </c>
    </row>
    <row r="20" spans="1:11" x14ac:dyDescent="0.35">
      <c r="A20" s="5" t="str">
        <f t="shared" si="0"/>
        <v>03_02</v>
      </c>
      <c r="B20" s="108" t="str">
        <f t="shared" si="1"/>
        <v>02.März</v>
      </c>
      <c r="C20" s="112">
        <f t="shared" ca="1" si="2"/>
        <v>45718</v>
      </c>
      <c r="D20" s="112">
        <f t="shared" ca="1" si="3"/>
        <v>46083</v>
      </c>
      <c r="E20" s="109">
        <f t="shared" ca="1" si="4"/>
        <v>31</v>
      </c>
      <c r="F20" s="110">
        <f t="shared" ca="1" si="5"/>
        <v>31</v>
      </c>
      <c r="G20" s="111">
        <v>34395</v>
      </c>
      <c r="H20" s="5" t="s">
        <v>136</v>
      </c>
      <c r="I20" s="5" t="s">
        <v>145</v>
      </c>
      <c r="J20" s="5" t="s">
        <v>140</v>
      </c>
      <c r="K20" s="92" t="str">
        <f t="shared" ca="1" si="6"/>
        <v>Schon Geburtstag gehabt</v>
      </c>
    </row>
    <row r="21" spans="1:11" x14ac:dyDescent="0.35">
      <c r="A21" s="5" t="str">
        <f t="shared" si="0"/>
        <v>04_10</v>
      </c>
      <c r="B21" s="108" t="str">
        <f t="shared" si="1"/>
        <v>10.April</v>
      </c>
      <c r="C21" s="112">
        <f t="shared" ca="1" si="2"/>
        <v>45757</v>
      </c>
      <c r="D21" s="112">
        <f t="shared" ca="1" si="3"/>
        <v>46122</v>
      </c>
      <c r="E21" s="109">
        <f t="shared" ca="1" si="4"/>
        <v>25</v>
      </c>
      <c r="F21" s="110">
        <f t="shared" ca="1" si="5"/>
        <v>25</v>
      </c>
      <c r="G21" s="111">
        <v>36626</v>
      </c>
      <c r="H21" s="5" t="s">
        <v>138</v>
      </c>
      <c r="I21" s="5" t="s">
        <v>139</v>
      </c>
      <c r="J21" s="5" t="s">
        <v>180</v>
      </c>
      <c r="K21" s="92" t="str">
        <f t="shared" ca="1" si="6"/>
        <v>Schon Geburtstag gehabt</v>
      </c>
    </row>
    <row r="22" spans="1:11" x14ac:dyDescent="0.35">
      <c r="A22" s="5" t="str">
        <f t="shared" si="0"/>
        <v>07_12</v>
      </c>
      <c r="B22" s="108" t="str">
        <f t="shared" si="1"/>
        <v>12.Juli</v>
      </c>
      <c r="C22" s="112">
        <f t="shared" ca="1" si="2"/>
        <v>45850</v>
      </c>
      <c r="D22" s="112">
        <f t="shared" ca="1" si="3"/>
        <v>46215</v>
      </c>
      <c r="E22" s="109">
        <f t="shared" ca="1" si="4"/>
        <v>51</v>
      </c>
      <c r="F22" s="110">
        <f t="shared" ca="1" si="5"/>
        <v>51</v>
      </c>
      <c r="G22" s="111">
        <v>27222</v>
      </c>
      <c r="H22" s="5" t="s">
        <v>138</v>
      </c>
      <c r="I22" s="5" t="s">
        <v>149</v>
      </c>
      <c r="J22" s="5" t="s">
        <v>190</v>
      </c>
      <c r="K22" s="92" t="str">
        <f t="shared" ca="1" si="6"/>
        <v>Schon Geburtstag gehabt</v>
      </c>
    </row>
    <row r="23" spans="1:11" x14ac:dyDescent="0.35">
      <c r="A23" s="5" t="str">
        <f t="shared" si="0"/>
        <v>08_05</v>
      </c>
      <c r="B23" s="108" t="str">
        <f t="shared" si="1"/>
        <v>05.August</v>
      </c>
      <c r="C23" s="112">
        <f t="shared" ca="1" si="2"/>
        <v>45874</v>
      </c>
      <c r="D23" s="112">
        <f t="shared" ca="1" si="3"/>
        <v>46239</v>
      </c>
      <c r="E23" s="109">
        <f t="shared" ca="1" si="4"/>
        <v>65</v>
      </c>
      <c r="F23" s="110">
        <f t="shared" ca="1" si="5"/>
        <v>65</v>
      </c>
      <c r="G23" s="111">
        <v>22133</v>
      </c>
      <c r="H23" s="5" t="s">
        <v>136</v>
      </c>
      <c r="I23" s="5" t="s">
        <v>164</v>
      </c>
      <c r="J23" s="5" t="s">
        <v>188</v>
      </c>
      <c r="K23" s="92" t="str">
        <f t="shared" ca="1" si="6"/>
        <v>Schon Geburtstag gehabt</v>
      </c>
    </row>
    <row r="24" spans="1:11" x14ac:dyDescent="0.35">
      <c r="A24" s="5" t="str">
        <f t="shared" si="0"/>
        <v>08_12</v>
      </c>
      <c r="B24" s="108" t="str">
        <f t="shared" si="1"/>
        <v>12.August</v>
      </c>
      <c r="C24" s="112">
        <f t="shared" ca="1" si="2"/>
        <v>45881</v>
      </c>
      <c r="D24" s="112">
        <f t="shared" ca="1" si="3"/>
        <v>46246</v>
      </c>
      <c r="E24" s="109">
        <f t="shared" ca="1" si="4"/>
        <v>56</v>
      </c>
      <c r="F24" s="110">
        <f t="shared" ca="1" si="5"/>
        <v>56</v>
      </c>
      <c r="G24" s="111">
        <v>25427</v>
      </c>
      <c r="H24" s="5" t="s">
        <v>138</v>
      </c>
      <c r="I24" s="5" t="s">
        <v>168</v>
      </c>
      <c r="J24" s="5" t="s">
        <v>143</v>
      </c>
      <c r="K24" s="92" t="str">
        <f t="shared" ca="1" si="6"/>
        <v>Schon Geburtstag gehabt</v>
      </c>
    </row>
    <row r="25" spans="1:11" x14ac:dyDescent="0.35">
      <c r="A25" s="5" t="str">
        <f t="shared" si="0"/>
        <v>08_13</v>
      </c>
      <c r="B25" s="108" t="str">
        <f t="shared" si="1"/>
        <v>13.August</v>
      </c>
      <c r="C25" s="112">
        <f t="shared" ca="1" si="2"/>
        <v>45882</v>
      </c>
      <c r="D25" s="112">
        <f t="shared" ca="1" si="3"/>
        <v>46247</v>
      </c>
      <c r="E25" s="109">
        <f t="shared" ca="1" si="4"/>
        <v>83</v>
      </c>
      <c r="F25" s="110">
        <f t="shared" ca="1" si="5"/>
        <v>83</v>
      </c>
      <c r="G25" s="111">
        <v>15566</v>
      </c>
      <c r="H25" s="5" t="s">
        <v>138</v>
      </c>
      <c r="I25" s="5" t="s">
        <v>169</v>
      </c>
      <c r="J25" s="5" t="s">
        <v>176</v>
      </c>
      <c r="K25" s="92" t="str">
        <f t="shared" ca="1" si="6"/>
        <v>Schon Geburtstag gehabt</v>
      </c>
    </row>
    <row r="26" spans="1:11" x14ac:dyDescent="0.35">
      <c r="A26" s="5" t="str">
        <f t="shared" si="0"/>
        <v>09_12</v>
      </c>
      <c r="B26" s="108" t="str">
        <f t="shared" si="1"/>
        <v>12.September</v>
      </c>
      <c r="C26" s="112">
        <f t="shared" ca="1" si="2"/>
        <v>45912</v>
      </c>
      <c r="D26" s="112">
        <f t="shared" ca="1" si="3"/>
        <v>46277</v>
      </c>
      <c r="E26" s="109">
        <f t="shared" ca="1" si="4"/>
        <v>56</v>
      </c>
      <c r="F26" s="110">
        <f t="shared" ca="1" si="5"/>
        <v>56</v>
      </c>
      <c r="G26" s="111">
        <v>25458</v>
      </c>
      <c r="H26" s="5" t="s">
        <v>136</v>
      </c>
      <c r="I26" s="5" t="s">
        <v>167</v>
      </c>
      <c r="J26" s="5" t="s">
        <v>143</v>
      </c>
      <c r="K26" s="92" t="str">
        <f t="shared" ca="1" si="6"/>
        <v>Schon Geburtstag gehabt</v>
      </c>
    </row>
    <row r="27" spans="1:11" x14ac:dyDescent="0.35">
      <c r="A27" s="5" t="str">
        <f t="shared" si="0"/>
        <v>09_16</v>
      </c>
      <c r="B27" s="108" t="str">
        <f t="shared" si="1"/>
        <v>16.September</v>
      </c>
      <c r="C27" s="112">
        <f t="shared" ca="1" si="2"/>
        <v>45916</v>
      </c>
      <c r="D27" s="112">
        <f t="shared" ca="1" si="3"/>
        <v>46281</v>
      </c>
      <c r="E27" s="109">
        <f t="shared" ca="1" si="4"/>
        <v>64</v>
      </c>
      <c r="F27" s="110">
        <f t="shared" ca="1" si="5"/>
        <v>64</v>
      </c>
      <c r="G27" s="111">
        <v>22540</v>
      </c>
      <c r="H27" s="5" t="s">
        <v>136</v>
      </c>
      <c r="I27" s="5" t="s">
        <v>178</v>
      </c>
      <c r="J27" s="5" t="s">
        <v>143</v>
      </c>
      <c r="K27" s="92" t="str">
        <f t="shared" ca="1" si="6"/>
        <v>Schon Geburtstag gehabt</v>
      </c>
    </row>
    <row r="28" spans="1:11" x14ac:dyDescent="0.35">
      <c r="A28" s="5" t="str">
        <f t="shared" si="0"/>
        <v>10_10</v>
      </c>
      <c r="B28" s="108" t="str">
        <f t="shared" si="1"/>
        <v>10.Oktober</v>
      </c>
      <c r="C28" s="112">
        <f t="shared" ca="1" si="2"/>
        <v>45940</v>
      </c>
      <c r="D28" s="112">
        <f t="shared" ca="1" si="3"/>
        <v>45940</v>
      </c>
      <c r="E28" s="109">
        <f t="shared" ca="1" si="4"/>
        <v>84</v>
      </c>
      <c r="F28" s="110">
        <f t="shared" ca="1" si="5"/>
        <v>85</v>
      </c>
      <c r="G28" s="111">
        <v>14894</v>
      </c>
      <c r="H28" s="5" t="s">
        <v>138</v>
      </c>
      <c r="I28" s="5" t="s">
        <v>159</v>
      </c>
      <c r="J28" s="5" t="s">
        <v>185</v>
      </c>
      <c r="K28" s="92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08" t="str">
        <f t="shared" si="1"/>
        <v>12.Oktober</v>
      </c>
      <c r="C29" s="112">
        <f t="shared" ca="1" si="2"/>
        <v>45942</v>
      </c>
      <c r="D29" s="112">
        <f t="shared" ca="1" si="3"/>
        <v>45942</v>
      </c>
      <c r="E29" s="109">
        <f t="shared" ca="1" si="4"/>
        <v>82</v>
      </c>
      <c r="F29" s="110">
        <f t="shared" ca="1" si="5"/>
        <v>83</v>
      </c>
      <c r="G29" s="111">
        <v>15626</v>
      </c>
      <c r="H29" s="5" t="s">
        <v>138</v>
      </c>
      <c r="I29" s="5" t="s">
        <v>160</v>
      </c>
      <c r="J29" s="5" t="s">
        <v>176</v>
      </c>
      <c r="K29" s="92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08" t="str">
        <f t="shared" si="1"/>
        <v>14.Oktober</v>
      </c>
      <c r="C30" s="112">
        <f t="shared" ca="1" si="2"/>
        <v>45944</v>
      </c>
      <c r="D30" s="112">
        <f t="shared" ca="1" si="3"/>
        <v>45944</v>
      </c>
      <c r="E30" s="109">
        <f t="shared" ca="1" si="4"/>
        <v>40</v>
      </c>
      <c r="F30" s="110">
        <f t="shared" ca="1" si="5"/>
        <v>41</v>
      </c>
      <c r="G30" s="111">
        <v>30969</v>
      </c>
      <c r="H30" s="5" t="s">
        <v>136</v>
      </c>
      <c r="I30" s="5" t="s">
        <v>173</v>
      </c>
      <c r="J30" s="5" t="s">
        <v>143</v>
      </c>
      <c r="K30" s="92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08" t="str">
        <f t="shared" si="1"/>
        <v>15.Oktober</v>
      </c>
      <c r="C31" s="112">
        <f t="shared" ca="1" si="2"/>
        <v>45945</v>
      </c>
      <c r="D31" s="112">
        <f t="shared" ca="1" si="3"/>
        <v>45945</v>
      </c>
      <c r="E31" s="109">
        <f t="shared" ca="1" si="4"/>
        <v>63</v>
      </c>
      <c r="F31" s="110">
        <f t="shared" ca="1" si="5"/>
        <v>64</v>
      </c>
      <c r="G31" s="111">
        <v>22569</v>
      </c>
      <c r="H31" s="5" t="s">
        <v>138</v>
      </c>
      <c r="I31" s="5" t="s">
        <v>177</v>
      </c>
      <c r="J31" s="5" t="s">
        <v>193</v>
      </c>
      <c r="K31" s="92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08" t="str">
        <f t="shared" si="1"/>
        <v>10.November</v>
      </c>
      <c r="C32" s="112">
        <f t="shared" ca="1" si="2"/>
        <v>45971</v>
      </c>
      <c r="D32" s="112">
        <f t="shared" ca="1" si="3"/>
        <v>45971</v>
      </c>
      <c r="E32" s="109">
        <f t="shared" ca="1" si="4"/>
        <v>83</v>
      </c>
      <c r="F32" s="110">
        <f t="shared" ca="1" si="5"/>
        <v>84</v>
      </c>
      <c r="G32" s="111">
        <v>15290</v>
      </c>
      <c r="H32" s="5" t="s">
        <v>138</v>
      </c>
      <c r="I32" s="5" t="s">
        <v>160</v>
      </c>
      <c r="J32" s="5" t="s">
        <v>186</v>
      </c>
      <c r="K32" s="92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08" t="str">
        <f t="shared" si="1"/>
        <v>10.Dezember</v>
      </c>
      <c r="C33" s="112">
        <f t="shared" ca="1" si="2"/>
        <v>46001</v>
      </c>
      <c r="D33" s="112">
        <f t="shared" ca="1" si="3"/>
        <v>46001</v>
      </c>
      <c r="E33" s="109">
        <f t="shared" ca="1" si="4"/>
        <v>56</v>
      </c>
      <c r="F33" s="110">
        <f t="shared" ca="1" si="5"/>
        <v>57</v>
      </c>
      <c r="G33" s="111">
        <v>25182</v>
      </c>
      <c r="H33" s="5" t="s">
        <v>138</v>
      </c>
      <c r="I33" s="5" t="s">
        <v>161</v>
      </c>
      <c r="J33" s="5" t="s">
        <v>140</v>
      </c>
      <c r="K33" s="92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08" t="str">
        <f t="shared" si="1"/>
        <v>16.Dezember</v>
      </c>
      <c r="C34" s="112">
        <f t="shared" ca="1" si="2"/>
        <v>46007</v>
      </c>
      <c r="D34" s="112">
        <f t="shared" ca="1" si="3"/>
        <v>46007</v>
      </c>
      <c r="E34" s="109">
        <f t="shared" ca="1" si="4"/>
        <v>30</v>
      </c>
      <c r="F34" s="110">
        <f t="shared" ca="1" si="5"/>
        <v>31</v>
      </c>
      <c r="G34" s="111">
        <v>34684</v>
      </c>
      <c r="H34" s="5" t="s">
        <v>138</v>
      </c>
      <c r="I34" s="5" t="s">
        <v>179</v>
      </c>
      <c r="J34" s="5" t="s">
        <v>140</v>
      </c>
      <c r="K34" s="92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134</v>
      </c>
      <c r="C2" s="44"/>
    </row>
    <row r="5" spans="2:3" x14ac:dyDescent="0.35">
      <c r="B5" s="105" t="s">
        <v>135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TOC</vt:lpstr>
      <vt:lpstr>Leistung bei Wechselstrom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  <vt:lpstr>3-Phasenstrom</vt:lpstr>
      <vt:lpstr>Gemischte Schaltung</vt:lpstr>
      <vt:lpstr>Theoreme</vt:lpstr>
      <vt:lpstr>Fläche eines Polygones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2025-09-18T08:36:54Z</dcterms:modified>
</cp:coreProperties>
</file>